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drawings/drawing8.xml" ContentType="application/vnd.openxmlformats-officedocument.drawing+xml"/>
  <Override PartName="/xl/ctrlProps/ctrlProp12.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slobodan.butulija\Desktop\Zavrsni Racun\2025\"/>
    </mc:Choice>
  </mc:AlternateContent>
  <bookViews>
    <workbookView xWindow="0" yWindow="0" windowWidth="24240" windowHeight="12435" tabRatio="674" activeTab="3"/>
  </bookViews>
  <sheets>
    <sheet name="Uputstvo" sheetId="11" r:id="rId1"/>
    <sheet name="Osnovni_podaci" sheetId="32" r:id="rId2"/>
    <sheet name="01" sheetId="1" r:id="rId3"/>
    <sheet name="02a" sheetId="2" r:id="rId4"/>
    <sheet name="02b" sheetId="36" r:id="rId5"/>
    <sheet name="03" sheetId="8" r:id="rId6"/>
    <sheet name="04" sheetId="14" r:id="rId7"/>
    <sheet name="05" sheetId="10" r:id="rId8"/>
    <sheet name="Prevod" sheetId="31" state="hidden" r:id="rId9"/>
    <sheet name="Aop" sheetId="34" state="hidden"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Prevod!$G$57</definedName>
    <definedName name="Datumi_Datum_BPK">Prevod!$G$58</definedName>
    <definedName name="Datumi_Datum_BS">Prevod!$G$53</definedName>
    <definedName name="Datumi_Datum_BTG">Prevod!$G$55</definedName>
    <definedName name="Datumi_Datum_BU">Prevod!$G$54</definedName>
    <definedName name="Datumi_Datum_ODGP">Prevod!$G$56</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Prevod!$G$94</definedName>
    <definedName name="Kontrola_Obavezno">Prevod!$G$93</definedName>
    <definedName name="Linkovi_Link_Aneks">Prevod!$G$65</definedName>
    <definedName name="Linkovi_Link_BPK">Prevod!$G$66</definedName>
    <definedName name="Linkovi_Link_BS">Prevod!$G$61</definedName>
    <definedName name="Linkovi_Link_BTG">Prevod!$G$64</definedName>
    <definedName name="Linkovi_Link_BU">Prevod!$G$62</definedName>
    <definedName name="Linkovi_Link_ODGP">Prevod!$G$63</definedName>
    <definedName name="Linkovi_Link_Osnovni_podaci">Prevod!$G$60</definedName>
    <definedName name="Linkovi_Link_Uputstvo">Prevod!$G$59</definedName>
    <definedName name="Lookup_Aneks">'04'!$I$21:$K$90</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Prevod!$G$50</definedName>
    <definedName name="Nazivi_bilansa_Aneks1">Prevod!$G$51</definedName>
    <definedName name="Nazivi_bilansa_BPK">Prevod!$G$52</definedName>
    <definedName name="Nazivi_bilansa_BS">Prevod!$G$42</definedName>
    <definedName name="Nazivi_bilansa_BS1">Prevod!$G$43</definedName>
    <definedName name="Nazivi_bilansa_BTG">Prevod!$G$48</definedName>
    <definedName name="Nazivi_bilansa_BTG1">Prevod!$G$49</definedName>
    <definedName name="Nazivi_bilansa_BUa">Prevod!$G$44</definedName>
    <definedName name="Nazivi_bilansa_BUa1">Prevod!$G$45</definedName>
    <definedName name="Nazivi_bilansa_BUb">Prevod!$G$46</definedName>
    <definedName name="Nazivi_bilansa_BUb1">Prevod!$G$47</definedName>
    <definedName name="Nazivi_bilansa_Konsolidovani_naziv">Prevod!$G$41</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Prevod!$G$40</definedName>
    <definedName name="Podnozje_U">Prevod!$G$35</definedName>
    <definedName name="_xlnm.Print_Area" localSheetId="2">'01'!$C$5:$N$170</definedName>
    <definedName name="_xlnm.Print_Area" localSheetId="3">'02a'!$B$5:$L$148,'02a'!$C$150:$L$161</definedName>
    <definedName name="_xlnm.Print_Area" localSheetId="4">'02b'!$C$5:$L$61</definedName>
    <definedName name="_xlnm.Print_Area" localSheetId="5">'03'!$C$5:$M$92</definedName>
    <definedName name="_xlnm.Print_Area" localSheetId="6">'04'!$A$1:$N$94</definedName>
    <definedName name="_xlnm.Print_Area" localSheetId="7">'05'!$D$5:$Q$57</definedName>
    <definedName name="_xlnm.Print_Area" localSheetId="13">APIF_Import!$A$1:$M$445</definedName>
    <definedName name="_xlnm.Print_Area" localSheetId="1">Osnovni_podaci!$B$7:$W$126</definedName>
    <definedName name="_xlnm.Print_Area" localSheetId="0">Uputstvo!$5:$59</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Prevod!$G$96</definedName>
    <definedName name="Revizija_Naziv_revizorske_firme">Prevod!$G$98</definedName>
    <definedName name="Revizija_Negativno">Prevod!$G$101</definedName>
    <definedName name="Revizija_Podaci_o_revizorskoj_firmi">Prevod!$G$97</definedName>
    <definedName name="Revizija_Pozitivno">Prevod!$G$99</definedName>
    <definedName name="Revizija_Revidiran_izvjestaj">Prevod!$G$95</definedName>
    <definedName name="Revizija_Sa_rezervom">Prevod!$G$100</definedName>
    <definedName name="Revizija_Uzdrzavanje">Prevod!$G$102</definedName>
    <definedName name="Tabela_Zaglavlje_Napomena_aop">Prevod!$G$69</definedName>
    <definedName name="Tabele_Tekuca_godina">Prevod!$G$78</definedName>
    <definedName name="Tabele_zaglavlje_BPK0">Prevod!$G$81</definedName>
    <definedName name="Tabele_zaglavlje_BPK1">Prevod!$G$82</definedName>
    <definedName name="Tabele_zaglavlje_BPK10">Prevod!$G$90</definedName>
    <definedName name="Tabele_zaglavlje_BPK11">Prevod!$G$91</definedName>
    <definedName name="Tabele_zaglavlje_BPK12">Prevod!$G$92</definedName>
    <definedName name="Tabele_zaglavlje_BPK3">Prevod!$G$83</definedName>
    <definedName name="Tabele_zaglavlje_BPK4">Prevod!$G$84</definedName>
    <definedName name="Tabele_zaglavlje_BPK5">Prevod!$G$85</definedName>
    <definedName name="Tabele_zaglavlje_BPK6">Prevod!$G$86</definedName>
    <definedName name="Tabele_zaglavlje_BPK7">Prevod!$G$87</definedName>
    <definedName name="Tabele_zaglavlje_BPK8">Prevod!$G$88</definedName>
    <definedName name="Tabele_zaglavlje_BPK9">Prevod!$G$89</definedName>
    <definedName name="Tabele_zaglavlje_BS_bruto">Prevod!$G$73</definedName>
    <definedName name="Tabele_zaglavlje_BS_ispravka">Prevod!$G$74</definedName>
    <definedName name="Tabele_zaglavlje_BS_iznos_prethodna">Prevod!$G$76</definedName>
    <definedName name="Tabele_zaglavlje_BS_iznos_tekuca">Prevod!$G$72</definedName>
    <definedName name="Tabele_zaglavlje_BS_neto">Prevod!$G$75</definedName>
    <definedName name="Tabele_zaglavlje_Grupa_racuna">Prevod!$G$67</definedName>
    <definedName name="Tabele_zaglavlje_Iznos">Prevod!$G$77</definedName>
    <definedName name="Tabele_zaglavlje_Napomena_aop">Prevod!$G$69</definedName>
    <definedName name="Tabele_zaglavlje_Oznaka_aop">Prevod!$G$70</definedName>
    <definedName name="Tabele_zaglavlje_Pozicija">Prevod!$G$68</definedName>
    <definedName name="Tabele_zaglavlje_Prethodna_godina">Prevod!$G$79</definedName>
    <definedName name="Tabele_zaglavlje_Redni_broj">Prevod!$G$71</definedName>
    <definedName name="Tabele_zaglavlje_Tekuca_godina">Prevod!$G$78</definedName>
    <definedName name="Tabele_zaglavlje_Valuta">Prevod!$G$80</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M117" i="1" l="1"/>
  <c r="K32" i="8" l="1"/>
  <c r="K25" i="8"/>
  <c r="M141" i="1"/>
  <c r="K67" i="1"/>
  <c r="L32" i="8"/>
  <c r="L25" i="8"/>
  <c r="N31" i="1"/>
  <c r="N24" i="1"/>
  <c r="L38" i="2"/>
  <c r="N92" i="1"/>
  <c r="M92" i="1"/>
  <c r="M101" i="1"/>
  <c r="M106" i="1"/>
  <c r="K65" i="1"/>
  <c r="L65" i="1"/>
  <c r="K73" i="1"/>
  <c r="K72" i="1"/>
  <c r="L73" i="1"/>
  <c r="L72" i="1"/>
  <c r="K81" i="1"/>
  <c r="L81" i="1"/>
  <c r="N124" i="1"/>
  <c r="M124" i="1"/>
  <c r="K22" i="36"/>
  <c r="L22" i="36"/>
  <c r="K133" i="2"/>
  <c r="K130" i="2"/>
  <c r="L64" i="1"/>
  <c r="K64" i="1"/>
  <c r="N57" i="1"/>
  <c r="G85" i="31"/>
  <c r="G84" i="31"/>
  <c r="L57" i="1"/>
  <c r="G89" i="31"/>
  <c r="G88" i="31"/>
  <c r="G87" i="31"/>
  <c r="G86" i="31"/>
  <c r="I6" i="31"/>
  <c r="G6" i="31"/>
  <c r="B51" i="32" a="1"/>
  <c r="B51" i="32"/>
  <c r="H6" i="31"/>
  <c r="M139" i="1"/>
  <c r="M146" i="1"/>
  <c r="N146" i="1"/>
  <c r="K37" i="1"/>
  <c r="N37" i="1"/>
  <c r="L37" i="1"/>
  <c r="L29" i="36"/>
  <c r="K29" i="36"/>
  <c r="L36" i="36"/>
  <c r="K36" i="36"/>
  <c r="K94" i="2"/>
  <c r="K48" i="2"/>
  <c r="K47" i="2"/>
  <c r="P29" i="10"/>
  <c r="P25" i="10"/>
  <c r="K45" i="10"/>
  <c r="K45" i="1"/>
  <c r="L45" i="1"/>
  <c r="K50" i="1"/>
  <c r="N81" i="1"/>
  <c r="N73" i="1"/>
  <c r="N72" i="1"/>
  <c r="K57" i="1"/>
  <c r="K42" i="1"/>
  <c r="G69" i="31"/>
  <c r="J89" i="1"/>
  <c r="K56" i="1"/>
  <c r="A135" i="34"/>
  <c r="A136" i="34"/>
  <c r="A137" i="34"/>
  <c r="A138" i="34"/>
  <c r="A139" i="34"/>
  <c r="B2" i="38"/>
  <c r="B3" i="38"/>
  <c r="B4" i="38"/>
  <c r="B5" i="38"/>
  <c r="B6" i="38"/>
  <c r="B7" i="38"/>
  <c r="B8" i="38"/>
  <c r="B9" i="38"/>
  <c r="B10" i="38"/>
  <c r="B11" i="38"/>
  <c r="B12" i="38"/>
  <c r="B13" i="38"/>
  <c r="B14" i="38"/>
  <c r="B15" i="38"/>
  <c r="B16" i="38"/>
  <c r="B17" i="38"/>
  <c r="B18" i="38"/>
  <c r="B19" i="38"/>
  <c r="B20" i="38"/>
  <c r="B21" i="38"/>
  <c r="B22" i="38"/>
  <c r="B23" i="38"/>
  <c r="B24" i="38"/>
  <c r="B25" i="38"/>
  <c r="B26" i="38"/>
  <c r="B27" i="38"/>
  <c r="B28" i="38"/>
  <c r="B29" i="38"/>
  <c r="B30" i="38"/>
  <c r="B31" i="38"/>
  <c r="B32" i="38"/>
  <c r="B33" i="38"/>
  <c r="B34" i="38"/>
  <c r="B35" i="38"/>
  <c r="B36" i="38"/>
  <c r="B37" i="38"/>
  <c r="B38" i="38"/>
  <c r="B39" i="38"/>
  <c r="B40" i="38"/>
  <c r="B41" i="38"/>
  <c r="B42" i="38"/>
  <c r="B43" i="38"/>
  <c r="B44" i="38"/>
  <c r="B45" i="38"/>
  <c r="B46" i="38"/>
  <c r="B47" i="38"/>
  <c r="B48" i="38"/>
  <c r="B49" i="38"/>
  <c r="B50" i="38"/>
  <c r="B51" i="38"/>
  <c r="B52" i="38"/>
  <c r="B53" i="38"/>
  <c r="B54" i="38"/>
  <c r="B55" i="38"/>
  <c r="B56" i="38"/>
  <c r="B57" i="38"/>
  <c r="B58" i="38"/>
  <c r="B59" i="38"/>
  <c r="B60" i="38"/>
  <c r="B61" i="38"/>
  <c r="B62" i="38"/>
  <c r="B63" i="38"/>
  <c r="B64" i="38"/>
  <c r="B65" i="38"/>
  <c r="B66" i="38"/>
  <c r="B67" i="38"/>
  <c r="B68" i="38"/>
  <c r="B69" i="38"/>
  <c r="B70" i="38"/>
  <c r="B71" i="38"/>
  <c r="B72" i="38"/>
  <c r="B73" i="38"/>
  <c r="B74" i="38"/>
  <c r="B75" i="38"/>
  <c r="B76" i="38"/>
  <c r="B77" i="38"/>
  <c r="B78" i="38"/>
  <c r="B79" i="38"/>
  <c r="B80" i="38"/>
  <c r="B81" i="38"/>
  <c r="B82" i="38"/>
  <c r="B83" i="38"/>
  <c r="B84" i="38"/>
  <c r="B85" i="38"/>
  <c r="B86" i="38"/>
  <c r="B87" i="38"/>
  <c r="B88" i="38"/>
  <c r="B89" i="38"/>
  <c r="B90" i="38"/>
  <c r="B91" i="38"/>
  <c r="B92" i="38"/>
  <c r="B93" i="38"/>
  <c r="B94" i="38"/>
  <c r="B95" i="38"/>
  <c r="B96" i="38"/>
  <c r="B97" i="38"/>
  <c r="B98" i="38"/>
  <c r="B99" i="38"/>
  <c r="B10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17" i="38"/>
  <c r="B418" i="38"/>
  <c r="B419" i="38"/>
  <c r="B428" i="38"/>
  <c r="B429" i="38"/>
  <c r="B430" i="38"/>
  <c r="B431" i="38"/>
  <c r="B432" i="38"/>
  <c r="B433" i="38"/>
  <c r="B434" i="38"/>
  <c r="B435" i="38"/>
  <c r="B436" i="38"/>
  <c r="B437" i="38"/>
  <c r="B438" i="38"/>
  <c r="B439" i="38"/>
  <c r="B440" i="38"/>
  <c r="B441" i="38"/>
  <c r="B442" i="38"/>
  <c r="B443" i="38"/>
  <c r="B444" i="38"/>
  <c r="B445" i="38"/>
  <c r="B421" i="38"/>
  <c r="B422" i="38"/>
  <c r="B423" i="38"/>
  <c r="B424" i="38"/>
  <c r="B425" i="38"/>
  <c r="B426" i="38"/>
  <c r="B427" i="38"/>
  <c r="B420" i="38"/>
  <c r="C1" i="33"/>
  <c r="F423" i="35"/>
  <c r="F424" i="35"/>
  <c r="F425" i="35"/>
  <c r="F426" i="35"/>
  <c r="F427" i="35"/>
  <c r="F428" i="35"/>
  <c r="F429" i="35"/>
  <c r="F430" i="35"/>
  <c r="F431" i="35"/>
  <c r="F432" i="35"/>
  <c r="F433" i="35"/>
  <c r="F434" i="35"/>
  <c r="F435" i="35"/>
  <c r="F436" i="35"/>
  <c r="F437" i="35"/>
  <c r="F438" i="35"/>
  <c r="F439" i="35"/>
  <c r="F440" i="35"/>
  <c r="F441" i="35"/>
  <c r="F442" i="35"/>
  <c r="F443" i="35"/>
  <c r="F444" i="35"/>
  <c r="I423" i="35"/>
  <c r="I424" i="35"/>
  <c r="I425" i="35"/>
  <c r="I426" i="35"/>
  <c r="I427" i="35"/>
  <c r="I428" i="35"/>
  <c r="I429" i="35"/>
  <c r="I430" i="35"/>
  <c r="I431" i="35"/>
  <c r="I432" i="35"/>
  <c r="I433" i="35"/>
  <c r="I434" i="35"/>
  <c r="I435" i="35"/>
  <c r="I436" i="35"/>
  <c r="I437" i="35"/>
  <c r="I438" i="35"/>
  <c r="I439" i="35"/>
  <c r="I440" i="35"/>
  <c r="I441" i="35"/>
  <c r="I442" i="35"/>
  <c r="I443" i="35"/>
  <c r="I444" i="35"/>
  <c r="F416" i="35"/>
  <c r="F417" i="35"/>
  <c r="F418" i="35"/>
  <c r="F419" i="35"/>
  <c r="F420" i="35"/>
  <c r="F421" i="35"/>
  <c r="F422" i="35"/>
  <c r="I416" i="35"/>
  <c r="I417" i="35"/>
  <c r="I418" i="35"/>
  <c r="I419" i="35"/>
  <c r="I420" i="35"/>
  <c r="I421" i="35"/>
  <c r="I422" i="35"/>
  <c r="F412" i="35"/>
  <c r="F413" i="35"/>
  <c r="F414" i="35"/>
  <c r="F415" i="35"/>
  <c r="I412" i="35"/>
  <c r="I413" i="35"/>
  <c r="I414" i="35"/>
  <c r="I415" i="35"/>
  <c r="F411" i="35"/>
  <c r="I411" i="35"/>
  <c r="F408" i="35"/>
  <c r="F409" i="35"/>
  <c r="F410" i="35"/>
  <c r="I408" i="35"/>
  <c r="I409" i="35"/>
  <c r="I410" i="35"/>
  <c r="F399" i="35"/>
  <c r="F400" i="35"/>
  <c r="F401" i="35"/>
  <c r="F402" i="35"/>
  <c r="F403" i="35"/>
  <c r="F404" i="35"/>
  <c r="F405" i="35"/>
  <c r="F406" i="35"/>
  <c r="F407" i="35"/>
  <c r="I399" i="35"/>
  <c r="I400" i="35"/>
  <c r="I401" i="35"/>
  <c r="I402" i="35"/>
  <c r="I403" i="35"/>
  <c r="I404" i="35"/>
  <c r="I405" i="35"/>
  <c r="I406" i="35"/>
  <c r="I407" i="35"/>
  <c r="F381" i="35"/>
  <c r="F382" i="35"/>
  <c r="F383" i="35"/>
  <c r="F384" i="35"/>
  <c r="F385" i="35"/>
  <c r="F386" i="35"/>
  <c r="F387" i="35"/>
  <c r="F388" i="35"/>
  <c r="F389" i="35"/>
  <c r="F390" i="35"/>
  <c r="F391" i="35"/>
  <c r="F392" i="35"/>
  <c r="F393" i="35"/>
  <c r="F394" i="35"/>
  <c r="F395" i="35"/>
  <c r="F396" i="35"/>
  <c r="F397" i="35"/>
  <c r="F398" i="35"/>
  <c r="I381" i="35"/>
  <c r="I382" i="35"/>
  <c r="I383" i="35"/>
  <c r="I384" i="35"/>
  <c r="I385" i="35"/>
  <c r="I386" i="35"/>
  <c r="I387" i="35"/>
  <c r="I388" i="35"/>
  <c r="I389" i="35"/>
  <c r="I390" i="35"/>
  <c r="I391" i="35"/>
  <c r="I392" i="35"/>
  <c r="I393" i="35"/>
  <c r="I394" i="35"/>
  <c r="I395" i="35"/>
  <c r="I396" i="35"/>
  <c r="I397" i="35"/>
  <c r="I398" i="35"/>
  <c r="F18" i="35"/>
  <c r="F19" i="35"/>
  <c r="F20" i="35"/>
  <c r="F21" i="35"/>
  <c r="F22" i="35"/>
  <c r="F23" i="35"/>
  <c r="F24" i="35"/>
  <c r="F25" i="35"/>
  <c r="F26" i="35"/>
  <c r="F27" i="35"/>
  <c r="F28" i="35"/>
  <c r="F29" i="35"/>
  <c r="F30" i="35"/>
  <c r="F31" i="35"/>
  <c r="F32" i="35"/>
  <c r="F33" i="35"/>
  <c r="F34" i="35"/>
  <c r="AA14" i="33"/>
  <c r="AA9" i="33"/>
  <c r="AA12" i="33"/>
  <c r="AA8" i="33"/>
  <c r="AA6" i="33"/>
  <c r="E33" i="37"/>
  <c r="G33" i="37"/>
  <c r="E34" i="37"/>
  <c r="G34" i="37"/>
  <c r="E30" i="37"/>
  <c r="G30" i="37"/>
  <c r="E31" i="37"/>
  <c r="G31" i="37"/>
  <c r="E32" i="37"/>
  <c r="G32" i="37"/>
  <c r="E25" i="37"/>
  <c r="G25" i="37"/>
  <c r="E26" i="37"/>
  <c r="G26" i="37"/>
  <c r="E27" i="37"/>
  <c r="G27" i="37"/>
  <c r="E28" i="37"/>
  <c r="G28" i="37"/>
  <c r="E29" i="37"/>
  <c r="G29" i="37"/>
  <c r="F68" i="35"/>
  <c r="I68" i="35"/>
  <c r="I45" i="10"/>
  <c r="J45" i="10"/>
  <c r="L45" i="10"/>
  <c r="M45" i="10"/>
  <c r="N45" i="10"/>
  <c r="N53" i="10" s="1"/>
  <c r="P45" i="10"/>
  <c r="L64" i="8"/>
  <c r="L71" i="8"/>
  <c r="K71" i="8"/>
  <c r="K64" i="8"/>
  <c r="L80" i="8"/>
  <c r="K80" i="8"/>
  <c r="K79" i="8"/>
  <c r="L79" i="8"/>
  <c r="K101" i="2"/>
  <c r="L114" i="2"/>
  <c r="K114" i="2"/>
  <c r="L107" i="2"/>
  <c r="K107" i="2"/>
  <c r="L94" i="2"/>
  <c r="L106" i="2"/>
  <c r="L120" i="2"/>
  <c r="K106" i="2"/>
  <c r="K120" i="2"/>
  <c r="L93" i="2"/>
  <c r="K93" i="2"/>
  <c r="L119" i="2"/>
  <c r="K119" i="2"/>
  <c r="L133" i="2"/>
  <c r="L130" i="2"/>
  <c r="L81" i="2"/>
  <c r="K81" i="2"/>
  <c r="L71" i="2"/>
  <c r="K71" i="2"/>
  <c r="L64" i="2"/>
  <c r="K64" i="2"/>
  <c r="K91" i="2"/>
  <c r="K92" i="2"/>
  <c r="L92" i="2"/>
  <c r="L91" i="2"/>
  <c r="L59" i="2"/>
  <c r="K59" i="2"/>
  <c r="L48" i="2"/>
  <c r="L47" i="2"/>
  <c r="L43" i="2"/>
  <c r="K43" i="2"/>
  <c r="L30" i="2"/>
  <c r="K30" i="2"/>
  <c r="L26" i="2"/>
  <c r="K26" i="2"/>
  <c r="K22" i="2"/>
  <c r="L22" i="2"/>
  <c r="G2" i="31"/>
  <c r="G3" i="31"/>
  <c r="B39" i="32"/>
  <c r="G4" i="31"/>
  <c r="G5" i="31"/>
  <c r="G7" i="31"/>
  <c r="G8" i="31"/>
  <c r="G9" i="31"/>
  <c r="G10" i="31"/>
  <c r="G11" i="31"/>
  <c r="G12" i="31"/>
  <c r="G13" i="31"/>
  <c r="G14" i="31"/>
  <c r="G15" i="31"/>
  <c r="G16" i="31"/>
  <c r="G17" i="31"/>
  <c r="G18" i="31"/>
  <c r="G19" i="31"/>
  <c r="G20" i="31"/>
  <c r="G21" i="31"/>
  <c r="G22" i="31"/>
  <c r="G23" i="31"/>
  <c r="G24" i="31"/>
  <c r="G25" i="31"/>
  <c r="G26" i="31"/>
  <c r="G27" i="31"/>
  <c r="B15" i="32"/>
  <c r="G28" i="31"/>
  <c r="G29" i="31"/>
  <c r="G30" i="31"/>
  <c r="G31" i="31"/>
  <c r="G32" i="31"/>
  <c r="G33" i="31"/>
  <c r="G34" i="31"/>
  <c r="G35" i="31"/>
  <c r="C166" i="1"/>
  <c r="G36" i="31"/>
  <c r="C168" i="1"/>
  <c r="G37" i="31"/>
  <c r="F166" i="1"/>
  <c r="G38" i="31"/>
  <c r="G39" i="31"/>
  <c r="G40" i="31"/>
  <c r="J166" i="1"/>
  <c r="G41" i="31"/>
  <c r="G42" i="31"/>
  <c r="G43" i="31"/>
  <c r="G44" i="31"/>
  <c r="G45" i="31"/>
  <c r="G46" i="31"/>
  <c r="G47" i="31"/>
  <c r="G48" i="31"/>
  <c r="G49" i="31"/>
  <c r="G50" i="31"/>
  <c r="G51" i="31"/>
  <c r="G52" i="31"/>
  <c r="G59" i="31"/>
  <c r="G60" i="31"/>
  <c r="G61" i="31"/>
  <c r="G62" i="31"/>
  <c r="G63" i="31"/>
  <c r="G64" i="31"/>
  <c r="G65" i="31"/>
  <c r="G66" i="31"/>
  <c r="G67" i="31"/>
  <c r="G68" i="31"/>
  <c r="G70" i="31"/>
  <c r="G71" i="31"/>
  <c r="G72" i="31"/>
  <c r="G73" i="31"/>
  <c r="G74" i="31"/>
  <c r="G75" i="31"/>
  <c r="G76" i="31"/>
  <c r="G77" i="31"/>
  <c r="G78" i="31"/>
  <c r="G79" i="31"/>
  <c r="G80" i="31"/>
  <c r="G81" i="31"/>
  <c r="G82" i="31"/>
  <c r="G83" i="31"/>
  <c r="G90" i="31"/>
  <c r="G91" i="31"/>
  <c r="G92" i="31"/>
  <c r="G93" i="31"/>
  <c r="G94" i="31"/>
  <c r="G95" i="31"/>
  <c r="G96" i="31"/>
  <c r="G97" i="31"/>
  <c r="G98" i="31"/>
  <c r="G99" i="31"/>
  <c r="G100" i="31"/>
  <c r="G101" i="31"/>
  <c r="G102" i="31"/>
  <c r="F91" i="8"/>
  <c r="K55" i="10"/>
  <c r="F93" i="14"/>
  <c r="F44" i="36"/>
  <c r="F148" i="2"/>
  <c r="H166" i="1"/>
  <c r="J147" i="2"/>
  <c r="L166" i="1"/>
  <c r="L125" i="2"/>
  <c r="L39" i="2"/>
  <c r="L126" i="2"/>
  <c r="F90" i="8"/>
  <c r="F92" i="14"/>
  <c r="H92" i="14"/>
  <c r="I90" i="8"/>
  <c r="K90" i="8"/>
  <c r="J92" i="14"/>
  <c r="L21" i="2"/>
  <c r="K21" i="2"/>
  <c r="K125" i="2"/>
  <c r="L136" i="2"/>
  <c r="L137" i="2"/>
  <c r="L128" i="2"/>
  <c r="L127" i="2"/>
  <c r="L58" i="2"/>
  <c r="L69" i="2"/>
  <c r="L70" i="2"/>
  <c r="L57" i="2"/>
  <c r="M119" i="1"/>
  <c r="M115" i="1"/>
  <c r="N110" i="1"/>
  <c r="M110" i="1"/>
  <c r="H45" i="10"/>
  <c r="I29" i="10"/>
  <c r="J29" i="10"/>
  <c r="K29" i="10"/>
  <c r="L29" i="10"/>
  <c r="M29" i="10"/>
  <c r="N29" i="10"/>
  <c r="H29" i="10"/>
  <c r="I25" i="10"/>
  <c r="I37" i="10"/>
  <c r="I41" i="10"/>
  <c r="I53" i="10"/>
  <c r="J25" i="10"/>
  <c r="J37" i="10"/>
  <c r="J41" i="10"/>
  <c r="J53" i="10"/>
  <c r="K25" i="10"/>
  <c r="L25" i="10"/>
  <c r="L37" i="10"/>
  <c r="L41" i="10"/>
  <c r="L53" i="10"/>
  <c r="M25" i="10"/>
  <c r="M37" i="10"/>
  <c r="M41" i="10"/>
  <c r="M53" i="10"/>
  <c r="N25" i="10"/>
  <c r="H25" i="10"/>
  <c r="H89" i="31"/>
  <c r="I89" i="31"/>
  <c r="K37" i="10"/>
  <c r="K41" i="10"/>
  <c r="K53" i="10"/>
  <c r="L21" i="36"/>
  <c r="L38" i="36"/>
  <c r="N37" i="10"/>
  <c r="N41" i="10"/>
  <c r="H37" i="10"/>
  <c r="H41" i="10"/>
  <c r="H53" i="10"/>
  <c r="M138" i="1"/>
  <c r="Q17" i="10" a="1"/>
  <c r="Q17" i="10"/>
  <c r="O43" i="10"/>
  <c r="Q43" i="10" s="1"/>
  <c r="Q45" i="10" s="1"/>
  <c r="Q53" i="10" s="1"/>
  <c r="O44" i="10"/>
  <c r="O47" i="10"/>
  <c r="Q47" i="10"/>
  <c r="O48" i="10"/>
  <c r="Q48" i="10"/>
  <c r="O49" i="10"/>
  <c r="Q49" i="10"/>
  <c r="O50" i="10"/>
  <c r="Q50" i="10"/>
  <c r="O51" i="10"/>
  <c r="Q51" i="10"/>
  <c r="AA27" i="33"/>
  <c r="AA28" i="33"/>
  <c r="A455" i="34"/>
  <c r="A449" i="34"/>
  <c r="A450" i="34"/>
  <c r="A445" i="34"/>
  <c r="A443" i="34"/>
  <c r="A441" i="34"/>
  <c r="A439" i="34"/>
  <c r="A433" i="34"/>
  <c r="A429" i="34"/>
  <c r="A425" i="34"/>
  <c r="A423" i="34"/>
  <c r="AA25" i="33"/>
  <c r="AA26" i="33"/>
  <c r="H88" i="31"/>
  <c r="I88" i="31"/>
  <c r="Q44" i="10"/>
  <c r="L51" i="8"/>
  <c r="K51" i="8"/>
  <c r="L35" i="8"/>
  <c r="K35" i="8"/>
  <c r="L26" i="8"/>
  <c r="K26" i="8"/>
  <c r="L21" i="8"/>
  <c r="K21" i="8"/>
  <c r="A325" i="34"/>
  <c r="A326" i="34"/>
  <c r="A327" i="34"/>
  <c r="A328" i="34"/>
  <c r="A329" i="34"/>
  <c r="A330" i="34"/>
  <c r="A331" i="34"/>
  <c r="A332" i="34"/>
  <c r="A333" i="34"/>
  <c r="A334" i="34"/>
  <c r="A335" i="34"/>
  <c r="A336" i="34"/>
  <c r="A337" i="34"/>
  <c r="A280" i="34"/>
  <c r="L82" i="8"/>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c r="N138" i="1"/>
  <c r="N128" i="1"/>
  <c r="N123" i="1"/>
  <c r="N119" i="1"/>
  <c r="N115" i="1"/>
  <c r="N106" i="1"/>
  <c r="N94" i="1"/>
  <c r="N93" i="1"/>
  <c r="M94" i="1"/>
  <c r="M93" i="1"/>
  <c r="N101" i="1"/>
  <c r="N161" i="1"/>
  <c r="N65" i="1"/>
  <c r="N64" i="1"/>
  <c r="L50" i="1"/>
  <c r="L42" i="1"/>
  <c r="N45" i="1"/>
  <c r="K22" i="1"/>
  <c r="N56" i="1"/>
  <c r="M37" i="1"/>
  <c r="M45" i="1"/>
  <c r="M73" i="1"/>
  <c r="M65" i="1"/>
  <c r="M50" i="1"/>
  <c r="M64" i="1"/>
  <c r="L56" i="1"/>
  <c r="N22" i="1"/>
  <c r="L22" i="1"/>
  <c r="N28" i="1"/>
  <c r="K28" i="1"/>
  <c r="K21" i="1"/>
  <c r="K86" i="1"/>
  <c r="I69" i="31"/>
  <c r="J18" i="8"/>
  <c r="H69" i="31"/>
  <c r="M22" i="1"/>
  <c r="J18" i="1" a="1"/>
  <c r="J18" i="1"/>
  <c r="J18" i="36"/>
  <c r="J18" i="2"/>
  <c r="E24" i="37"/>
  <c r="G24" i="37"/>
  <c r="E35" i="37"/>
  <c r="G35" i="37"/>
  <c r="AA3" i="33"/>
  <c r="AA4" i="33"/>
  <c r="AA5" i="33"/>
  <c r="AA7" i="33"/>
  <c r="AA10" i="33"/>
  <c r="AA11" i="33"/>
  <c r="AA13" i="33"/>
  <c r="AA15" i="33"/>
  <c r="AA16" i="33"/>
  <c r="AA17" i="33"/>
  <c r="AA18" i="33"/>
  <c r="AA19" i="33"/>
  <c r="AA20" i="33"/>
  <c r="AA21" i="33"/>
  <c r="AA22" i="33"/>
  <c r="AA23" i="33"/>
  <c r="AA24" i="33"/>
  <c r="F69" i="38"/>
  <c r="G69" i="38"/>
  <c r="I405" i="38"/>
  <c r="M405" i="38"/>
  <c r="L406" i="38"/>
  <c r="K407" i="38"/>
  <c r="J408" i="38"/>
  <c r="I409" i="38"/>
  <c r="M409" i="38"/>
  <c r="L410" i="38"/>
  <c r="K411" i="38"/>
  <c r="J412" i="38"/>
  <c r="I413" i="38"/>
  <c r="M413" i="38"/>
  <c r="L414" i="38"/>
  <c r="K415" i="38"/>
  <c r="J416" i="38"/>
  <c r="I417" i="38"/>
  <c r="M417" i="38"/>
  <c r="L418" i="38"/>
  <c r="K419" i="38"/>
  <c r="J420" i="38"/>
  <c r="I13" i="38"/>
  <c r="M13" i="38"/>
  <c r="L14" i="38"/>
  <c r="K15" i="38"/>
  <c r="J16" i="38"/>
  <c r="I17" i="38"/>
  <c r="M17" i="38"/>
  <c r="L18" i="38"/>
  <c r="K19" i="38"/>
  <c r="J20" i="38"/>
  <c r="I21" i="38"/>
  <c r="M21" i="38"/>
  <c r="L22" i="38"/>
  <c r="K23" i="38"/>
  <c r="J24" i="38"/>
  <c r="I25" i="38"/>
  <c r="M25" i="38"/>
  <c r="L26" i="38"/>
  <c r="K27" i="38"/>
  <c r="J28" i="38"/>
  <c r="I29" i="38"/>
  <c r="M29" i="38"/>
  <c r="L30" i="38"/>
  <c r="K31" i="38"/>
  <c r="J32" i="38"/>
  <c r="I33" i="38"/>
  <c r="M33" i="38"/>
  <c r="L34" i="38"/>
  <c r="K35" i="38"/>
  <c r="J36" i="38"/>
  <c r="I37" i="38"/>
  <c r="M37" i="38"/>
  <c r="L38" i="38"/>
  <c r="K39" i="38"/>
  <c r="J40" i="38"/>
  <c r="I41" i="38"/>
  <c r="M41" i="38"/>
  <c r="L42" i="38"/>
  <c r="K43" i="38"/>
  <c r="J44" i="38"/>
  <c r="I45" i="38"/>
  <c r="M45" i="38"/>
  <c r="L46" i="38"/>
  <c r="K47" i="38"/>
  <c r="J48" i="38"/>
  <c r="I49" i="38"/>
  <c r="M49" i="38"/>
  <c r="L50" i="38"/>
  <c r="K51" i="38"/>
  <c r="J52" i="38"/>
  <c r="I53" i="38"/>
  <c r="M53" i="38"/>
  <c r="L54" i="38"/>
  <c r="K55" i="38"/>
  <c r="J56" i="38"/>
  <c r="I57" i="38"/>
  <c r="M57" i="38"/>
  <c r="L58" i="38"/>
  <c r="K59" i="38"/>
  <c r="J60" i="38"/>
  <c r="I61" i="38"/>
  <c r="M61" i="38"/>
  <c r="L62" i="38"/>
  <c r="K63" i="38"/>
  <c r="J64" i="38"/>
  <c r="J405" i="38"/>
  <c r="I406" i="38"/>
  <c r="M406" i="38"/>
  <c r="L407" i="38"/>
  <c r="K408" i="38"/>
  <c r="J409" i="38"/>
  <c r="I410" i="38"/>
  <c r="M410" i="38"/>
  <c r="L411" i="38"/>
  <c r="K412" i="38"/>
  <c r="J413" i="38"/>
  <c r="I414" i="38"/>
  <c r="M414" i="38"/>
  <c r="L415" i="38"/>
  <c r="K416" i="38"/>
  <c r="J417" i="38"/>
  <c r="I418" i="38"/>
  <c r="M418" i="38"/>
  <c r="L419" i="38"/>
  <c r="K420" i="38"/>
  <c r="J13" i="38"/>
  <c r="I14" i="38"/>
  <c r="M14" i="38"/>
  <c r="L15" i="38"/>
  <c r="K16" i="38"/>
  <c r="J17" i="38"/>
  <c r="I18" i="38"/>
  <c r="M18" i="38"/>
  <c r="L19" i="38"/>
  <c r="K20" i="38"/>
  <c r="J21" i="38"/>
  <c r="I22" i="38"/>
  <c r="M22" i="38"/>
  <c r="L23" i="38"/>
  <c r="K24" i="38"/>
  <c r="J25" i="38"/>
  <c r="I26" i="38"/>
  <c r="M26" i="38"/>
  <c r="L27" i="38"/>
  <c r="K28" i="38"/>
  <c r="J29" i="38"/>
  <c r="I30" i="38"/>
  <c r="M30" i="38"/>
  <c r="L31" i="38"/>
  <c r="K32" i="38"/>
  <c r="J33" i="38"/>
  <c r="I34" i="38"/>
  <c r="M34" i="38"/>
  <c r="L35" i="38"/>
  <c r="K36" i="38"/>
  <c r="J37" i="38"/>
  <c r="I38" i="38"/>
  <c r="M38" i="38"/>
  <c r="L39" i="38"/>
  <c r="K40" i="38"/>
  <c r="J41" i="38"/>
  <c r="I42" i="38"/>
  <c r="M42" i="38"/>
  <c r="L43" i="38"/>
  <c r="K44" i="38"/>
  <c r="J45" i="38"/>
  <c r="I46" i="38"/>
  <c r="M46" i="38"/>
  <c r="L47" i="38"/>
  <c r="K48" i="38"/>
  <c r="J49" i="38"/>
  <c r="I50" i="38"/>
  <c r="M50" i="38"/>
  <c r="L51" i="38"/>
  <c r="K52" i="38"/>
  <c r="J53" i="38"/>
  <c r="I54" i="38"/>
  <c r="M54" i="38"/>
  <c r="L55" i="38"/>
  <c r="K56" i="38"/>
  <c r="J57" i="38"/>
  <c r="I58" i="38"/>
  <c r="M58" i="38"/>
  <c r="L59" i="38"/>
  <c r="K60" i="38"/>
  <c r="J61" i="38"/>
  <c r="I62" i="38"/>
  <c r="M62" i="38"/>
  <c r="L63" i="38"/>
  <c r="K64" i="38"/>
  <c r="K405" i="38"/>
  <c r="J406" i="38"/>
  <c r="I407" i="38"/>
  <c r="M407" i="38"/>
  <c r="L408" i="38"/>
  <c r="K409" i="38"/>
  <c r="J410" i="38"/>
  <c r="I411" i="38"/>
  <c r="M411" i="38"/>
  <c r="L412" i="38"/>
  <c r="K413" i="38"/>
  <c r="J414" i="38"/>
  <c r="I415" i="38"/>
  <c r="M415" i="38"/>
  <c r="L416" i="38"/>
  <c r="K417" i="38"/>
  <c r="J418" i="38"/>
  <c r="I419" i="38"/>
  <c r="M419" i="38"/>
  <c r="L420" i="38"/>
  <c r="K13" i="38"/>
  <c r="J14" i="38"/>
  <c r="I15" i="38"/>
  <c r="M15" i="38"/>
  <c r="L16" i="38"/>
  <c r="K17" i="38"/>
  <c r="J18" i="38"/>
  <c r="I19" i="38"/>
  <c r="M19" i="38"/>
  <c r="L20" i="38"/>
  <c r="K21" i="38"/>
  <c r="J22" i="38"/>
  <c r="I23" i="38"/>
  <c r="M23" i="38"/>
  <c r="L24" i="38"/>
  <c r="K25" i="38"/>
  <c r="J26" i="38"/>
  <c r="I27" i="38"/>
  <c r="M27" i="38"/>
  <c r="L28" i="38"/>
  <c r="K29" i="38"/>
  <c r="J30" i="38"/>
  <c r="I31" i="38"/>
  <c r="M31" i="38"/>
  <c r="L32" i="38"/>
  <c r="K33" i="38"/>
  <c r="J34" i="38"/>
  <c r="I35" i="38"/>
  <c r="M35" i="38"/>
  <c r="L36" i="38"/>
  <c r="K37" i="38"/>
  <c r="J38" i="38"/>
  <c r="I39" i="38"/>
  <c r="M39" i="38"/>
  <c r="L40" i="38"/>
  <c r="K41" i="38"/>
  <c r="J42" i="38"/>
  <c r="I43" i="38"/>
  <c r="M43" i="38"/>
  <c r="L44" i="38"/>
  <c r="K45" i="38"/>
  <c r="J46" i="38"/>
  <c r="I47" i="38"/>
  <c r="M47" i="38"/>
  <c r="L48" i="38"/>
  <c r="K49" i="38"/>
  <c r="J50" i="38"/>
  <c r="I51" i="38"/>
  <c r="M51" i="38"/>
  <c r="L52" i="38"/>
  <c r="K53" i="38"/>
  <c r="J54" i="38"/>
  <c r="I55" i="38"/>
  <c r="M55" i="38"/>
  <c r="L56" i="38"/>
  <c r="K57" i="38"/>
  <c r="J58" i="38"/>
  <c r="I59" i="38"/>
  <c r="M59" i="38"/>
  <c r="L60" i="38"/>
  <c r="K61" i="38"/>
  <c r="J62" i="38"/>
  <c r="I63" i="38"/>
  <c r="M63" i="38"/>
  <c r="L64" i="38"/>
  <c r="L405" i="38"/>
  <c r="M408" i="38"/>
  <c r="I412" i="38"/>
  <c r="J415" i="38"/>
  <c r="K418" i="38"/>
  <c r="L13" i="38"/>
  <c r="M16" i="38"/>
  <c r="I20" i="38"/>
  <c r="J23" i="38"/>
  <c r="K26" i="38"/>
  <c r="L29" i="38"/>
  <c r="M32" i="38"/>
  <c r="I36" i="38"/>
  <c r="J39" i="38"/>
  <c r="K42" i="38"/>
  <c r="L45" i="38"/>
  <c r="M48" i="38"/>
  <c r="I52" i="38"/>
  <c r="J55" i="38"/>
  <c r="K58" i="38"/>
  <c r="L61" i="38"/>
  <c r="M64" i="38"/>
  <c r="L65" i="38"/>
  <c r="K66" i="38"/>
  <c r="J67" i="38"/>
  <c r="I68" i="38"/>
  <c r="M68" i="38"/>
  <c r="L69" i="38"/>
  <c r="K70" i="38"/>
  <c r="J71" i="38"/>
  <c r="I72" i="38"/>
  <c r="M72" i="38"/>
  <c r="L73" i="38"/>
  <c r="K74" i="38"/>
  <c r="J75" i="38"/>
  <c r="I76" i="38"/>
  <c r="M76" i="38"/>
  <c r="L77" i="38"/>
  <c r="K78" i="38"/>
  <c r="J79" i="38"/>
  <c r="I80" i="38"/>
  <c r="M80" i="38"/>
  <c r="L81" i="38"/>
  <c r="K82" i="38"/>
  <c r="J83" i="38"/>
  <c r="I84" i="38"/>
  <c r="M84" i="38"/>
  <c r="L85" i="38"/>
  <c r="K86" i="38"/>
  <c r="J87" i="38"/>
  <c r="I88" i="38"/>
  <c r="M88" i="38"/>
  <c r="L89" i="38"/>
  <c r="K90" i="38"/>
  <c r="J91" i="38"/>
  <c r="I92" i="38"/>
  <c r="M92" i="38"/>
  <c r="L93" i="38"/>
  <c r="K94" i="38"/>
  <c r="J95" i="38"/>
  <c r="I96" i="38"/>
  <c r="M96" i="38"/>
  <c r="L97" i="38"/>
  <c r="K98" i="38"/>
  <c r="J99" i="38"/>
  <c r="I100" i="38"/>
  <c r="M100" i="38"/>
  <c r="L101" i="38"/>
  <c r="K102" i="38"/>
  <c r="J103" i="38"/>
  <c r="I104" i="38"/>
  <c r="M104" i="38"/>
  <c r="L105" i="38"/>
  <c r="K106" i="38"/>
  <c r="J107" i="38"/>
  <c r="I108" i="38"/>
  <c r="M108" i="38"/>
  <c r="L109" i="38"/>
  <c r="K110" i="38"/>
  <c r="J111" i="38"/>
  <c r="I112" i="38"/>
  <c r="M112" i="38"/>
  <c r="L113" i="38"/>
  <c r="K114" i="38"/>
  <c r="J115" i="38"/>
  <c r="K406" i="38"/>
  <c r="L409" i="38"/>
  <c r="M412" i="38"/>
  <c r="I416" i="38"/>
  <c r="J419" i="38"/>
  <c r="K14" i="38"/>
  <c r="L17" i="38"/>
  <c r="M20" i="38"/>
  <c r="I24" i="38"/>
  <c r="J27" i="38"/>
  <c r="K30" i="38"/>
  <c r="L33" i="38"/>
  <c r="M36" i="38"/>
  <c r="I40" i="38"/>
  <c r="J43" i="38"/>
  <c r="K46" i="38"/>
  <c r="L49" i="38"/>
  <c r="M52" i="38"/>
  <c r="I56" i="38"/>
  <c r="J59" i="38"/>
  <c r="K62" i="38"/>
  <c r="I65" i="38"/>
  <c r="M65" i="38"/>
  <c r="L66" i="38"/>
  <c r="K67" i="38"/>
  <c r="J68" i="38"/>
  <c r="I69" i="38"/>
  <c r="M69" i="38"/>
  <c r="L70" i="38"/>
  <c r="K71" i="38"/>
  <c r="J72" i="38"/>
  <c r="I73" i="38"/>
  <c r="M73" i="38"/>
  <c r="L74" i="38"/>
  <c r="K75" i="38"/>
  <c r="J76" i="38"/>
  <c r="I77" i="38"/>
  <c r="M77" i="38"/>
  <c r="L78" i="38"/>
  <c r="K79" i="38"/>
  <c r="J80" i="38"/>
  <c r="I81" i="38"/>
  <c r="M81" i="38"/>
  <c r="L82" i="38"/>
  <c r="K83" i="38"/>
  <c r="J84" i="38"/>
  <c r="I85" i="38"/>
  <c r="M85" i="38"/>
  <c r="L86" i="38"/>
  <c r="K87" i="38"/>
  <c r="J88" i="38"/>
  <c r="I89" i="38"/>
  <c r="M89" i="38"/>
  <c r="L90" i="38"/>
  <c r="K91" i="38"/>
  <c r="J92" i="38"/>
  <c r="I93" i="38"/>
  <c r="M93" i="38"/>
  <c r="L94" i="38"/>
  <c r="K95" i="38"/>
  <c r="J96" i="38"/>
  <c r="I97" i="38"/>
  <c r="M97" i="38"/>
  <c r="L98" i="38"/>
  <c r="K99" i="38"/>
  <c r="J100" i="38"/>
  <c r="I101" i="38"/>
  <c r="M101" i="38"/>
  <c r="L102" i="38"/>
  <c r="K103" i="38"/>
  <c r="J104" i="38"/>
  <c r="I105" i="38"/>
  <c r="M105" i="38"/>
  <c r="L106" i="38"/>
  <c r="K107" i="38"/>
  <c r="J108" i="38"/>
  <c r="I109" i="38"/>
  <c r="M109" i="38"/>
  <c r="L110" i="38"/>
  <c r="K111" i="38"/>
  <c r="J112" i="38"/>
  <c r="I113" i="38"/>
  <c r="M113" i="38"/>
  <c r="L114" i="38"/>
  <c r="K115" i="38"/>
  <c r="J116" i="38"/>
  <c r="J407" i="38"/>
  <c r="K410" i="38"/>
  <c r="L413" i="38"/>
  <c r="M416" i="38"/>
  <c r="I420" i="38"/>
  <c r="J15" i="38"/>
  <c r="K18" i="38"/>
  <c r="L21" i="38"/>
  <c r="M24" i="38"/>
  <c r="I28" i="38"/>
  <c r="J31" i="38"/>
  <c r="K34" i="38"/>
  <c r="L37" i="38"/>
  <c r="M40" i="38"/>
  <c r="I44" i="38"/>
  <c r="J47" i="38"/>
  <c r="K50" i="38"/>
  <c r="L53" i="38"/>
  <c r="M56" i="38"/>
  <c r="I60" i="38"/>
  <c r="J63" i="38"/>
  <c r="J65" i="38"/>
  <c r="I66" i="38"/>
  <c r="M66" i="38"/>
  <c r="L67" i="38"/>
  <c r="K68" i="38"/>
  <c r="J69" i="38"/>
  <c r="I70" i="38"/>
  <c r="M70" i="38"/>
  <c r="L71" i="38"/>
  <c r="K72" i="38"/>
  <c r="J73" i="38"/>
  <c r="I74" i="38"/>
  <c r="M74" i="38"/>
  <c r="L75" i="38"/>
  <c r="K76" i="38"/>
  <c r="J77" i="38"/>
  <c r="I78" i="38"/>
  <c r="M78" i="38"/>
  <c r="L79" i="38"/>
  <c r="K80" i="38"/>
  <c r="J81" i="38"/>
  <c r="I82" i="38"/>
  <c r="M82" i="38"/>
  <c r="L83" i="38"/>
  <c r="K84" i="38"/>
  <c r="J85" i="38"/>
  <c r="I86" i="38"/>
  <c r="M86" i="38"/>
  <c r="L87" i="38"/>
  <c r="K88" i="38"/>
  <c r="J89" i="38"/>
  <c r="I90" i="38"/>
  <c r="M90" i="38"/>
  <c r="L91" i="38"/>
  <c r="K92" i="38"/>
  <c r="J93" i="38"/>
  <c r="I94" i="38"/>
  <c r="M94" i="38"/>
  <c r="L95" i="38"/>
  <c r="K96" i="38"/>
  <c r="J97" i="38"/>
  <c r="I98" i="38"/>
  <c r="M98" i="38"/>
  <c r="L99" i="38"/>
  <c r="K100" i="38"/>
  <c r="J101" i="38"/>
  <c r="I102" i="38"/>
  <c r="M102" i="38"/>
  <c r="L103" i="38"/>
  <c r="K104" i="38"/>
  <c r="J105" i="38"/>
  <c r="I106" i="38"/>
  <c r="M106" i="38"/>
  <c r="L107" i="38"/>
  <c r="K108" i="38"/>
  <c r="J109" i="38"/>
  <c r="I110" i="38"/>
  <c r="M110" i="38"/>
  <c r="L111" i="38"/>
  <c r="K112" i="38"/>
  <c r="J113" i="38"/>
  <c r="I114" i="38"/>
  <c r="M114" i="38"/>
  <c r="L115" i="38"/>
  <c r="K116" i="38"/>
  <c r="I408" i="38"/>
  <c r="M420" i="38"/>
  <c r="L25" i="38"/>
  <c r="K38" i="38"/>
  <c r="J51" i="38"/>
  <c r="I64" i="38"/>
  <c r="M67" i="38"/>
  <c r="I71" i="38"/>
  <c r="J74" i="38"/>
  <c r="K77" i="38"/>
  <c r="L80" i="38"/>
  <c r="M83" i="38"/>
  <c r="I87" i="38"/>
  <c r="J90" i="38"/>
  <c r="K93" i="38"/>
  <c r="L96" i="38"/>
  <c r="M99" i="38"/>
  <c r="I103" i="38"/>
  <c r="J106" i="38"/>
  <c r="K109" i="38"/>
  <c r="L112" i="38"/>
  <c r="M115" i="38"/>
  <c r="I117" i="38"/>
  <c r="M117" i="38"/>
  <c r="L118" i="38"/>
  <c r="K119" i="38"/>
  <c r="J120" i="38"/>
  <c r="I121" i="38"/>
  <c r="M121" i="38"/>
  <c r="L122" i="38"/>
  <c r="K123" i="38"/>
  <c r="J124" i="38"/>
  <c r="I125" i="38"/>
  <c r="M125" i="38"/>
  <c r="L126" i="38"/>
  <c r="K127" i="38"/>
  <c r="J128" i="38"/>
  <c r="I129" i="38"/>
  <c r="M129" i="38"/>
  <c r="L130" i="38"/>
  <c r="K131" i="38"/>
  <c r="J132" i="38"/>
  <c r="I133" i="38"/>
  <c r="M133" i="38"/>
  <c r="L134" i="38"/>
  <c r="K135" i="38"/>
  <c r="J136" i="38"/>
  <c r="I137" i="38"/>
  <c r="M137" i="38"/>
  <c r="L138" i="38"/>
  <c r="K139" i="38"/>
  <c r="J140" i="38"/>
  <c r="I141" i="38"/>
  <c r="M141" i="38"/>
  <c r="L142" i="38"/>
  <c r="K143" i="38"/>
  <c r="J144" i="38"/>
  <c r="I145" i="38"/>
  <c r="M145" i="38"/>
  <c r="L146" i="38"/>
  <c r="K147" i="38"/>
  <c r="J148" i="38"/>
  <c r="I149" i="38"/>
  <c r="M149" i="38"/>
  <c r="L150" i="38"/>
  <c r="K151" i="38"/>
  <c r="J152" i="38"/>
  <c r="I153" i="38"/>
  <c r="M153" i="38"/>
  <c r="L154" i="38"/>
  <c r="K155" i="38"/>
  <c r="J156" i="38"/>
  <c r="I157" i="38"/>
  <c r="M157" i="38"/>
  <c r="L158" i="38"/>
  <c r="K159" i="38"/>
  <c r="J160" i="38"/>
  <c r="I161" i="38"/>
  <c r="M161" i="38"/>
  <c r="L162" i="38"/>
  <c r="K163" i="38"/>
  <c r="J164" i="38"/>
  <c r="I165" i="38"/>
  <c r="M165" i="38"/>
  <c r="L166" i="38"/>
  <c r="K167" i="38"/>
  <c r="J168" i="38"/>
  <c r="I169" i="38"/>
  <c r="M169" i="38"/>
  <c r="L170" i="38"/>
  <c r="K171" i="38"/>
  <c r="J172" i="38"/>
  <c r="I173" i="38"/>
  <c r="M173" i="38"/>
  <c r="L174" i="38"/>
  <c r="K175" i="38"/>
  <c r="J176" i="38"/>
  <c r="I177" i="38"/>
  <c r="M177" i="38"/>
  <c r="L178" i="38"/>
  <c r="K179" i="38"/>
  <c r="J180" i="38"/>
  <c r="I181" i="38"/>
  <c r="M181" i="38"/>
  <c r="L182" i="38"/>
  <c r="K183" i="38"/>
  <c r="J184" i="38"/>
  <c r="I185" i="38"/>
  <c r="M185" i="38"/>
  <c r="L186" i="38"/>
  <c r="K187" i="38"/>
  <c r="J188" i="38"/>
  <c r="I189" i="38"/>
  <c r="M189" i="38"/>
  <c r="L190" i="38"/>
  <c r="K191" i="38"/>
  <c r="J192" i="38"/>
  <c r="I193" i="38"/>
  <c r="M193" i="38"/>
  <c r="L194" i="38"/>
  <c r="K195" i="38"/>
  <c r="J196" i="38"/>
  <c r="I197" i="38"/>
  <c r="M197" i="38"/>
  <c r="L198" i="38"/>
  <c r="K199" i="38"/>
  <c r="J200" i="38"/>
  <c r="I201" i="38"/>
  <c r="M201" i="38"/>
  <c r="L202" i="38"/>
  <c r="K203" i="38"/>
  <c r="J204" i="38"/>
  <c r="I205" i="38"/>
  <c r="M205" i="38"/>
  <c r="L206" i="38"/>
  <c r="K207" i="38"/>
  <c r="J208" i="38"/>
  <c r="I209" i="38"/>
  <c r="M209" i="38"/>
  <c r="L210" i="38"/>
  <c r="K211" i="38"/>
  <c r="J212" i="38"/>
  <c r="I213" i="38"/>
  <c r="M213" i="38"/>
  <c r="L214" i="38"/>
  <c r="K215" i="38"/>
  <c r="J216" i="38"/>
  <c r="I217" i="38"/>
  <c r="M217" i="38"/>
  <c r="L218" i="38"/>
  <c r="K219" i="38"/>
  <c r="J220" i="38"/>
  <c r="I221" i="38"/>
  <c r="M221" i="38"/>
  <c r="L222" i="38"/>
  <c r="K223" i="38"/>
  <c r="J224" i="38"/>
  <c r="I225" i="38"/>
  <c r="M225" i="38"/>
  <c r="L226" i="38"/>
  <c r="K227" i="38"/>
  <c r="J228" i="38"/>
  <c r="I229" i="38"/>
  <c r="M229" i="38"/>
  <c r="L230" i="38"/>
  <c r="K231" i="38"/>
  <c r="J411" i="38"/>
  <c r="I16" i="38"/>
  <c r="M28" i="38"/>
  <c r="L41" i="38"/>
  <c r="K54" i="38"/>
  <c r="K65" i="38"/>
  <c r="L68" i="38"/>
  <c r="M71" i="38"/>
  <c r="I75" i="38"/>
  <c r="J78" i="38"/>
  <c r="K81" i="38"/>
  <c r="L84" i="38"/>
  <c r="M87" i="38"/>
  <c r="I91" i="38"/>
  <c r="J94" i="38"/>
  <c r="K97" i="38"/>
  <c r="L100" i="38"/>
  <c r="M103" i="38"/>
  <c r="I107" i="38"/>
  <c r="J110" i="38"/>
  <c r="K113" i="38"/>
  <c r="I116" i="38"/>
  <c r="J117" i="38"/>
  <c r="I118" i="38"/>
  <c r="M118" i="38"/>
  <c r="L119" i="38"/>
  <c r="K120" i="38"/>
  <c r="J121" i="38"/>
  <c r="I122" i="38"/>
  <c r="M122" i="38"/>
  <c r="L123" i="38"/>
  <c r="K124" i="38"/>
  <c r="J125" i="38"/>
  <c r="I126" i="38"/>
  <c r="M126" i="38"/>
  <c r="L127" i="38"/>
  <c r="K128" i="38"/>
  <c r="J129" i="38"/>
  <c r="I130" i="38"/>
  <c r="M130" i="38"/>
  <c r="L131" i="38"/>
  <c r="K132" i="38"/>
  <c r="J133" i="38"/>
  <c r="I134" i="38"/>
  <c r="M134" i="38"/>
  <c r="L135" i="38"/>
  <c r="K136" i="38"/>
  <c r="J137" i="38"/>
  <c r="I138" i="38"/>
  <c r="M138" i="38"/>
  <c r="L139" i="38"/>
  <c r="K140" i="38"/>
  <c r="J141" i="38"/>
  <c r="I142" i="38"/>
  <c r="M142" i="38"/>
  <c r="L143" i="38"/>
  <c r="K144" i="38"/>
  <c r="J145" i="38"/>
  <c r="I146" i="38"/>
  <c r="M146" i="38"/>
  <c r="L147" i="38"/>
  <c r="K148" i="38"/>
  <c r="J149" i="38"/>
  <c r="I150" i="38"/>
  <c r="M150" i="38"/>
  <c r="L151" i="38"/>
  <c r="K152" i="38"/>
  <c r="J153" i="38"/>
  <c r="I154" i="38"/>
  <c r="M154" i="38"/>
  <c r="L155" i="38"/>
  <c r="K156" i="38"/>
  <c r="J157" i="38"/>
  <c r="I158" i="38"/>
  <c r="M158" i="38"/>
  <c r="L159" i="38"/>
  <c r="K160" i="38"/>
  <c r="J161" i="38"/>
  <c r="I162" i="38"/>
  <c r="M162" i="38"/>
  <c r="L163" i="38"/>
  <c r="K164" i="38"/>
  <c r="J165" i="38"/>
  <c r="I166" i="38"/>
  <c r="M166" i="38"/>
  <c r="L167" i="38"/>
  <c r="K168" i="38"/>
  <c r="J169" i="38"/>
  <c r="I170" i="38"/>
  <c r="M170" i="38"/>
  <c r="L171" i="38"/>
  <c r="K172" i="38"/>
  <c r="J173" i="38"/>
  <c r="I174" i="38"/>
  <c r="M174" i="38"/>
  <c r="L175" i="38"/>
  <c r="K176" i="38"/>
  <c r="J177" i="38"/>
  <c r="I178" i="38"/>
  <c r="M178" i="38"/>
  <c r="L179" i="38"/>
  <c r="K180" i="38"/>
  <c r="J181" i="38"/>
  <c r="I182" i="38"/>
  <c r="M182" i="38"/>
  <c r="L183" i="38"/>
  <c r="K184" i="38"/>
  <c r="J185" i="38"/>
  <c r="I186" i="38"/>
  <c r="M186" i="38"/>
  <c r="L187" i="38"/>
  <c r="K188" i="38"/>
  <c r="J189" i="38"/>
  <c r="I190" i="38"/>
  <c r="M190" i="38"/>
  <c r="L191" i="38"/>
  <c r="K192" i="38"/>
  <c r="J193" i="38"/>
  <c r="I194" i="38"/>
  <c r="M194" i="38"/>
  <c r="L195" i="38"/>
  <c r="K196" i="38"/>
  <c r="J197" i="38"/>
  <c r="I198" i="38"/>
  <c r="M198" i="38"/>
  <c r="L199" i="38"/>
  <c r="K200" i="38"/>
  <c r="J201" i="38"/>
  <c r="I202" i="38"/>
  <c r="M202" i="38"/>
  <c r="L203" i="38"/>
  <c r="K204" i="38"/>
  <c r="J205" i="38"/>
  <c r="I206" i="38"/>
  <c r="M206" i="38"/>
  <c r="L207" i="38"/>
  <c r="K208" i="38"/>
  <c r="J209" i="38"/>
  <c r="I210" i="38"/>
  <c r="M210" i="38"/>
  <c r="L211" i="38"/>
  <c r="K212" i="38"/>
  <c r="J213" i="38"/>
  <c r="I214" i="38"/>
  <c r="M214" i="38"/>
  <c r="L215" i="38"/>
  <c r="K216" i="38"/>
  <c r="J217" i="38"/>
  <c r="I218" i="38"/>
  <c r="M218" i="38"/>
  <c r="L219" i="38"/>
  <c r="K220" i="38"/>
  <c r="J221" i="38"/>
  <c r="I222" i="38"/>
  <c r="M222" i="38"/>
  <c r="L223" i="38"/>
  <c r="K224" i="38"/>
  <c r="J225" i="38"/>
  <c r="I226" i="38"/>
  <c r="M226" i="38"/>
  <c r="L227" i="38"/>
  <c r="K228" i="38"/>
  <c r="J229" i="38"/>
  <c r="I230" i="38"/>
  <c r="M230" i="38"/>
  <c r="L231" i="38"/>
  <c r="K232" i="38"/>
  <c r="J233" i="38"/>
  <c r="I234" i="38"/>
  <c r="M234" i="38"/>
  <c r="K414" i="38"/>
  <c r="J19" i="38"/>
  <c r="I32" i="38"/>
  <c r="M44" i="38"/>
  <c r="L57" i="38"/>
  <c r="J66" i="38"/>
  <c r="K69" i="38"/>
  <c r="L72" i="38"/>
  <c r="M75" i="38"/>
  <c r="I79" i="38"/>
  <c r="J82" i="38"/>
  <c r="K85" i="38"/>
  <c r="L88" i="38"/>
  <c r="M91" i="38"/>
  <c r="I95" i="38"/>
  <c r="J98" i="38"/>
  <c r="K101" i="38"/>
  <c r="L104" i="38"/>
  <c r="M107" i="38"/>
  <c r="I111" i="38"/>
  <c r="J114" i="38"/>
  <c r="L116" i="38"/>
  <c r="K117" i="38"/>
  <c r="J118" i="38"/>
  <c r="I119" i="38"/>
  <c r="M119" i="38"/>
  <c r="L120" i="38"/>
  <c r="K121" i="38"/>
  <c r="J122" i="38"/>
  <c r="I123" i="38"/>
  <c r="M123" i="38"/>
  <c r="L124" i="38"/>
  <c r="K125" i="38"/>
  <c r="J126" i="38"/>
  <c r="I127" i="38"/>
  <c r="M127" i="38"/>
  <c r="L128" i="38"/>
  <c r="K129" i="38"/>
  <c r="J130" i="38"/>
  <c r="I131" i="38"/>
  <c r="M131" i="38"/>
  <c r="L132" i="38"/>
  <c r="K133" i="38"/>
  <c r="J134" i="38"/>
  <c r="I135" i="38"/>
  <c r="M135" i="38"/>
  <c r="L136" i="38"/>
  <c r="K137" i="38"/>
  <c r="J138" i="38"/>
  <c r="I139" i="38"/>
  <c r="M139" i="38"/>
  <c r="L140" i="38"/>
  <c r="K141" i="38"/>
  <c r="J142" i="38"/>
  <c r="I143" i="38"/>
  <c r="M143" i="38"/>
  <c r="L144" i="38"/>
  <c r="K145" i="38"/>
  <c r="J146" i="38"/>
  <c r="I147" i="38"/>
  <c r="M147" i="38"/>
  <c r="L148" i="38"/>
  <c r="K149" i="38"/>
  <c r="J150" i="38"/>
  <c r="I151" i="38"/>
  <c r="M151" i="38"/>
  <c r="L152" i="38"/>
  <c r="K153" i="38"/>
  <c r="J154" i="38"/>
  <c r="I155" i="38"/>
  <c r="M155" i="38"/>
  <c r="L156" i="38"/>
  <c r="K157" i="38"/>
  <c r="J158" i="38"/>
  <c r="I159" i="38"/>
  <c r="M159" i="38"/>
  <c r="L160" i="38"/>
  <c r="K161" i="38"/>
  <c r="J162" i="38"/>
  <c r="I163" i="38"/>
  <c r="M163" i="38"/>
  <c r="L164" i="38"/>
  <c r="K165" i="38"/>
  <c r="J166" i="38"/>
  <c r="I167" i="38"/>
  <c r="M167" i="38"/>
  <c r="L168" i="38"/>
  <c r="K169" i="38"/>
  <c r="J170" i="38"/>
  <c r="I171" i="38"/>
  <c r="M171" i="38"/>
  <c r="L172" i="38"/>
  <c r="K173" i="38"/>
  <c r="J174" i="38"/>
  <c r="I175" i="38"/>
  <c r="M175" i="38"/>
  <c r="L176" i="38"/>
  <c r="K177" i="38"/>
  <c r="J178" i="38"/>
  <c r="I179" i="38"/>
  <c r="M179" i="38"/>
  <c r="L180" i="38"/>
  <c r="K181" i="38"/>
  <c r="J182" i="38"/>
  <c r="I183" i="38"/>
  <c r="M183" i="38"/>
  <c r="L184" i="38"/>
  <c r="K185" i="38"/>
  <c r="J186" i="38"/>
  <c r="I187" i="38"/>
  <c r="M187" i="38"/>
  <c r="L188" i="38"/>
  <c r="K189" i="38"/>
  <c r="J190" i="38"/>
  <c r="I191" i="38"/>
  <c r="M191" i="38"/>
  <c r="L192" i="38"/>
  <c r="K193" i="38"/>
  <c r="J194" i="38"/>
  <c r="I195" i="38"/>
  <c r="M195" i="38"/>
  <c r="L196" i="38"/>
  <c r="K197" i="38"/>
  <c r="J198" i="38"/>
  <c r="I199" i="38"/>
  <c r="M199" i="38"/>
  <c r="L200" i="38"/>
  <c r="K201" i="38"/>
  <c r="J202" i="38"/>
  <c r="I203" i="38"/>
  <c r="M203" i="38"/>
  <c r="L204" i="38"/>
  <c r="K205" i="38"/>
  <c r="J206" i="38"/>
  <c r="I207" i="38"/>
  <c r="M207" i="38"/>
  <c r="L208" i="38"/>
  <c r="K209" i="38"/>
  <c r="J210" i="38"/>
  <c r="I211" i="38"/>
  <c r="M211" i="38"/>
  <c r="L212" i="38"/>
  <c r="K213" i="38"/>
  <c r="J214" i="38"/>
  <c r="I215" i="38"/>
  <c r="M215" i="38"/>
  <c r="L216" i="38"/>
  <c r="K217" i="38"/>
  <c r="J218" i="38"/>
  <c r="I219" i="38"/>
  <c r="M219" i="38"/>
  <c r="L220" i="38"/>
  <c r="K221" i="38"/>
  <c r="J222" i="38"/>
  <c r="I223" i="38"/>
  <c r="M223" i="38"/>
  <c r="L224" i="38"/>
  <c r="K225" i="38"/>
  <c r="J226" i="38"/>
  <c r="I227" i="38"/>
  <c r="M227" i="38"/>
  <c r="L228" i="38"/>
  <c r="K229" i="38"/>
  <c r="J230" i="38"/>
  <c r="I231" i="38"/>
  <c r="M231" i="38"/>
  <c r="L232" i="38"/>
  <c r="K233" i="38"/>
  <c r="J234" i="38"/>
  <c r="I235" i="38"/>
  <c r="L417" i="38"/>
  <c r="M60" i="38"/>
  <c r="L76" i="38"/>
  <c r="K89" i="38"/>
  <c r="J102" i="38"/>
  <c r="I115" i="38"/>
  <c r="J119" i="38"/>
  <c r="K122" i="38"/>
  <c r="L125" i="38"/>
  <c r="M128" i="38"/>
  <c r="I132" i="38"/>
  <c r="J135" i="38"/>
  <c r="K138" i="38"/>
  <c r="L141" i="38"/>
  <c r="M144" i="38"/>
  <c r="I148" i="38"/>
  <c r="J151" i="38"/>
  <c r="K154" i="38"/>
  <c r="L157" i="38"/>
  <c r="M160" i="38"/>
  <c r="I164" i="38"/>
  <c r="J167" i="38"/>
  <c r="K170" i="38"/>
  <c r="L173" i="38"/>
  <c r="M176" i="38"/>
  <c r="I180" i="38"/>
  <c r="J183" i="38"/>
  <c r="K186" i="38"/>
  <c r="L189" i="38"/>
  <c r="M192" i="38"/>
  <c r="I196" i="38"/>
  <c r="J199" i="38"/>
  <c r="K202" i="38"/>
  <c r="L205" i="38"/>
  <c r="M208" i="38"/>
  <c r="I212" i="38"/>
  <c r="J215" i="38"/>
  <c r="K218" i="38"/>
  <c r="L221" i="38"/>
  <c r="M224" i="38"/>
  <c r="I228" i="38"/>
  <c r="J231" i="38"/>
  <c r="I233" i="38"/>
  <c r="L234" i="38"/>
  <c r="M235" i="38"/>
  <c r="L236" i="38"/>
  <c r="K237" i="38"/>
  <c r="J238" i="38"/>
  <c r="I239" i="38"/>
  <c r="M239" i="38"/>
  <c r="L240" i="38"/>
  <c r="K241" i="38"/>
  <c r="J242" i="38"/>
  <c r="I243" i="38"/>
  <c r="M243" i="38"/>
  <c r="L244" i="38"/>
  <c r="K245" i="38"/>
  <c r="J246" i="38"/>
  <c r="I247" i="38"/>
  <c r="M247" i="38"/>
  <c r="L248" i="38"/>
  <c r="K249" i="38"/>
  <c r="J250" i="38"/>
  <c r="I251" i="38"/>
  <c r="M251" i="38"/>
  <c r="L252" i="38"/>
  <c r="K253" i="38"/>
  <c r="J254" i="38"/>
  <c r="I255" i="38"/>
  <c r="M255" i="38"/>
  <c r="L256" i="38"/>
  <c r="K257" i="38"/>
  <c r="J258" i="38"/>
  <c r="I259" i="38"/>
  <c r="M259" i="38"/>
  <c r="L260" i="38"/>
  <c r="K261" i="38"/>
  <c r="J262" i="38"/>
  <c r="I263" i="38"/>
  <c r="M263" i="38"/>
  <c r="L264" i="38"/>
  <c r="K265" i="38"/>
  <c r="J266" i="38"/>
  <c r="I267" i="38"/>
  <c r="M267" i="38"/>
  <c r="L268" i="38"/>
  <c r="K269" i="38"/>
  <c r="J270" i="38"/>
  <c r="I271" i="38"/>
  <c r="M271" i="38"/>
  <c r="L272" i="38"/>
  <c r="K273" i="38"/>
  <c r="J274" i="38"/>
  <c r="I275" i="38"/>
  <c r="M275" i="38"/>
  <c r="L276" i="38"/>
  <c r="K277" i="38"/>
  <c r="J278" i="38"/>
  <c r="I279" i="38"/>
  <c r="M279" i="38"/>
  <c r="L280" i="38"/>
  <c r="K281" i="38"/>
  <c r="J282" i="38"/>
  <c r="I283" i="38"/>
  <c r="M283" i="38"/>
  <c r="L284" i="38"/>
  <c r="K285" i="38"/>
  <c r="J286" i="38"/>
  <c r="I287" i="38"/>
  <c r="M287" i="38"/>
  <c r="L288" i="38"/>
  <c r="K289" i="38"/>
  <c r="J290" i="38"/>
  <c r="I291" i="38"/>
  <c r="M291" i="38"/>
  <c r="L292" i="38"/>
  <c r="K293" i="38"/>
  <c r="J294" i="38"/>
  <c r="I295" i="38"/>
  <c r="M295" i="38"/>
  <c r="L296" i="38"/>
  <c r="K297" i="38"/>
  <c r="J298" i="38"/>
  <c r="I299" i="38"/>
  <c r="M299" i="38"/>
  <c r="L300" i="38"/>
  <c r="K301" i="38"/>
  <c r="J302" i="38"/>
  <c r="I303" i="38"/>
  <c r="M303" i="38"/>
  <c r="L304" i="38"/>
  <c r="K305" i="38"/>
  <c r="J306" i="38"/>
  <c r="I307" i="38"/>
  <c r="M307" i="38"/>
  <c r="L308" i="38"/>
  <c r="K309" i="38"/>
  <c r="J310" i="38"/>
  <c r="I311" i="38"/>
  <c r="M311" i="38"/>
  <c r="L312" i="38"/>
  <c r="K313" i="38"/>
  <c r="J314" i="38"/>
  <c r="I315" i="38"/>
  <c r="M315" i="38"/>
  <c r="L316" i="38"/>
  <c r="K317" i="38"/>
  <c r="J318" i="38"/>
  <c r="I319" i="38"/>
  <c r="M319" i="38"/>
  <c r="L320" i="38"/>
  <c r="K321" i="38"/>
  <c r="J322" i="38"/>
  <c r="I323" i="38"/>
  <c r="M323" i="38"/>
  <c r="L324" i="38"/>
  <c r="K325" i="38"/>
  <c r="J326" i="38"/>
  <c r="I327" i="38"/>
  <c r="M327" i="38"/>
  <c r="L328" i="38"/>
  <c r="K329" i="38"/>
  <c r="J330" i="38"/>
  <c r="I331" i="38"/>
  <c r="M331" i="38"/>
  <c r="L332" i="38"/>
  <c r="K333" i="38"/>
  <c r="J334" i="38"/>
  <c r="I335" i="38"/>
  <c r="M335" i="38"/>
  <c r="K22" i="38"/>
  <c r="I67" i="38"/>
  <c r="M79" i="38"/>
  <c r="L92" i="38"/>
  <c r="K105" i="38"/>
  <c r="M116" i="38"/>
  <c r="I120" i="38"/>
  <c r="J123" i="38"/>
  <c r="K126" i="38"/>
  <c r="L129" i="38"/>
  <c r="M132" i="38"/>
  <c r="I136" i="38"/>
  <c r="J139" i="38"/>
  <c r="K142" i="38"/>
  <c r="L145" i="38"/>
  <c r="M148" i="38"/>
  <c r="I152" i="38"/>
  <c r="J155" i="38"/>
  <c r="K158" i="38"/>
  <c r="L161" i="38"/>
  <c r="M164" i="38"/>
  <c r="I168" i="38"/>
  <c r="J171" i="38"/>
  <c r="K174" i="38"/>
  <c r="L177" i="38"/>
  <c r="M180" i="38"/>
  <c r="I184" i="38"/>
  <c r="J187" i="38"/>
  <c r="K190" i="38"/>
  <c r="L193" i="38"/>
  <c r="M196" i="38"/>
  <c r="I200" i="38"/>
  <c r="J203" i="38"/>
  <c r="K206" i="38"/>
  <c r="L209" i="38"/>
  <c r="M212" i="38"/>
  <c r="I216" i="38"/>
  <c r="J219" i="38"/>
  <c r="K222" i="38"/>
  <c r="L225" i="38"/>
  <c r="M228" i="38"/>
  <c r="I232" i="38"/>
  <c r="L233" i="38"/>
  <c r="J235" i="38"/>
  <c r="I236" i="38"/>
  <c r="M236" i="38"/>
  <c r="L237" i="38"/>
  <c r="K238" i="38"/>
  <c r="J239" i="38"/>
  <c r="I240" i="38"/>
  <c r="M240" i="38"/>
  <c r="L241" i="38"/>
  <c r="K242" i="38"/>
  <c r="J243" i="38"/>
  <c r="I244" i="38"/>
  <c r="M244" i="38"/>
  <c r="L245" i="38"/>
  <c r="K246" i="38"/>
  <c r="J247" i="38"/>
  <c r="I248" i="38"/>
  <c r="M248" i="38"/>
  <c r="L249" i="38"/>
  <c r="K250" i="38"/>
  <c r="J251" i="38"/>
  <c r="I252" i="38"/>
  <c r="M252" i="38"/>
  <c r="L253" i="38"/>
  <c r="K254" i="38"/>
  <c r="J255" i="38"/>
  <c r="I256" i="38"/>
  <c r="M256" i="38"/>
  <c r="L257" i="38"/>
  <c r="K258" i="38"/>
  <c r="J259" i="38"/>
  <c r="I260" i="38"/>
  <c r="M260" i="38"/>
  <c r="L261" i="38"/>
  <c r="K262" i="38"/>
  <c r="J263" i="38"/>
  <c r="I264" i="38"/>
  <c r="M264" i="38"/>
  <c r="L265" i="38"/>
  <c r="K266" i="38"/>
  <c r="J267" i="38"/>
  <c r="I268" i="38"/>
  <c r="M268" i="38"/>
  <c r="L269" i="38"/>
  <c r="K270" i="38"/>
  <c r="J271" i="38"/>
  <c r="I272" i="38"/>
  <c r="M272" i="38"/>
  <c r="L273" i="38"/>
  <c r="K274" i="38"/>
  <c r="J275" i="38"/>
  <c r="I276" i="38"/>
  <c r="M276" i="38"/>
  <c r="L277" i="38"/>
  <c r="K278" i="38"/>
  <c r="J279" i="38"/>
  <c r="I280" i="38"/>
  <c r="M280" i="38"/>
  <c r="L281" i="38"/>
  <c r="K282" i="38"/>
  <c r="J283" i="38"/>
  <c r="I284" i="38"/>
  <c r="M284" i="38"/>
  <c r="L285" i="38"/>
  <c r="K286" i="38"/>
  <c r="J287" i="38"/>
  <c r="I288" i="38"/>
  <c r="M288" i="38"/>
  <c r="L289" i="38"/>
  <c r="K290" i="38"/>
  <c r="J291" i="38"/>
  <c r="I292" i="38"/>
  <c r="M292" i="38"/>
  <c r="L293" i="38"/>
  <c r="K294" i="38"/>
  <c r="J295" i="38"/>
  <c r="I296" i="38"/>
  <c r="M296" i="38"/>
  <c r="L297" i="38"/>
  <c r="K298" i="38"/>
  <c r="J299" i="38"/>
  <c r="I300" i="38"/>
  <c r="M300" i="38"/>
  <c r="L301" i="38"/>
  <c r="K302" i="38"/>
  <c r="J303" i="38"/>
  <c r="I304" i="38"/>
  <c r="M304" i="38"/>
  <c r="L305" i="38"/>
  <c r="K306" i="38"/>
  <c r="J307" i="38"/>
  <c r="I308" i="38"/>
  <c r="M308" i="38"/>
  <c r="L309" i="38"/>
  <c r="K310" i="38"/>
  <c r="J311" i="38"/>
  <c r="I312" i="38"/>
  <c r="M312" i="38"/>
  <c r="L313" i="38"/>
  <c r="K314" i="38"/>
  <c r="J315" i="38"/>
  <c r="I316" i="38"/>
  <c r="M316" i="38"/>
  <c r="L317" i="38"/>
  <c r="K318" i="38"/>
  <c r="J319" i="38"/>
  <c r="I320" i="38"/>
  <c r="M320" i="38"/>
  <c r="L321" i="38"/>
  <c r="K322" i="38"/>
  <c r="J323" i="38"/>
  <c r="I324" i="38"/>
  <c r="M324" i="38"/>
  <c r="L325" i="38"/>
  <c r="K326" i="38"/>
  <c r="J327" i="38"/>
  <c r="I328" i="38"/>
  <c r="M328" i="38"/>
  <c r="L329" i="38"/>
  <c r="K330" i="38"/>
  <c r="J331" i="38"/>
  <c r="I332" i="38"/>
  <c r="M332" i="38"/>
  <c r="L333" i="38"/>
  <c r="K334" i="38"/>
  <c r="J335" i="38"/>
  <c r="I336" i="38"/>
  <c r="M336" i="38"/>
  <c r="J35" i="38"/>
  <c r="J70" i="38"/>
  <c r="I83" i="38"/>
  <c r="M95" i="38"/>
  <c r="L108" i="38"/>
  <c r="L117" i="38"/>
  <c r="M120" i="38"/>
  <c r="I124" i="38"/>
  <c r="J127" i="38"/>
  <c r="K130" i="38"/>
  <c r="L133" i="38"/>
  <c r="M136" i="38"/>
  <c r="I140" i="38"/>
  <c r="J143" i="38"/>
  <c r="K146" i="38"/>
  <c r="L149" i="38"/>
  <c r="M152" i="38"/>
  <c r="I156" i="38"/>
  <c r="J159" i="38"/>
  <c r="K162" i="38"/>
  <c r="L165" i="38"/>
  <c r="M168" i="38"/>
  <c r="I172" i="38"/>
  <c r="J175" i="38"/>
  <c r="K178" i="38"/>
  <c r="L181" i="38"/>
  <c r="M184" i="38"/>
  <c r="I188" i="38"/>
  <c r="J191" i="38"/>
  <c r="K194" i="38"/>
  <c r="L197" i="38"/>
  <c r="M200" i="38"/>
  <c r="I204" i="38"/>
  <c r="J207" i="38"/>
  <c r="K210" i="38"/>
  <c r="L213" i="38"/>
  <c r="M216" i="38"/>
  <c r="I220" i="38"/>
  <c r="J223" i="38"/>
  <c r="K226" i="38"/>
  <c r="L229" i="38"/>
  <c r="J232" i="38"/>
  <c r="M233" i="38"/>
  <c r="K235" i="38"/>
  <c r="J236" i="38"/>
  <c r="I237" i="38"/>
  <c r="M237" i="38"/>
  <c r="L238" i="38"/>
  <c r="K239" i="38"/>
  <c r="J240" i="38"/>
  <c r="I241" i="38"/>
  <c r="M241" i="38"/>
  <c r="L242" i="38"/>
  <c r="K243" i="38"/>
  <c r="J244" i="38"/>
  <c r="I245" i="38"/>
  <c r="M245" i="38"/>
  <c r="L246" i="38"/>
  <c r="K247" i="38"/>
  <c r="J248" i="38"/>
  <c r="I249" i="38"/>
  <c r="M249" i="38"/>
  <c r="L250" i="38"/>
  <c r="K251" i="38"/>
  <c r="J252" i="38"/>
  <c r="I253" i="38"/>
  <c r="M253" i="38"/>
  <c r="L254" i="38"/>
  <c r="K255" i="38"/>
  <c r="J256" i="38"/>
  <c r="I257" i="38"/>
  <c r="M257" i="38"/>
  <c r="L258" i="38"/>
  <c r="K259" i="38"/>
  <c r="J260" i="38"/>
  <c r="I261" i="38"/>
  <c r="M261" i="38"/>
  <c r="L262" i="38"/>
  <c r="K263" i="38"/>
  <c r="J264" i="38"/>
  <c r="I265" i="38"/>
  <c r="M265" i="38"/>
  <c r="L266" i="38"/>
  <c r="K267" i="38"/>
  <c r="J268" i="38"/>
  <c r="I269" i="38"/>
  <c r="M269" i="38"/>
  <c r="L270" i="38"/>
  <c r="K271" i="38"/>
  <c r="J272" i="38"/>
  <c r="I273" i="38"/>
  <c r="M273" i="38"/>
  <c r="L274" i="38"/>
  <c r="K275" i="38"/>
  <c r="J276" i="38"/>
  <c r="I277" i="38"/>
  <c r="M277" i="38"/>
  <c r="L278" i="38"/>
  <c r="K279" i="38"/>
  <c r="J280" i="38"/>
  <c r="I281" i="38"/>
  <c r="M281" i="38"/>
  <c r="L282" i="38"/>
  <c r="K283" i="38"/>
  <c r="J284" i="38"/>
  <c r="I285" i="38"/>
  <c r="M285" i="38"/>
  <c r="L286" i="38"/>
  <c r="K287" i="38"/>
  <c r="J288" i="38"/>
  <c r="I289" i="38"/>
  <c r="M289" i="38"/>
  <c r="L290" i="38"/>
  <c r="K291" i="38"/>
  <c r="J292" i="38"/>
  <c r="I293" i="38"/>
  <c r="M293" i="38"/>
  <c r="L294" i="38"/>
  <c r="K295" i="38"/>
  <c r="J296" i="38"/>
  <c r="I297" i="38"/>
  <c r="M297" i="38"/>
  <c r="L298" i="38"/>
  <c r="K299" i="38"/>
  <c r="J300" i="38"/>
  <c r="I301" i="38"/>
  <c r="M301" i="38"/>
  <c r="L302" i="38"/>
  <c r="K303" i="38"/>
  <c r="J304" i="38"/>
  <c r="I305" i="38"/>
  <c r="M305" i="38"/>
  <c r="L306" i="38"/>
  <c r="K307" i="38"/>
  <c r="J308" i="38"/>
  <c r="I309" i="38"/>
  <c r="M309" i="38"/>
  <c r="L310" i="38"/>
  <c r="K311" i="38"/>
  <c r="J312" i="38"/>
  <c r="I313" i="38"/>
  <c r="M313" i="38"/>
  <c r="L314" i="38"/>
  <c r="K315" i="38"/>
  <c r="J316" i="38"/>
  <c r="I317" i="38"/>
  <c r="M317" i="38"/>
  <c r="L318" i="38"/>
  <c r="K319" i="38"/>
  <c r="J320" i="38"/>
  <c r="I321" i="38"/>
  <c r="M321" i="38"/>
  <c r="L322" i="38"/>
  <c r="K323" i="38"/>
  <c r="J324" i="38"/>
  <c r="I325" i="38"/>
  <c r="M325" i="38"/>
  <c r="L326" i="38"/>
  <c r="K327" i="38"/>
  <c r="J328" i="38"/>
  <c r="I329" i="38"/>
  <c r="M329" i="38"/>
  <c r="L330" i="38"/>
  <c r="K331" i="38"/>
  <c r="I48" i="38"/>
  <c r="M111" i="38"/>
  <c r="I128" i="38"/>
  <c r="M140" i="38"/>
  <c r="L153" i="38"/>
  <c r="K166" i="38"/>
  <c r="J179" i="38"/>
  <c r="I192" i="38"/>
  <c r="M204" i="38"/>
  <c r="L217" i="38"/>
  <c r="K230" i="38"/>
  <c r="K236" i="38"/>
  <c r="L239" i="38"/>
  <c r="M242" i="38"/>
  <c r="I246" i="38"/>
  <c r="J249" i="38"/>
  <c r="K252" i="38"/>
  <c r="L255" i="38"/>
  <c r="M258" i="38"/>
  <c r="I262" i="38"/>
  <c r="J265" i="38"/>
  <c r="K268" i="38"/>
  <c r="L271" i="38"/>
  <c r="M274" i="38"/>
  <c r="I278" i="38"/>
  <c r="J281" i="38"/>
  <c r="K284" i="38"/>
  <c r="L287" i="38"/>
  <c r="M290" i="38"/>
  <c r="I294" i="38"/>
  <c r="J297" i="38"/>
  <c r="K300" i="38"/>
  <c r="L303" i="38"/>
  <c r="M306" i="38"/>
  <c r="I310" i="38"/>
  <c r="J313" i="38"/>
  <c r="K316" i="38"/>
  <c r="L319" i="38"/>
  <c r="M322" i="38"/>
  <c r="I326" i="38"/>
  <c r="J329" i="38"/>
  <c r="J332" i="38"/>
  <c r="M333" i="38"/>
  <c r="K335" i="38"/>
  <c r="L336" i="38"/>
  <c r="L337" i="38"/>
  <c r="K338" i="38"/>
  <c r="J339" i="38"/>
  <c r="I340" i="38"/>
  <c r="M340" i="38"/>
  <c r="L341" i="38"/>
  <c r="K342" i="38"/>
  <c r="J343" i="38"/>
  <c r="I344" i="38"/>
  <c r="M344" i="38"/>
  <c r="L345" i="38"/>
  <c r="K346" i="38"/>
  <c r="J347" i="38"/>
  <c r="I348" i="38"/>
  <c r="M348" i="38"/>
  <c r="L349" i="38"/>
  <c r="K350" i="38"/>
  <c r="J351" i="38"/>
  <c r="I352" i="38"/>
  <c r="M352" i="38"/>
  <c r="L353" i="38"/>
  <c r="K354" i="38"/>
  <c r="J355" i="38"/>
  <c r="I356" i="38"/>
  <c r="M356" i="38"/>
  <c r="L357" i="38"/>
  <c r="K358" i="38"/>
  <c r="J359" i="38"/>
  <c r="I360" i="38"/>
  <c r="M360" i="38"/>
  <c r="L361" i="38"/>
  <c r="K362" i="38"/>
  <c r="J363" i="38"/>
  <c r="I364" i="38"/>
  <c r="M364" i="38"/>
  <c r="L365" i="38"/>
  <c r="K366" i="38"/>
  <c r="J367" i="38"/>
  <c r="I368" i="38"/>
  <c r="M368" i="38"/>
  <c r="L369" i="38"/>
  <c r="K370" i="38"/>
  <c r="J371" i="38"/>
  <c r="I372" i="38"/>
  <c r="M372" i="38"/>
  <c r="L373" i="38"/>
  <c r="K374" i="38"/>
  <c r="J375" i="38"/>
  <c r="I376" i="38"/>
  <c r="M376" i="38"/>
  <c r="L377" i="38"/>
  <c r="K378" i="38"/>
  <c r="J379" i="38"/>
  <c r="I380" i="38"/>
  <c r="M380" i="38"/>
  <c r="L381" i="38"/>
  <c r="K382" i="38"/>
  <c r="J383" i="38"/>
  <c r="I384" i="38"/>
  <c r="M384" i="38"/>
  <c r="L385" i="38"/>
  <c r="K386" i="38"/>
  <c r="J387" i="38"/>
  <c r="I388" i="38"/>
  <c r="M388" i="38"/>
  <c r="L389" i="38"/>
  <c r="K390" i="38"/>
  <c r="J391" i="38"/>
  <c r="I392" i="38"/>
  <c r="M392" i="38"/>
  <c r="L393" i="38"/>
  <c r="K394" i="38"/>
  <c r="J395" i="38"/>
  <c r="I396" i="38"/>
  <c r="M396" i="38"/>
  <c r="L397" i="38"/>
  <c r="K398" i="38"/>
  <c r="J399" i="38"/>
  <c r="I400" i="38"/>
  <c r="M400" i="38"/>
  <c r="L401" i="38"/>
  <c r="K402" i="38"/>
  <c r="J403" i="38"/>
  <c r="I404" i="38"/>
  <c r="M404" i="38"/>
  <c r="L2" i="38"/>
  <c r="K3" i="38"/>
  <c r="J4" i="38"/>
  <c r="I5" i="38"/>
  <c r="M5" i="38"/>
  <c r="L6" i="38"/>
  <c r="K7" i="38"/>
  <c r="J8" i="38"/>
  <c r="I9" i="38"/>
  <c r="M9" i="38"/>
  <c r="L10" i="38"/>
  <c r="K11" i="38"/>
  <c r="J12" i="38"/>
  <c r="I99" i="38"/>
  <c r="J163" i="38"/>
  <c r="L201" i="38"/>
  <c r="L235" i="38"/>
  <c r="I242" i="38"/>
  <c r="L251" i="38"/>
  <c r="K264" i="38"/>
  <c r="M270" i="38"/>
  <c r="K280" i="38"/>
  <c r="I290" i="38"/>
  <c r="M302" i="38"/>
  <c r="I306" i="38"/>
  <c r="L315" i="38"/>
  <c r="J325" i="38"/>
  <c r="M334" i="38"/>
  <c r="K337" i="38"/>
  <c r="M339" i="38"/>
  <c r="I343" i="38"/>
  <c r="J346" i="38"/>
  <c r="L348" i="38"/>
  <c r="I351" i="38"/>
  <c r="M351" i="38"/>
  <c r="I355" i="38"/>
  <c r="K357" i="38"/>
  <c r="I359" i="38"/>
  <c r="J362" i="38"/>
  <c r="L364" i="38"/>
  <c r="J366" i="38"/>
  <c r="K369" i="38"/>
  <c r="I371" i="38"/>
  <c r="K73" i="38"/>
  <c r="K118" i="38"/>
  <c r="J131" i="38"/>
  <c r="I144" i="38"/>
  <c r="M156" i="38"/>
  <c r="L169" i="38"/>
  <c r="K182" i="38"/>
  <c r="J195" i="38"/>
  <c r="I208" i="38"/>
  <c r="M220" i="38"/>
  <c r="M232" i="38"/>
  <c r="J237" i="38"/>
  <c r="K240" i="38"/>
  <c r="L243" i="38"/>
  <c r="M246" i="38"/>
  <c r="I250" i="38"/>
  <c r="J253" i="38"/>
  <c r="K256" i="38"/>
  <c r="L259" i="38"/>
  <c r="M262" i="38"/>
  <c r="I266" i="38"/>
  <c r="J269" i="38"/>
  <c r="K272" i="38"/>
  <c r="L275" i="38"/>
  <c r="M278" i="38"/>
  <c r="I282" i="38"/>
  <c r="J285" i="38"/>
  <c r="K288" i="38"/>
  <c r="L291" i="38"/>
  <c r="M294" i="38"/>
  <c r="I298" i="38"/>
  <c r="J301" i="38"/>
  <c r="K304" i="38"/>
  <c r="L307" i="38"/>
  <c r="M310" i="38"/>
  <c r="I314" i="38"/>
  <c r="J317" i="38"/>
  <c r="K320" i="38"/>
  <c r="L323" i="38"/>
  <c r="M326" i="38"/>
  <c r="I330" i="38"/>
  <c r="K332" i="38"/>
  <c r="I334" i="38"/>
  <c r="L335" i="38"/>
  <c r="I337" i="38"/>
  <c r="M337" i="38"/>
  <c r="L338" i="38"/>
  <c r="K339" i="38"/>
  <c r="J340" i="38"/>
  <c r="I341" i="38"/>
  <c r="M341" i="38"/>
  <c r="L342" i="38"/>
  <c r="K343" i="38"/>
  <c r="J344" i="38"/>
  <c r="I345" i="38"/>
  <c r="M345" i="38"/>
  <c r="L346" i="38"/>
  <c r="K347" i="38"/>
  <c r="J348" i="38"/>
  <c r="I349" i="38"/>
  <c r="M349" i="38"/>
  <c r="L350" i="38"/>
  <c r="K351" i="38"/>
  <c r="J352" i="38"/>
  <c r="I353" i="38"/>
  <c r="M353" i="38"/>
  <c r="L354" i="38"/>
  <c r="K355" i="38"/>
  <c r="J356" i="38"/>
  <c r="I357" i="38"/>
  <c r="M357" i="38"/>
  <c r="L358" i="38"/>
  <c r="K359" i="38"/>
  <c r="J360" i="38"/>
  <c r="I361" i="38"/>
  <c r="M361" i="38"/>
  <c r="L362" i="38"/>
  <c r="K363" i="38"/>
  <c r="J364" i="38"/>
  <c r="I365" i="38"/>
  <c r="M365" i="38"/>
  <c r="L366" i="38"/>
  <c r="K367" i="38"/>
  <c r="J368" i="38"/>
  <c r="I369" i="38"/>
  <c r="M369" i="38"/>
  <c r="L370" i="38"/>
  <c r="K371" i="38"/>
  <c r="J372" i="38"/>
  <c r="I373" i="38"/>
  <c r="M373" i="38"/>
  <c r="L374" i="38"/>
  <c r="K375" i="38"/>
  <c r="J376" i="38"/>
  <c r="I377" i="38"/>
  <c r="M377" i="38"/>
  <c r="L378" i="38"/>
  <c r="K379" i="38"/>
  <c r="J380" i="38"/>
  <c r="I381" i="38"/>
  <c r="M381" i="38"/>
  <c r="L382" i="38"/>
  <c r="K383" i="38"/>
  <c r="J384" i="38"/>
  <c r="I385" i="38"/>
  <c r="M385" i="38"/>
  <c r="L386" i="38"/>
  <c r="K387" i="38"/>
  <c r="J388" i="38"/>
  <c r="I389" i="38"/>
  <c r="M389" i="38"/>
  <c r="L390" i="38"/>
  <c r="K391" i="38"/>
  <c r="J392" i="38"/>
  <c r="I393" i="38"/>
  <c r="M393" i="38"/>
  <c r="L394" i="38"/>
  <c r="K395" i="38"/>
  <c r="J396" i="38"/>
  <c r="I397" i="38"/>
  <c r="M397" i="38"/>
  <c r="L398" i="38"/>
  <c r="K399" i="38"/>
  <c r="J400" i="38"/>
  <c r="I401" i="38"/>
  <c r="M401" i="38"/>
  <c r="L402" i="38"/>
  <c r="K403" i="38"/>
  <c r="J404" i="38"/>
  <c r="I2" i="38"/>
  <c r="M2" i="38"/>
  <c r="L3" i="38"/>
  <c r="K4" i="38"/>
  <c r="J5" i="38"/>
  <c r="I6" i="38"/>
  <c r="M6" i="38"/>
  <c r="L7" i="38"/>
  <c r="K8" i="38"/>
  <c r="J9" i="38"/>
  <c r="I10" i="38"/>
  <c r="M10" i="38"/>
  <c r="L11" i="38"/>
  <c r="K12" i="38"/>
  <c r="L12" i="38"/>
  <c r="L137" i="38"/>
  <c r="K150" i="38"/>
  <c r="M188" i="38"/>
  <c r="J227" i="38"/>
  <c r="J245" i="38"/>
  <c r="M254" i="38"/>
  <c r="J261" i="38"/>
  <c r="I274" i="38"/>
  <c r="L283" i="38"/>
  <c r="J293" i="38"/>
  <c r="L299" i="38"/>
  <c r="J309" i="38"/>
  <c r="M318" i="38"/>
  <c r="K328" i="38"/>
  <c r="J333" i="38"/>
  <c r="J338" i="38"/>
  <c r="L340" i="38"/>
  <c r="J342" i="38"/>
  <c r="L344" i="38"/>
  <c r="M347" i="38"/>
  <c r="J350" i="38"/>
  <c r="K353" i="38"/>
  <c r="M355" i="38"/>
  <c r="L356" i="38"/>
  <c r="M359" i="38"/>
  <c r="K361" i="38"/>
  <c r="M363" i="38"/>
  <c r="I367" i="38"/>
  <c r="L368" i="38"/>
  <c r="M371" i="38"/>
  <c r="J86" i="38"/>
  <c r="L121" i="38"/>
  <c r="K134" i="38"/>
  <c r="J147" i="38"/>
  <c r="I160" i="38"/>
  <c r="M172" i="38"/>
  <c r="L185" i="38"/>
  <c r="K198" i="38"/>
  <c r="J211" i="38"/>
  <c r="I224" i="38"/>
  <c r="K234" i="38"/>
  <c r="I238" i="38"/>
  <c r="J241" i="38"/>
  <c r="K244" i="38"/>
  <c r="L247" i="38"/>
  <c r="M250" i="38"/>
  <c r="I254" i="38"/>
  <c r="J257" i="38"/>
  <c r="K260" i="38"/>
  <c r="L263" i="38"/>
  <c r="M266" i="38"/>
  <c r="I270" i="38"/>
  <c r="J273" i="38"/>
  <c r="K276" i="38"/>
  <c r="L279" i="38"/>
  <c r="M282" i="38"/>
  <c r="I286" i="38"/>
  <c r="J289" i="38"/>
  <c r="K292" i="38"/>
  <c r="L295" i="38"/>
  <c r="M298" i="38"/>
  <c r="I302" i="38"/>
  <c r="J305" i="38"/>
  <c r="K308" i="38"/>
  <c r="L311" i="38"/>
  <c r="M314" i="38"/>
  <c r="I318" i="38"/>
  <c r="J321" i="38"/>
  <c r="K324" i="38"/>
  <c r="L327" i="38"/>
  <c r="M330" i="38"/>
  <c r="I333" i="38"/>
  <c r="L334" i="38"/>
  <c r="J336" i="38"/>
  <c r="J337" i="38"/>
  <c r="I338" i="38"/>
  <c r="M338" i="38"/>
  <c r="L339" i="38"/>
  <c r="K340" i="38"/>
  <c r="J341" i="38"/>
  <c r="I342" i="38"/>
  <c r="M342" i="38"/>
  <c r="L343" i="38"/>
  <c r="K344" i="38"/>
  <c r="J345" i="38"/>
  <c r="I346" i="38"/>
  <c r="M346" i="38"/>
  <c r="L347" i="38"/>
  <c r="K348" i="38"/>
  <c r="J349" i="38"/>
  <c r="I350" i="38"/>
  <c r="M350" i="38"/>
  <c r="L351" i="38"/>
  <c r="K352" i="38"/>
  <c r="J353" i="38"/>
  <c r="I354" i="38"/>
  <c r="M354" i="38"/>
  <c r="L355" i="38"/>
  <c r="K356" i="38"/>
  <c r="J357" i="38"/>
  <c r="I358" i="38"/>
  <c r="M358" i="38"/>
  <c r="L359" i="38"/>
  <c r="K360" i="38"/>
  <c r="J361" i="38"/>
  <c r="I362" i="38"/>
  <c r="M362" i="38"/>
  <c r="L363" i="38"/>
  <c r="K364" i="38"/>
  <c r="J365" i="38"/>
  <c r="I366" i="38"/>
  <c r="M366" i="38"/>
  <c r="L367" i="38"/>
  <c r="K368" i="38"/>
  <c r="J369" i="38"/>
  <c r="I370" i="38"/>
  <c r="M370" i="38"/>
  <c r="L371" i="38"/>
  <c r="K372" i="38"/>
  <c r="J373" i="38"/>
  <c r="I374" i="38"/>
  <c r="M374" i="38"/>
  <c r="L375" i="38"/>
  <c r="K376" i="38"/>
  <c r="J377" i="38"/>
  <c r="I378" i="38"/>
  <c r="M378" i="38"/>
  <c r="L379" i="38"/>
  <c r="K380" i="38"/>
  <c r="J381" i="38"/>
  <c r="I382" i="38"/>
  <c r="M382" i="38"/>
  <c r="L383" i="38"/>
  <c r="K384" i="38"/>
  <c r="J385" i="38"/>
  <c r="I386" i="38"/>
  <c r="M386" i="38"/>
  <c r="L387" i="38"/>
  <c r="K388" i="38"/>
  <c r="J389" i="38"/>
  <c r="I390" i="38"/>
  <c r="M390" i="38"/>
  <c r="L391" i="38"/>
  <c r="K392" i="38"/>
  <c r="J393" i="38"/>
  <c r="I394" i="38"/>
  <c r="M394" i="38"/>
  <c r="L395" i="38"/>
  <c r="K396" i="38"/>
  <c r="J397" i="38"/>
  <c r="I398" i="38"/>
  <c r="M398" i="38"/>
  <c r="L399" i="38"/>
  <c r="K400" i="38"/>
  <c r="J401" i="38"/>
  <c r="I402" i="38"/>
  <c r="M402" i="38"/>
  <c r="L403" i="38"/>
  <c r="K404" i="38"/>
  <c r="J2" i="38"/>
  <c r="I3" i="38"/>
  <c r="M3" i="38"/>
  <c r="L4" i="38"/>
  <c r="K5" i="38"/>
  <c r="J6" i="38"/>
  <c r="I7" i="38"/>
  <c r="M7" i="38"/>
  <c r="L8" i="38"/>
  <c r="K9" i="38"/>
  <c r="J10" i="38"/>
  <c r="I11" i="38"/>
  <c r="M11" i="38"/>
  <c r="M124" i="38"/>
  <c r="I176" i="38"/>
  <c r="K214" i="38"/>
  <c r="M238" i="38"/>
  <c r="K248" i="38"/>
  <c r="I258" i="38"/>
  <c r="L267" i="38"/>
  <c r="J277" i="38"/>
  <c r="M286" i="38"/>
  <c r="K296" i="38"/>
  <c r="K312" i="38"/>
  <c r="I322" i="38"/>
  <c r="L331" i="38"/>
  <c r="K336" i="38"/>
  <c r="I339" i="38"/>
  <c r="K341" i="38"/>
  <c r="M343" i="38"/>
  <c r="K345" i="38"/>
  <c r="I347" i="38"/>
  <c r="K349" i="38"/>
  <c r="L352" i="38"/>
  <c r="J354" i="38"/>
  <c r="J358" i="38"/>
  <c r="L360" i="38"/>
  <c r="I363" i="38"/>
  <c r="K365" i="38"/>
  <c r="M367" i="38"/>
  <c r="J370" i="38"/>
  <c r="L372" i="38"/>
  <c r="M375" i="38"/>
  <c r="I379" i="38"/>
  <c r="J382" i="38"/>
  <c r="K385" i="38"/>
  <c r="L388" i="38"/>
  <c r="M391" i="38"/>
  <c r="I395" i="38"/>
  <c r="J398" i="38"/>
  <c r="K401" i="38"/>
  <c r="L404" i="38"/>
  <c r="M4" i="38"/>
  <c r="I8" i="38"/>
  <c r="J11" i="38"/>
  <c r="K381" i="38"/>
  <c r="I391" i="38"/>
  <c r="M403" i="38"/>
  <c r="K10" i="38"/>
  <c r="K373" i="38"/>
  <c r="L376" i="38"/>
  <c r="M379" i="38"/>
  <c r="I383" i="38"/>
  <c r="J386" i="38"/>
  <c r="K389" i="38"/>
  <c r="L392" i="38"/>
  <c r="M395" i="38"/>
  <c r="I399" i="38"/>
  <c r="J402" i="38"/>
  <c r="K2" i="38"/>
  <c r="L5" i="38"/>
  <c r="M8" i="38"/>
  <c r="I12" i="38"/>
  <c r="J378" i="38"/>
  <c r="L384" i="38"/>
  <c r="J394" i="38"/>
  <c r="I4" i="38"/>
  <c r="J374" i="38"/>
  <c r="K377" i="38"/>
  <c r="L380" i="38"/>
  <c r="M383" i="38"/>
  <c r="I387" i="38"/>
  <c r="J390" i="38"/>
  <c r="K393" i="38"/>
  <c r="L396" i="38"/>
  <c r="M399" i="38"/>
  <c r="I403" i="38"/>
  <c r="J3" i="38"/>
  <c r="K6" i="38"/>
  <c r="L9" i="38"/>
  <c r="M12" i="38"/>
  <c r="I375" i="38"/>
  <c r="M387" i="38"/>
  <c r="K397" i="38"/>
  <c r="L400" i="38"/>
  <c r="J7" i="38"/>
  <c r="F420" i="38"/>
  <c r="F414" i="38"/>
  <c r="F418" i="38"/>
  <c r="G413" i="38"/>
  <c r="G417" i="38"/>
  <c r="H412" i="38"/>
  <c r="H416" i="38"/>
  <c r="G420" i="38"/>
  <c r="F411" i="38"/>
  <c r="F415" i="38"/>
  <c r="F419" i="38"/>
  <c r="G414" i="38"/>
  <c r="G418" i="38"/>
  <c r="H413" i="38"/>
  <c r="H417" i="38"/>
  <c r="H420" i="38"/>
  <c r="F412" i="38"/>
  <c r="F416" i="38"/>
  <c r="G411" i="38"/>
  <c r="G415" i="38"/>
  <c r="G419" i="38"/>
  <c r="H414" i="38"/>
  <c r="H418" i="38"/>
  <c r="F413" i="38"/>
  <c r="F417" i="38"/>
  <c r="G412" i="38"/>
  <c r="G416" i="38"/>
  <c r="H411" i="38"/>
  <c r="H415" i="38"/>
  <c r="H419" i="38"/>
  <c r="F352" i="38"/>
  <c r="F356" i="38"/>
  <c r="F360" i="38"/>
  <c r="F364" i="38"/>
  <c r="F368" i="38"/>
  <c r="F372" i="38"/>
  <c r="F376" i="38"/>
  <c r="F353" i="38"/>
  <c r="F357" i="38"/>
  <c r="F361" i="38"/>
  <c r="F365" i="38"/>
  <c r="F369" i="38"/>
  <c r="F373" i="38"/>
  <c r="G73" i="38"/>
  <c r="G77" i="38"/>
  <c r="G81" i="38"/>
  <c r="G85" i="38"/>
  <c r="G89" i="38"/>
  <c r="G93" i="38"/>
  <c r="F354" i="38"/>
  <c r="F358" i="38"/>
  <c r="F362" i="38"/>
  <c r="F366" i="38"/>
  <c r="F370" i="38"/>
  <c r="F374" i="38"/>
  <c r="G70" i="38"/>
  <c r="G74" i="38"/>
  <c r="G78" i="38"/>
  <c r="F355" i="38"/>
  <c r="F371" i="38"/>
  <c r="G75" i="38"/>
  <c r="G82" i="38"/>
  <c r="G87" i="38"/>
  <c r="G92" i="38"/>
  <c r="G97" i="38"/>
  <c r="G101" i="38"/>
  <c r="G105" i="38"/>
  <c r="G109" i="38"/>
  <c r="G113" i="38"/>
  <c r="G117" i="38"/>
  <c r="G121" i="38"/>
  <c r="G125" i="38"/>
  <c r="G129" i="38"/>
  <c r="G133" i="38"/>
  <c r="G140" i="38"/>
  <c r="G144" i="38"/>
  <c r="G148" i="38"/>
  <c r="G152" i="38"/>
  <c r="G156" i="38"/>
  <c r="G160" i="38"/>
  <c r="G164" i="38"/>
  <c r="G168" i="38"/>
  <c r="G172" i="38"/>
  <c r="G176" i="38"/>
  <c r="G180" i="38"/>
  <c r="G184" i="38"/>
  <c r="G188" i="38"/>
  <c r="G192" i="38"/>
  <c r="G196" i="38"/>
  <c r="G200" i="38"/>
  <c r="G204" i="38"/>
  <c r="G208" i="38"/>
  <c r="G212" i="38"/>
  <c r="G216" i="38"/>
  <c r="G220" i="38"/>
  <c r="G224" i="38"/>
  <c r="G228" i="38"/>
  <c r="G232" i="38"/>
  <c r="G236" i="38"/>
  <c r="G240" i="38"/>
  <c r="G244" i="38"/>
  <c r="G248" i="38"/>
  <c r="G252" i="38"/>
  <c r="G256" i="38"/>
  <c r="G260" i="38"/>
  <c r="G264" i="38"/>
  <c r="G268" i="38"/>
  <c r="G272" i="38"/>
  <c r="G276" i="38"/>
  <c r="G282" i="38"/>
  <c r="G286" i="38"/>
  <c r="G290" i="38"/>
  <c r="G294" i="38"/>
  <c r="G298" i="38"/>
  <c r="G302" i="38"/>
  <c r="G306" i="38"/>
  <c r="G310" i="38"/>
  <c r="G314" i="38"/>
  <c r="G318" i="38"/>
  <c r="G322" i="38"/>
  <c r="G326" i="38"/>
  <c r="G330" i="38"/>
  <c r="G334" i="38"/>
  <c r="F359" i="38"/>
  <c r="F375" i="38"/>
  <c r="G76" i="38"/>
  <c r="G83" i="38"/>
  <c r="G88" i="38"/>
  <c r="G94" i="38"/>
  <c r="G98" i="38"/>
  <c r="G102" i="38"/>
  <c r="G106" i="38"/>
  <c r="G110" i="38"/>
  <c r="G114" i="38"/>
  <c r="G118" i="38"/>
  <c r="G122" i="38"/>
  <c r="G126" i="38"/>
  <c r="G130" i="38"/>
  <c r="G134" i="38"/>
  <c r="G137" i="38"/>
  <c r="G141" i="38"/>
  <c r="G145" i="38"/>
  <c r="G149" i="38"/>
  <c r="G153" i="38"/>
  <c r="G157" i="38"/>
  <c r="G161" i="38"/>
  <c r="G165" i="38"/>
  <c r="G169" i="38"/>
  <c r="G173" i="38"/>
  <c r="G177" i="38"/>
  <c r="G181" i="38"/>
  <c r="G185" i="38"/>
  <c r="G189" i="38"/>
  <c r="G193" i="38"/>
  <c r="G197" i="38"/>
  <c r="G201" i="38"/>
  <c r="G205" i="38"/>
  <c r="G209" i="38"/>
  <c r="G213" i="38"/>
  <c r="G217" i="38"/>
  <c r="G221" i="38"/>
  <c r="G225" i="38"/>
  <c r="G229" i="38"/>
  <c r="G233" i="38"/>
  <c r="G237" i="38"/>
  <c r="G241" i="38"/>
  <c r="G245" i="38"/>
  <c r="G249" i="38"/>
  <c r="G253" i="38"/>
  <c r="G257" i="38"/>
  <c r="G261" i="38"/>
  <c r="G265" i="38"/>
  <c r="G269" i="38"/>
  <c r="G273" i="38"/>
  <c r="G277" i="38"/>
  <c r="G280" i="38"/>
  <c r="G283" i="38"/>
  <c r="G287" i="38"/>
  <c r="G291" i="38"/>
  <c r="G295" i="38"/>
  <c r="F363" i="38"/>
  <c r="G71" i="38"/>
  <c r="G79" i="38"/>
  <c r="G84" i="38"/>
  <c r="G90" i="38"/>
  <c r="G95" i="38"/>
  <c r="G99" i="38"/>
  <c r="G103" i="38"/>
  <c r="G107" i="38"/>
  <c r="G111" i="38"/>
  <c r="G115" i="38"/>
  <c r="G119" i="38"/>
  <c r="G123" i="38"/>
  <c r="G127" i="38"/>
  <c r="G131" i="38"/>
  <c r="G135" i="38"/>
  <c r="G138" i="38"/>
  <c r="G142" i="38"/>
  <c r="G146" i="38"/>
  <c r="G150" i="38"/>
  <c r="G154" i="38"/>
  <c r="G158" i="38"/>
  <c r="G162" i="38"/>
  <c r="G166" i="38"/>
  <c r="G170" i="38"/>
  <c r="G174" i="38"/>
  <c r="G178" i="38"/>
  <c r="G182" i="38"/>
  <c r="G186" i="38"/>
  <c r="G190" i="38"/>
  <c r="G194" i="38"/>
  <c r="G198" i="38"/>
  <c r="G202" i="38"/>
  <c r="G206" i="38"/>
  <c r="G210" i="38"/>
  <c r="G214" i="38"/>
  <c r="G218" i="38"/>
  <c r="G222" i="38"/>
  <c r="G226" i="38"/>
  <c r="G230" i="38"/>
  <c r="G234" i="38"/>
  <c r="G238" i="38"/>
  <c r="G242" i="38"/>
  <c r="G246" i="38"/>
  <c r="G250" i="38"/>
  <c r="G254" i="38"/>
  <c r="G258" i="38"/>
  <c r="G262" i="38"/>
  <c r="G266" i="38"/>
  <c r="G270" i="38"/>
  <c r="G274" i="38"/>
  <c r="G278" i="38"/>
  <c r="G284" i="38"/>
  <c r="G288" i="38"/>
  <c r="G292" i="38"/>
  <c r="G296" i="38"/>
  <c r="G300" i="38"/>
  <c r="G304" i="38"/>
  <c r="G308" i="38"/>
  <c r="G312" i="38"/>
  <c r="G316" i="38"/>
  <c r="G320" i="38"/>
  <c r="G324" i="38"/>
  <c r="G328" i="38"/>
  <c r="G332" i="38"/>
  <c r="G336" i="38"/>
  <c r="G80" i="38"/>
  <c r="G100" i="38"/>
  <c r="G116" i="38"/>
  <c r="G132" i="38"/>
  <c r="G147" i="38"/>
  <c r="G163" i="38"/>
  <c r="G179" i="38"/>
  <c r="G195" i="38"/>
  <c r="G211" i="38"/>
  <c r="G227" i="38"/>
  <c r="G243" i="38"/>
  <c r="G259" i="38"/>
  <c r="G275" i="38"/>
  <c r="G289" i="38"/>
  <c r="G301" i="38"/>
  <c r="G309" i="38"/>
  <c r="G317" i="38"/>
  <c r="G325" i="38"/>
  <c r="G333" i="38"/>
  <c r="G339" i="38"/>
  <c r="G343" i="38"/>
  <c r="G347" i="38"/>
  <c r="G351" i="38"/>
  <c r="G355" i="38"/>
  <c r="G359" i="38"/>
  <c r="G363" i="38"/>
  <c r="G367" i="38"/>
  <c r="G371" i="38"/>
  <c r="G375" i="38"/>
  <c r="H69" i="38"/>
  <c r="H73" i="38"/>
  <c r="H77" i="38"/>
  <c r="H81" i="38"/>
  <c r="H85" i="38"/>
  <c r="H89" i="38"/>
  <c r="H93" i="38"/>
  <c r="H97" i="38"/>
  <c r="H101" i="38"/>
  <c r="H105" i="38"/>
  <c r="H109" i="38"/>
  <c r="H113" i="38"/>
  <c r="H117" i="38"/>
  <c r="H121" i="38"/>
  <c r="H125" i="38"/>
  <c r="H129" i="38"/>
  <c r="H133" i="38"/>
  <c r="H140" i="38"/>
  <c r="H144" i="38"/>
  <c r="H148" i="38"/>
  <c r="H152" i="38"/>
  <c r="H156" i="38"/>
  <c r="H160" i="38"/>
  <c r="H164" i="38"/>
  <c r="H168" i="38"/>
  <c r="H172" i="38"/>
  <c r="H176" i="38"/>
  <c r="H180" i="38"/>
  <c r="H184" i="38"/>
  <c r="H188" i="38"/>
  <c r="H192" i="38"/>
  <c r="H196" i="38"/>
  <c r="H200" i="38"/>
  <c r="H204" i="38"/>
  <c r="H208" i="38"/>
  <c r="F351" i="38"/>
  <c r="G86" i="38"/>
  <c r="G104" i="38"/>
  <c r="G120" i="38"/>
  <c r="G136" i="38"/>
  <c r="G151" i="38"/>
  <c r="G167" i="38"/>
  <c r="G183" i="38"/>
  <c r="G199" i="38"/>
  <c r="G215" i="38"/>
  <c r="G231" i="38"/>
  <c r="G247" i="38"/>
  <c r="G263" i="38"/>
  <c r="G279" i="38"/>
  <c r="G293" i="38"/>
  <c r="G303" i="38"/>
  <c r="G311" i="38"/>
  <c r="G319" i="38"/>
  <c r="G327" i="38"/>
  <c r="G335" i="38"/>
  <c r="G340" i="38"/>
  <c r="G344" i="38"/>
  <c r="G348" i="38"/>
  <c r="G352" i="38"/>
  <c r="G356" i="38"/>
  <c r="G360" i="38"/>
  <c r="G364" i="38"/>
  <c r="G368" i="38"/>
  <c r="G372" i="38"/>
  <c r="G376" i="38"/>
  <c r="H70" i="38"/>
  <c r="H74" i="38"/>
  <c r="H78" i="38"/>
  <c r="H82" i="38"/>
  <c r="H86" i="38"/>
  <c r="H90" i="38"/>
  <c r="H94" i="38"/>
  <c r="H98" i="38"/>
  <c r="H102" i="38"/>
  <c r="H106" i="38"/>
  <c r="H110" i="38"/>
  <c r="H114" i="38"/>
  <c r="H118" i="38"/>
  <c r="H122" i="38"/>
  <c r="H126" i="38"/>
  <c r="H130" i="38"/>
  <c r="H134" i="38"/>
  <c r="H137" i="38"/>
  <c r="H141" i="38"/>
  <c r="H145" i="38"/>
  <c r="F367" i="38"/>
  <c r="G91" i="38"/>
  <c r="G108" i="38"/>
  <c r="G124" i="38"/>
  <c r="G139" i="38"/>
  <c r="G155" i="38"/>
  <c r="G171" i="38"/>
  <c r="G187" i="38"/>
  <c r="G203" i="38"/>
  <c r="G219" i="38"/>
  <c r="G235" i="38"/>
  <c r="G251" i="38"/>
  <c r="G267" i="38"/>
  <c r="G281" i="38"/>
  <c r="G297" i="38"/>
  <c r="G305" i="38"/>
  <c r="G313" i="38"/>
  <c r="G321" i="38"/>
  <c r="G329" i="38"/>
  <c r="G337" i="38"/>
  <c r="G341" i="38"/>
  <c r="G345" i="38"/>
  <c r="G349" i="38"/>
  <c r="G353" i="38"/>
  <c r="G357" i="38"/>
  <c r="G361" i="38"/>
  <c r="G365" i="38"/>
  <c r="G369" i="38"/>
  <c r="G373" i="38"/>
  <c r="H71" i="38"/>
  <c r="H75" i="38"/>
  <c r="H79" i="38"/>
  <c r="H83" i="38"/>
  <c r="H87" i="38"/>
  <c r="H91" i="38"/>
  <c r="H95" i="38"/>
  <c r="H99" i="38"/>
  <c r="H103" i="38"/>
  <c r="H107" i="38"/>
  <c r="H111" i="38"/>
  <c r="H115" i="38"/>
  <c r="H119" i="38"/>
  <c r="H123" i="38"/>
  <c r="H127" i="38"/>
  <c r="H131" i="38"/>
  <c r="H135" i="38"/>
  <c r="H138" i="38"/>
  <c r="H142" i="38"/>
  <c r="H146" i="38"/>
  <c r="H150" i="38"/>
  <c r="H154" i="38"/>
  <c r="H158" i="38"/>
  <c r="H162" i="38"/>
  <c r="H166" i="38"/>
  <c r="H170" i="38"/>
  <c r="H174" i="38"/>
  <c r="H178" i="38"/>
  <c r="H182" i="38"/>
  <c r="H186" i="38"/>
  <c r="H190" i="38"/>
  <c r="H194" i="38"/>
  <c r="H198" i="38"/>
  <c r="H202" i="38"/>
  <c r="H206" i="38"/>
  <c r="G72" i="38"/>
  <c r="G143" i="38"/>
  <c r="G207" i="38"/>
  <c r="G271" i="38"/>
  <c r="G315" i="38"/>
  <c r="G342" i="38"/>
  <c r="G358" i="38"/>
  <c r="G374" i="38"/>
  <c r="H80" i="38"/>
  <c r="H96" i="38"/>
  <c r="H112" i="38"/>
  <c r="H128" i="38"/>
  <c r="H143" i="38"/>
  <c r="H153" i="38"/>
  <c r="H161" i="38"/>
  <c r="H169" i="38"/>
  <c r="H177" i="38"/>
  <c r="H185" i="38"/>
  <c r="H193" i="38"/>
  <c r="H201" i="38"/>
  <c r="H209" i="38"/>
  <c r="H213" i="38"/>
  <c r="H217" i="38"/>
  <c r="H221" i="38"/>
  <c r="H225" i="38"/>
  <c r="H229" i="38"/>
  <c r="H233" i="38"/>
  <c r="H237" i="38"/>
  <c r="H241" i="38"/>
  <c r="H245" i="38"/>
  <c r="H249" i="38"/>
  <c r="H253" i="38"/>
  <c r="H257" i="38"/>
  <c r="H261" i="38"/>
  <c r="H265" i="38"/>
  <c r="H269" i="38"/>
  <c r="H273" i="38"/>
  <c r="H277" i="38"/>
  <c r="H280" i="38"/>
  <c r="H283" i="38"/>
  <c r="H287" i="38"/>
  <c r="H291" i="38"/>
  <c r="H295" i="38"/>
  <c r="H299" i="38"/>
  <c r="H303" i="38"/>
  <c r="H307" i="38"/>
  <c r="H311" i="38"/>
  <c r="H315" i="38"/>
  <c r="H319" i="38"/>
  <c r="H323" i="38"/>
  <c r="H327" i="38"/>
  <c r="H331" i="38"/>
  <c r="H335" i="38"/>
  <c r="H339" i="38"/>
  <c r="H343" i="38"/>
  <c r="H347" i="38"/>
  <c r="H351" i="38"/>
  <c r="H355" i="38"/>
  <c r="H359" i="38"/>
  <c r="H363" i="38"/>
  <c r="H367" i="38"/>
  <c r="H371" i="38"/>
  <c r="H375" i="38"/>
  <c r="G96" i="38"/>
  <c r="G159" i="38"/>
  <c r="G223" i="38"/>
  <c r="G285" i="38"/>
  <c r="G323" i="38"/>
  <c r="G346" i="38"/>
  <c r="G362" i="38"/>
  <c r="H84" i="38"/>
  <c r="H100" i="38"/>
  <c r="H116" i="38"/>
  <c r="H132" i="38"/>
  <c r="H147" i="38"/>
  <c r="H155" i="38"/>
  <c r="H163" i="38"/>
  <c r="H171" i="38"/>
  <c r="H179" i="38"/>
  <c r="H187" i="38"/>
  <c r="H195" i="38"/>
  <c r="H203" i="38"/>
  <c r="H210" i="38"/>
  <c r="H214" i="38"/>
  <c r="H218" i="38"/>
  <c r="H222" i="38"/>
  <c r="H226" i="38"/>
  <c r="H230" i="38"/>
  <c r="H234" i="38"/>
  <c r="H238" i="38"/>
  <c r="H242" i="38"/>
  <c r="H246" i="38"/>
  <c r="H250" i="38"/>
  <c r="H254" i="38"/>
  <c r="H258" i="38"/>
  <c r="H262" i="38"/>
  <c r="H266" i="38"/>
  <c r="H270" i="38"/>
  <c r="H274" i="38"/>
  <c r="H278" i="38"/>
  <c r="H284" i="38"/>
  <c r="H288" i="38"/>
  <c r="H292" i="38"/>
  <c r="H296" i="38"/>
  <c r="H300" i="38"/>
  <c r="H304" i="38"/>
  <c r="H308" i="38"/>
  <c r="H312" i="38"/>
  <c r="H316" i="38"/>
  <c r="H320" i="38"/>
  <c r="H324" i="38"/>
  <c r="H328" i="38"/>
  <c r="H332" i="38"/>
  <c r="H336" i="38"/>
  <c r="H340" i="38"/>
  <c r="H344" i="38"/>
  <c r="H348" i="38"/>
  <c r="H352" i="38"/>
  <c r="H356" i="38"/>
  <c r="H360" i="38"/>
  <c r="H364" i="38"/>
  <c r="H368" i="38"/>
  <c r="H372" i="38"/>
  <c r="H376" i="38"/>
  <c r="G112" i="38"/>
  <c r="G175" i="38"/>
  <c r="G239" i="38"/>
  <c r="G299" i="38"/>
  <c r="G331" i="38"/>
  <c r="G350" i="38"/>
  <c r="G366" i="38"/>
  <c r="H72" i="38"/>
  <c r="H88" i="38"/>
  <c r="H104" i="38"/>
  <c r="H120" i="38"/>
  <c r="H136" i="38"/>
  <c r="H149" i="38"/>
  <c r="H157" i="38"/>
  <c r="H165" i="38"/>
  <c r="H173" i="38"/>
  <c r="H181" i="38"/>
  <c r="H189" i="38"/>
  <c r="H197" i="38"/>
  <c r="H205" i="38"/>
  <c r="H211" i="38"/>
  <c r="H215" i="38"/>
  <c r="H219" i="38"/>
  <c r="H223" i="38"/>
  <c r="H227" i="38"/>
  <c r="H231" i="38"/>
  <c r="H235" i="38"/>
  <c r="H239" i="38"/>
  <c r="H243" i="38"/>
  <c r="H247" i="38"/>
  <c r="H251" i="38"/>
  <c r="H255" i="38"/>
  <c r="H259" i="38"/>
  <c r="H263" i="38"/>
  <c r="H267" i="38"/>
  <c r="H271" i="38"/>
  <c r="H275" i="38"/>
  <c r="H279" i="38"/>
  <c r="H281" i="38"/>
  <c r="H285" i="38"/>
  <c r="H289" i="38"/>
  <c r="H293" i="38"/>
  <c r="H297" i="38"/>
  <c r="H301" i="38"/>
  <c r="H305" i="38"/>
  <c r="H309" i="38"/>
  <c r="H313" i="38"/>
  <c r="H317" i="38"/>
  <c r="H321" i="38"/>
  <c r="H325" i="38"/>
  <c r="H329" i="38"/>
  <c r="H333" i="38"/>
  <c r="H337" i="38"/>
  <c r="H341" i="38"/>
  <c r="H345" i="38"/>
  <c r="H349" i="38"/>
  <c r="H353" i="38"/>
  <c r="H357" i="38"/>
  <c r="H361" i="38"/>
  <c r="H365" i="38"/>
  <c r="H369" i="38"/>
  <c r="H373" i="38"/>
  <c r="G307" i="38"/>
  <c r="H76" i="38"/>
  <c r="H139" i="38"/>
  <c r="H175" i="38"/>
  <c r="H207" i="38"/>
  <c r="H224" i="38"/>
  <c r="H240" i="38"/>
  <c r="H256" i="38"/>
  <c r="H272" i="38"/>
  <c r="H286" i="38"/>
  <c r="H302" i="38"/>
  <c r="H318" i="38"/>
  <c r="H334" i="38"/>
  <c r="H350" i="38"/>
  <c r="H366" i="38"/>
  <c r="G128" i="38"/>
  <c r="G338" i="38"/>
  <c r="H92" i="38"/>
  <c r="H151" i="38"/>
  <c r="H183" i="38"/>
  <c r="H212" i="38"/>
  <c r="H228" i="38"/>
  <c r="H244" i="38"/>
  <c r="H260" i="38"/>
  <c r="H276" i="38"/>
  <c r="H290" i="38"/>
  <c r="H306" i="38"/>
  <c r="H322" i="38"/>
  <c r="H338" i="38"/>
  <c r="H354" i="38"/>
  <c r="H370" i="38"/>
  <c r="H220" i="38"/>
  <c r="H362" i="38"/>
  <c r="G191" i="38"/>
  <c r="G354" i="38"/>
  <c r="H108" i="38"/>
  <c r="H159" i="38"/>
  <c r="H191" i="38"/>
  <c r="H216" i="38"/>
  <c r="H232" i="38"/>
  <c r="H248" i="38"/>
  <c r="H264" i="38"/>
  <c r="H294" i="38"/>
  <c r="H310" i="38"/>
  <c r="H326" i="38"/>
  <c r="H342" i="38"/>
  <c r="H358" i="38"/>
  <c r="H374" i="38"/>
  <c r="G255" i="38"/>
  <c r="G370" i="38"/>
  <c r="H124" i="38"/>
  <c r="H167" i="38"/>
  <c r="H199" i="38"/>
  <c r="H236" i="38"/>
  <c r="H252" i="38"/>
  <c r="H268" i="38"/>
  <c r="H282" i="38"/>
  <c r="H298" i="38"/>
  <c r="H314" i="38"/>
  <c r="H330" i="38"/>
  <c r="H346" i="38"/>
  <c r="E21" i="37"/>
  <c r="E22" i="37"/>
  <c r="E23" i="37"/>
  <c r="G21" i="37"/>
  <c r="G22" i="37"/>
  <c r="G23" i="37"/>
  <c r="F378" i="35"/>
  <c r="F379" i="35"/>
  <c r="F380" i="35"/>
  <c r="I378" i="35"/>
  <c r="I379" i="35"/>
  <c r="I380" i="35"/>
  <c r="F364" i="35"/>
  <c r="F365" i="35"/>
  <c r="F366" i="35"/>
  <c r="F367" i="35"/>
  <c r="F368" i="35"/>
  <c r="F369" i="35"/>
  <c r="F370" i="35"/>
  <c r="F371" i="35"/>
  <c r="F372" i="35"/>
  <c r="F373" i="35"/>
  <c r="F374" i="35"/>
  <c r="F375" i="35"/>
  <c r="F376" i="35"/>
  <c r="F377" i="35"/>
  <c r="I364" i="35"/>
  <c r="I365" i="35"/>
  <c r="I366" i="35"/>
  <c r="I367" i="35"/>
  <c r="I368" i="35"/>
  <c r="I369" i="35"/>
  <c r="I370" i="35"/>
  <c r="I371" i="35"/>
  <c r="I372" i="35"/>
  <c r="I373" i="35"/>
  <c r="I374" i="35"/>
  <c r="I375" i="35"/>
  <c r="I376" i="35"/>
  <c r="I377" i="35"/>
  <c r="A3" i="34"/>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E231" i="34"/>
  <c r="A232" i="34"/>
  <c r="A233" i="34"/>
  <c r="A234" i="34"/>
  <c r="A235" i="34"/>
  <c r="A236" i="34"/>
  <c r="A237" i="34"/>
  <c r="A238" i="34"/>
  <c r="A239" i="34"/>
  <c r="E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78" i="34"/>
  <c r="E378" i="34"/>
  <c r="A379" i="34"/>
  <c r="A380" i="34"/>
  <c r="A381" i="34"/>
  <c r="A382" i="34"/>
  <c r="A383" i="34"/>
  <c r="A384" i="34"/>
  <c r="A385" i="34"/>
  <c r="A386" i="34"/>
  <c r="E386" i="34"/>
  <c r="A387" i="34"/>
  <c r="A388" i="34"/>
  <c r="A389" i="34"/>
  <c r="A390" i="34"/>
  <c r="E390" i="34"/>
  <c r="A391" i="34"/>
  <c r="A392" i="34"/>
  <c r="A393" i="34"/>
  <c r="A394" i="34"/>
  <c r="E394" i="34"/>
  <c r="A395" i="34"/>
  <c r="A396" i="34"/>
  <c r="A397" i="34"/>
  <c r="A398" i="34"/>
  <c r="E398" i="34"/>
  <c r="A399" i="34"/>
  <c r="A400" i="34"/>
  <c r="A401" i="34"/>
  <c r="A402" i="34"/>
  <c r="A403" i="34"/>
  <c r="A404" i="34"/>
  <c r="A405" i="34"/>
  <c r="A406" i="34"/>
  <c r="A407" i="34"/>
  <c r="A408" i="34"/>
  <c r="A409" i="34"/>
  <c r="A410" i="34"/>
  <c r="A411" i="34"/>
  <c r="A412" i="34"/>
  <c r="A413" i="34"/>
  <c r="A414" i="34"/>
  <c r="A415" i="34"/>
  <c r="A416" i="34"/>
  <c r="A417" i="34"/>
  <c r="A418" i="34"/>
  <c r="A419" i="34"/>
  <c r="A420" i="34"/>
  <c r="A421" i="34"/>
  <c r="A422" i="34"/>
  <c r="A424" i="34"/>
  <c r="A426" i="34"/>
  <c r="A427" i="34"/>
  <c r="A428" i="34"/>
  <c r="E428" i="34"/>
  <c r="A430" i="34"/>
  <c r="A431" i="34"/>
  <c r="A432" i="34"/>
  <c r="A434" i="34"/>
  <c r="E434" i="34"/>
  <c r="A435" i="34"/>
  <c r="A436" i="34"/>
  <c r="A437" i="34"/>
  <c r="A438" i="34"/>
  <c r="A440" i="34"/>
  <c r="A442" i="34"/>
  <c r="A444" i="34"/>
  <c r="A446" i="34"/>
  <c r="E446" i="34"/>
  <c r="A447" i="34"/>
  <c r="A448" i="34"/>
  <c r="A451" i="34"/>
  <c r="A452" i="34"/>
  <c r="E452" i="34"/>
  <c r="A453" i="34"/>
  <c r="A454" i="34"/>
  <c r="A456" i="34"/>
  <c r="E382" i="34"/>
  <c r="E370" i="34"/>
  <c r="E358" i="34"/>
  <c r="E235" i="34"/>
  <c r="E354" i="34"/>
  <c r="E366" i="34"/>
  <c r="E67" i="34"/>
  <c r="E438" i="34"/>
  <c r="E362" i="34"/>
  <c r="E227" i="34"/>
  <c r="E223" i="34"/>
  <c r="E219" i="34"/>
  <c r="E215" i="34"/>
  <c r="E211" i="34"/>
  <c r="E207" i="34"/>
  <c r="E199" i="34"/>
  <c r="E195" i="34"/>
  <c r="E191" i="34"/>
  <c r="E187" i="34"/>
  <c r="E183" i="34"/>
  <c r="E179" i="34"/>
  <c r="E171" i="34"/>
  <c r="E167" i="34"/>
  <c r="E175" i="34"/>
  <c r="E163" i="34"/>
  <c r="E159" i="34"/>
  <c r="E155" i="34"/>
  <c r="E151" i="34"/>
  <c r="E147" i="34"/>
  <c r="E143" i="34"/>
  <c r="E114" i="34"/>
  <c r="C137" i="1"/>
  <c r="E110" i="34"/>
  <c r="C133" i="1"/>
  <c r="E106" i="34"/>
  <c r="C129" i="1"/>
  <c r="E102" i="34"/>
  <c r="C125" i="1"/>
  <c r="E98" i="34"/>
  <c r="C121" i="1"/>
  <c r="E94" i="34"/>
  <c r="C117" i="1"/>
  <c r="E203" i="34"/>
  <c r="E233" i="34"/>
  <c r="E400" i="34"/>
  <c r="E90" i="34"/>
  <c r="C113" i="1"/>
  <c r="E86" i="34"/>
  <c r="C109" i="1"/>
  <c r="E82" i="34"/>
  <c r="C105" i="1"/>
  <c r="E58" i="34"/>
  <c r="C77" i="1"/>
  <c r="E418" i="34"/>
  <c r="E54" i="34"/>
  <c r="C73" i="1"/>
  <c r="E50" i="34"/>
  <c r="C69" i="1"/>
  <c r="E422" i="34"/>
  <c r="E374" i="34"/>
  <c r="E134" i="34"/>
  <c r="C157" i="1"/>
  <c r="E414" i="34"/>
  <c r="E402" i="34"/>
  <c r="E130" i="34"/>
  <c r="C153" i="1"/>
  <c r="E118" i="34"/>
  <c r="C141" i="1"/>
  <c r="E74" i="34"/>
  <c r="C97" i="1"/>
  <c r="E62" i="34"/>
  <c r="C81" i="1"/>
  <c r="E46" i="34"/>
  <c r="C65" i="1"/>
  <c r="E30" i="34"/>
  <c r="C49" i="1"/>
  <c r="E22" i="34"/>
  <c r="C41" i="1"/>
  <c r="E6" i="34"/>
  <c r="C25" i="1"/>
  <c r="E456" i="34"/>
  <c r="E451" i="34"/>
  <c r="E444" i="34"/>
  <c r="E437" i="34"/>
  <c r="E432" i="34"/>
  <c r="E427" i="34"/>
  <c r="E421" i="34"/>
  <c r="E417" i="34"/>
  <c r="E413" i="34"/>
  <c r="E409" i="34"/>
  <c r="E405" i="34"/>
  <c r="E401" i="34"/>
  <c r="E397" i="34"/>
  <c r="E393" i="34"/>
  <c r="E389" i="34"/>
  <c r="E385" i="34"/>
  <c r="E381" i="34"/>
  <c r="E377" i="34"/>
  <c r="E373" i="34"/>
  <c r="E369" i="34"/>
  <c r="E365" i="34"/>
  <c r="E361" i="34"/>
  <c r="E357" i="34"/>
  <c r="E353" i="34"/>
  <c r="E238" i="34"/>
  <c r="E234" i="34"/>
  <c r="E230" i="34"/>
  <c r="E226" i="34"/>
  <c r="E222" i="34"/>
  <c r="E218" i="34"/>
  <c r="E214" i="34"/>
  <c r="E210" i="34"/>
  <c r="E206" i="34"/>
  <c r="E202" i="34"/>
  <c r="E198" i="34"/>
  <c r="E194" i="34"/>
  <c r="E190" i="34"/>
  <c r="E186" i="34"/>
  <c r="E182" i="34"/>
  <c r="E178" i="34"/>
  <c r="E174" i="34"/>
  <c r="E170" i="34"/>
  <c r="E166" i="34"/>
  <c r="E162" i="34"/>
  <c r="E158" i="34"/>
  <c r="E154" i="34"/>
  <c r="E150" i="34"/>
  <c r="E146" i="34"/>
  <c r="E142" i="34"/>
  <c r="E133" i="34"/>
  <c r="C156" i="1"/>
  <c r="E129" i="34"/>
  <c r="C152" i="1"/>
  <c r="E125" i="34"/>
  <c r="C148" i="1"/>
  <c r="E121" i="34"/>
  <c r="C144" i="1"/>
  <c r="E117" i="34"/>
  <c r="C140" i="1"/>
  <c r="E113" i="34"/>
  <c r="C136" i="1"/>
  <c r="E109" i="34"/>
  <c r="C132" i="1"/>
  <c r="E105" i="34"/>
  <c r="C128" i="1"/>
  <c r="E101" i="34"/>
  <c r="C124" i="1"/>
  <c r="E97" i="34"/>
  <c r="C120" i="1"/>
  <c r="E93" i="34"/>
  <c r="C116" i="1"/>
  <c r="E89" i="34"/>
  <c r="C112" i="1"/>
  <c r="E85" i="34"/>
  <c r="C108" i="1"/>
  <c r="E81" i="34"/>
  <c r="C104" i="1"/>
  <c r="E77" i="34"/>
  <c r="C100" i="1"/>
  <c r="E73" i="34"/>
  <c r="C96" i="1"/>
  <c r="E69" i="34"/>
  <c r="C92" i="1"/>
  <c r="E65" i="34"/>
  <c r="C84" i="1"/>
  <c r="E61" i="34"/>
  <c r="C80" i="1"/>
  <c r="E57" i="34"/>
  <c r="C76" i="1"/>
  <c r="E53" i="34"/>
  <c r="C72" i="1"/>
  <c r="E49" i="34"/>
  <c r="C68" i="1"/>
  <c r="E45" i="34"/>
  <c r="C64" i="1"/>
  <c r="E41" i="34"/>
  <c r="C60" i="1"/>
  <c r="E37" i="34"/>
  <c r="C56" i="1"/>
  <c r="E33" i="34"/>
  <c r="C52" i="1"/>
  <c r="E29" i="34"/>
  <c r="C48" i="1"/>
  <c r="E25" i="34"/>
  <c r="C44" i="1"/>
  <c r="E21" i="34"/>
  <c r="C40" i="1"/>
  <c r="E17" i="34"/>
  <c r="C36" i="1"/>
  <c r="E13" i="34"/>
  <c r="C32" i="1"/>
  <c r="E9" i="34"/>
  <c r="C28" i="1"/>
  <c r="E5" i="34"/>
  <c r="C24" i="1"/>
  <c r="E126" i="34"/>
  <c r="C149" i="1"/>
  <c r="E70" i="34"/>
  <c r="C93" i="1"/>
  <c r="E38" i="34"/>
  <c r="C57" i="1"/>
  <c r="E26" i="34"/>
  <c r="C45" i="1"/>
  <c r="E14" i="34"/>
  <c r="C33" i="1"/>
  <c r="E448" i="34"/>
  <c r="E436" i="34"/>
  <c r="E426" i="34"/>
  <c r="E416" i="34"/>
  <c r="E408" i="34"/>
  <c r="E404" i="34"/>
  <c r="E396" i="34"/>
  <c r="E392" i="34"/>
  <c r="E388" i="34"/>
  <c r="E384" i="34"/>
  <c r="E380" i="34"/>
  <c r="E376" i="34"/>
  <c r="E372" i="34"/>
  <c r="E368" i="34"/>
  <c r="E364" i="34"/>
  <c r="E360" i="34"/>
  <c r="E356" i="34"/>
  <c r="E241" i="34"/>
  <c r="E237" i="34"/>
  <c r="E136" i="34"/>
  <c r="C159" i="1"/>
  <c r="E139" i="34"/>
  <c r="C162" i="1"/>
  <c r="E229" i="34"/>
  <c r="E135" i="34"/>
  <c r="C158" i="1"/>
  <c r="I85" i="8"/>
  <c r="I84" i="8"/>
  <c r="C161" i="1"/>
  <c r="I83" i="8"/>
  <c r="E439" i="34"/>
  <c r="E423" i="34"/>
  <c r="E429" i="34"/>
  <c r="E425" i="34"/>
  <c r="E443" i="34"/>
  <c r="E433" i="34"/>
  <c r="E441" i="34"/>
  <c r="E455" i="34"/>
  <c r="E445" i="34"/>
  <c r="E450" i="34"/>
  <c r="E333" i="34"/>
  <c r="E329" i="34"/>
  <c r="E337" i="34"/>
  <c r="E330" i="34"/>
  <c r="E336" i="34"/>
  <c r="E335" i="34"/>
  <c r="E325" i="34"/>
  <c r="E326" i="34"/>
  <c r="E332" i="34"/>
  <c r="E331" i="34"/>
  <c r="E280" i="34"/>
  <c r="E328" i="34"/>
  <c r="E327" i="34"/>
  <c r="E334" i="34"/>
  <c r="E244" i="34"/>
  <c r="E349" i="34"/>
  <c r="C85" i="8"/>
  <c r="E304" i="34"/>
  <c r="E243" i="34"/>
  <c r="E260" i="34"/>
  <c r="E270" i="34"/>
  <c r="E348" i="34"/>
  <c r="C84" i="8"/>
  <c r="E319" i="34"/>
  <c r="E303" i="34"/>
  <c r="E291" i="34"/>
  <c r="E320" i="34"/>
  <c r="E246" i="34"/>
  <c r="E263" i="34"/>
  <c r="C144" i="2"/>
  <c r="E273" i="34"/>
  <c r="E351" i="34"/>
  <c r="E322" i="34"/>
  <c r="E306" i="34"/>
  <c r="E261" i="34"/>
  <c r="E341" i="34"/>
  <c r="E252" i="34"/>
  <c r="E254" i="34"/>
  <c r="E283" i="34"/>
  <c r="E342" i="34"/>
  <c r="E313" i="34"/>
  <c r="E297" i="34"/>
  <c r="E266" i="34"/>
  <c r="E278" i="34"/>
  <c r="E309" i="34"/>
  <c r="E274" i="34"/>
  <c r="E307" i="34"/>
  <c r="E250" i="34"/>
  <c r="E279" i="34"/>
  <c r="E293" i="34"/>
  <c r="E294" i="34"/>
  <c r="E346" i="34"/>
  <c r="E301" i="34"/>
  <c r="E265" i="34"/>
  <c r="E324" i="34"/>
  <c r="E296" i="34"/>
  <c r="E292" i="34"/>
  <c r="E256" i="34"/>
  <c r="E285" i="34"/>
  <c r="E344" i="34"/>
  <c r="E315" i="34"/>
  <c r="E299" i="34"/>
  <c r="E257" i="34"/>
  <c r="E312" i="34"/>
  <c r="E242" i="34"/>
  <c r="E259" i="34"/>
  <c r="E269" i="34"/>
  <c r="E347" i="34"/>
  <c r="C83" i="8"/>
  <c r="E318" i="34"/>
  <c r="E302" i="34"/>
  <c r="E289" i="34"/>
  <c r="E249" i="34"/>
  <c r="E276" i="34"/>
  <c r="E338" i="34"/>
  <c r="E352" i="34"/>
  <c r="E248" i="34"/>
  <c r="E267" i="34"/>
  <c r="E310" i="34"/>
  <c r="E258" i="34"/>
  <c r="E317" i="34"/>
  <c r="E275" i="34"/>
  <c r="E316" i="34"/>
  <c r="E251" i="34"/>
  <c r="E290" i="34"/>
  <c r="E288" i="34"/>
  <c r="E281" i="34"/>
  <c r="E340" i="34"/>
  <c r="E311" i="34"/>
  <c r="E295" i="34"/>
  <c r="E282" i="34"/>
  <c r="E300" i="34"/>
  <c r="E253" i="34"/>
  <c r="E255" i="34"/>
  <c r="E284" i="34"/>
  <c r="E343" i="34"/>
  <c r="E314" i="34"/>
  <c r="E298" i="34"/>
  <c r="E286" i="34"/>
  <c r="E245" i="34"/>
  <c r="E262" i="34"/>
  <c r="E272" i="34"/>
  <c r="E350" i="34"/>
  <c r="E321" i="34"/>
  <c r="E305" i="34"/>
  <c r="E271" i="34"/>
  <c r="E308" i="34"/>
  <c r="E247" i="34"/>
  <c r="E264" i="34"/>
  <c r="E323" i="34"/>
  <c r="E345" i="34"/>
  <c r="E287" i="34"/>
  <c r="E339" i="34"/>
  <c r="E277" i="34"/>
  <c r="E268" i="34"/>
  <c r="E225" i="34"/>
  <c r="E221" i="34"/>
  <c r="E217" i="34"/>
  <c r="E213" i="34"/>
  <c r="E209" i="34"/>
  <c r="E205" i="34"/>
  <c r="E201" i="34"/>
  <c r="E197" i="34"/>
  <c r="E193" i="34"/>
  <c r="E189" i="34"/>
  <c r="E185" i="34"/>
  <c r="E181" i="34"/>
  <c r="E177" i="34"/>
  <c r="E173" i="34"/>
  <c r="E169" i="34"/>
  <c r="E165" i="34"/>
  <c r="E161" i="34"/>
  <c r="E157" i="34"/>
  <c r="E153" i="34"/>
  <c r="E149" i="34"/>
  <c r="E145" i="34"/>
  <c r="E141" i="34"/>
  <c r="E132" i="34"/>
  <c r="C155" i="1"/>
  <c r="E128" i="34"/>
  <c r="C151" i="1"/>
  <c r="E124" i="34"/>
  <c r="C147" i="1"/>
  <c r="E120" i="34"/>
  <c r="C143" i="1"/>
  <c r="E116" i="34"/>
  <c r="C139" i="1"/>
  <c r="E112" i="34"/>
  <c r="C135" i="1"/>
  <c r="E108" i="34"/>
  <c r="C131" i="1"/>
  <c r="E104" i="34"/>
  <c r="C127" i="1"/>
  <c r="E100" i="34"/>
  <c r="C123" i="1"/>
  <c r="E96" i="34"/>
  <c r="C119" i="1"/>
  <c r="E92" i="34"/>
  <c r="C115" i="1"/>
  <c r="E88" i="34"/>
  <c r="C111" i="1"/>
  <c r="E84" i="34"/>
  <c r="C107" i="1"/>
  <c r="E80" i="34"/>
  <c r="C103" i="1"/>
  <c r="E76" i="34"/>
  <c r="C99" i="1"/>
  <c r="E72" i="34"/>
  <c r="C95" i="1"/>
  <c r="E68" i="34"/>
  <c r="C87" i="1"/>
  <c r="E64" i="34"/>
  <c r="C83" i="1"/>
  <c r="E60" i="34"/>
  <c r="C79" i="1"/>
  <c r="E56" i="34"/>
  <c r="C75" i="1"/>
  <c r="E52" i="34"/>
  <c r="C71" i="1"/>
  <c r="E48" i="34"/>
  <c r="C67" i="1"/>
  <c r="E44" i="34"/>
  <c r="C63" i="1"/>
  <c r="E40" i="34"/>
  <c r="C59" i="1"/>
  <c r="E36" i="34"/>
  <c r="C55" i="1"/>
  <c r="E32" i="34"/>
  <c r="C51" i="1"/>
  <c r="E28" i="34"/>
  <c r="C47" i="1"/>
  <c r="E24" i="34"/>
  <c r="C43" i="1"/>
  <c r="E20" i="34"/>
  <c r="C39" i="1"/>
  <c r="E16" i="34"/>
  <c r="C35" i="1"/>
  <c r="E12" i="34"/>
  <c r="C31" i="1"/>
  <c r="E8" i="34"/>
  <c r="C27" i="1"/>
  <c r="E4" i="34"/>
  <c r="C23" i="1"/>
  <c r="E410" i="34"/>
  <c r="E406" i="34"/>
  <c r="E122" i="34"/>
  <c r="C145" i="1"/>
  <c r="E78" i="34"/>
  <c r="C101" i="1"/>
  <c r="E66" i="34"/>
  <c r="C85" i="1"/>
  <c r="E42" i="34"/>
  <c r="C61" i="1"/>
  <c r="E34" i="34"/>
  <c r="C53" i="1"/>
  <c r="E18" i="34"/>
  <c r="C37" i="1"/>
  <c r="E10" i="34"/>
  <c r="C29" i="1"/>
  <c r="E454" i="34"/>
  <c r="E442" i="34"/>
  <c r="E431" i="34"/>
  <c r="E420" i="34"/>
  <c r="E412" i="34"/>
  <c r="E453" i="34"/>
  <c r="E447" i="34"/>
  <c r="E440" i="34"/>
  <c r="E435" i="34"/>
  <c r="E430" i="34"/>
  <c r="E424" i="34"/>
  <c r="E419" i="34"/>
  <c r="E415" i="34"/>
  <c r="E411" i="34"/>
  <c r="E407" i="34"/>
  <c r="E403" i="34"/>
  <c r="E399" i="34"/>
  <c r="E395" i="34"/>
  <c r="E391" i="34"/>
  <c r="E387" i="34"/>
  <c r="E383" i="34"/>
  <c r="E379" i="34"/>
  <c r="E375" i="34"/>
  <c r="E371" i="34"/>
  <c r="E367" i="34"/>
  <c r="E363" i="34"/>
  <c r="E359" i="34"/>
  <c r="E355" i="34"/>
  <c r="E240" i="34"/>
  <c r="E236" i="34"/>
  <c r="E232" i="34"/>
  <c r="E228" i="34"/>
  <c r="E224" i="34"/>
  <c r="E220" i="34"/>
  <c r="E216" i="34"/>
  <c r="E212" i="34"/>
  <c r="E208" i="34"/>
  <c r="E204" i="34"/>
  <c r="E200" i="34"/>
  <c r="E196" i="34"/>
  <c r="E192" i="34"/>
  <c r="E188" i="34"/>
  <c r="E184" i="34"/>
  <c r="E180" i="34"/>
  <c r="E176" i="34"/>
  <c r="E172" i="34"/>
  <c r="E168" i="34"/>
  <c r="E164" i="34"/>
  <c r="E160" i="34"/>
  <c r="E156" i="34"/>
  <c r="E152" i="34"/>
  <c r="E148" i="34"/>
  <c r="E144" i="34"/>
  <c r="E140" i="34"/>
  <c r="E131" i="34"/>
  <c r="C154" i="1"/>
  <c r="E127" i="34"/>
  <c r="C150" i="1"/>
  <c r="E123" i="34"/>
  <c r="C146" i="1"/>
  <c r="E119" i="34"/>
  <c r="C142" i="1"/>
  <c r="E115" i="34"/>
  <c r="C138" i="1"/>
  <c r="E111" i="34"/>
  <c r="C134" i="1"/>
  <c r="E107" i="34"/>
  <c r="C130" i="1"/>
  <c r="E103" i="34"/>
  <c r="C126" i="1"/>
  <c r="E99" i="34"/>
  <c r="C122" i="1"/>
  <c r="E95" i="34"/>
  <c r="C118" i="1"/>
  <c r="E91" i="34"/>
  <c r="C114" i="1"/>
  <c r="E87" i="34"/>
  <c r="C110" i="1"/>
  <c r="E83" i="34"/>
  <c r="C106" i="1"/>
  <c r="E79" i="34"/>
  <c r="C102" i="1"/>
  <c r="E75" i="34"/>
  <c r="C98" i="1"/>
  <c r="E71" i="34"/>
  <c r="C94" i="1"/>
  <c r="E63" i="34"/>
  <c r="C82" i="1"/>
  <c r="E59" i="34"/>
  <c r="C78" i="1"/>
  <c r="E55" i="34"/>
  <c r="C74" i="1"/>
  <c r="E51" i="34"/>
  <c r="C70" i="1"/>
  <c r="E47" i="34"/>
  <c r="C66" i="1"/>
  <c r="E43" i="34"/>
  <c r="C62" i="1"/>
  <c r="E39" i="34"/>
  <c r="C58" i="1"/>
  <c r="E35" i="34"/>
  <c r="C54" i="1"/>
  <c r="E31" i="34"/>
  <c r="C50" i="1"/>
  <c r="E27" i="34"/>
  <c r="C46" i="1"/>
  <c r="E23" i="34"/>
  <c r="C42" i="1"/>
  <c r="E19" i="34"/>
  <c r="C38" i="1"/>
  <c r="E15" i="34"/>
  <c r="C34" i="1"/>
  <c r="E11" i="34"/>
  <c r="C30" i="1"/>
  <c r="E7" i="34"/>
  <c r="C26" i="1"/>
  <c r="G44" i="10"/>
  <c r="G48" i="10"/>
  <c r="G52" i="10"/>
  <c r="G45" i="10"/>
  <c r="G49" i="10"/>
  <c r="G42" i="10"/>
  <c r="G46" i="10"/>
  <c r="G50" i="10"/>
  <c r="G43" i="10"/>
  <c r="G47" i="10"/>
  <c r="G51" i="10"/>
  <c r="F455" i="34"/>
  <c r="F449" i="34"/>
  <c r="F450" i="34"/>
  <c r="F445" i="34"/>
  <c r="F443" i="34"/>
  <c r="F441" i="34"/>
  <c r="F439" i="34"/>
  <c r="F433" i="34"/>
  <c r="F429" i="34"/>
  <c r="F425" i="34"/>
  <c r="F423" i="34"/>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c r="F348" i="34"/>
  <c r="D84" i="8"/>
  <c r="F342" i="34"/>
  <c r="F343" i="34"/>
  <c r="F345" i="34"/>
  <c r="F346" i="34"/>
  <c r="F351" i="34"/>
  <c r="F352" i="34"/>
  <c r="F347" i="34"/>
  <c r="D83" i="8"/>
  <c r="F344" i="34"/>
  <c r="F284" i="34"/>
  <c r="F279" i="34"/>
  <c r="F283" i="34"/>
  <c r="F278" i="34"/>
  <c r="F277" i="34"/>
  <c r="F282" i="34"/>
  <c r="F281" i="34"/>
  <c r="F286" i="34"/>
  <c r="F285" i="34"/>
  <c r="F271" i="34"/>
  <c r="F268" i="34"/>
  <c r="F273" i="34"/>
  <c r="F272" i="34"/>
  <c r="F270" i="34"/>
  <c r="F269" i="34"/>
  <c r="F287" i="34"/>
  <c r="F276" i="34"/>
  <c r="F289" i="34"/>
  <c r="F275" i="34"/>
  <c r="F274" i="34"/>
  <c r="F288" i="34"/>
  <c r="F265" i="34"/>
  <c r="F257" i="34"/>
  <c r="F260" i="34"/>
  <c r="F263" i="34"/>
  <c r="F255" i="34"/>
  <c r="F258" i="34"/>
  <c r="F261" i="34"/>
  <c r="F264" i="34"/>
  <c r="F256" i="34"/>
  <c r="F259" i="34"/>
  <c r="F262" i="34"/>
  <c r="F254" i="34"/>
  <c r="F291" i="34"/>
  <c r="F290" i="34"/>
  <c r="F266" i="34"/>
  <c r="F267" i="34"/>
  <c r="F293" i="34"/>
  <c r="F253" i="34"/>
  <c r="F292" i="34"/>
  <c r="F294" i="34"/>
  <c r="F252" i="34"/>
  <c r="F244" i="34"/>
  <c r="F243" i="34"/>
  <c r="F245" i="34"/>
  <c r="F242" i="34"/>
  <c r="F246" i="34"/>
  <c r="F247" i="34"/>
  <c r="F248" i="34"/>
  <c r="F249" i="34"/>
  <c r="F250" i="34"/>
  <c r="I22" i="2"/>
  <c r="F251" i="34"/>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138" i="1"/>
  <c r="I154" i="1"/>
  <c r="I107" i="1"/>
  <c r="I123" i="1"/>
  <c r="I133" i="1"/>
  <c r="I118" i="1"/>
  <c r="I161" i="1"/>
  <c r="I143" i="1"/>
  <c r="I96" i="1"/>
  <c r="I112" i="1"/>
  <c r="I128" i="1"/>
  <c r="I98" i="1"/>
  <c r="I158" i="1"/>
  <c r="I140" i="1"/>
  <c r="I156" i="1"/>
  <c r="I109" i="1"/>
  <c r="I125" i="1"/>
  <c r="I153" i="1"/>
  <c r="I81" i="2"/>
  <c r="I97" i="2"/>
  <c r="I113" i="2"/>
  <c r="I129" i="2"/>
  <c r="I54" i="2"/>
  <c r="I40" i="2"/>
  <c r="I38" i="2"/>
  <c r="I86" i="2"/>
  <c r="I102" i="2"/>
  <c r="I118" i="2"/>
  <c r="I96" i="2"/>
  <c r="I126" i="2"/>
  <c r="I56" i="2"/>
  <c r="I47" i="2"/>
  <c r="I35" i="2"/>
  <c r="I70" i="2"/>
  <c r="I39" i="2"/>
  <c r="I107" i="2"/>
  <c r="I132" i="2"/>
  <c r="I63" i="2"/>
  <c r="I75" i="2"/>
  <c r="I84" i="2"/>
  <c r="I116" i="2"/>
  <c r="I74" i="2"/>
  <c r="I69" i="2"/>
  <c r="I55" i="2"/>
  <c r="I160" i="1"/>
  <c r="I142" i="1"/>
  <c r="I95" i="1"/>
  <c r="I111" i="1"/>
  <c r="I127" i="1"/>
  <c r="I145" i="1"/>
  <c r="I92" i="1"/>
  <c r="I131" i="1"/>
  <c r="I147" i="1"/>
  <c r="I100" i="1"/>
  <c r="I116" i="1"/>
  <c r="I129" i="1"/>
  <c r="I114" i="1"/>
  <c r="I162" i="1"/>
  <c r="I144" i="1"/>
  <c r="I97" i="1"/>
  <c r="I113" i="1"/>
  <c r="I93" i="1"/>
  <c r="I102"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130" i="1"/>
  <c r="I146" i="1"/>
  <c r="I99" i="1"/>
  <c r="I115" i="1"/>
  <c r="I94" i="1"/>
  <c r="I135" i="1"/>
  <c r="I151" i="1"/>
  <c r="I104" i="1"/>
  <c r="I120" i="1"/>
  <c r="I141" i="1"/>
  <c r="I126" i="1"/>
  <c r="I132" i="1"/>
  <c r="I148" i="1"/>
  <c r="I101" i="1"/>
  <c r="I117" i="1"/>
  <c r="I110" i="1"/>
  <c r="I89" i="2"/>
  <c r="I121" i="2"/>
  <c r="I62" i="2"/>
  <c r="I30" i="2"/>
  <c r="I110" i="2"/>
  <c r="I112" i="2"/>
  <c r="I67" i="2"/>
  <c r="I95" i="2"/>
  <c r="I91" i="2"/>
  <c r="I78" i="2"/>
  <c r="I43" i="2"/>
  <c r="I59" i="2"/>
  <c r="I119" i="1"/>
  <c r="I139" i="1"/>
  <c r="I149" i="1"/>
  <c r="I105" i="1"/>
  <c r="I51" i="2"/>
  <c r="I50" i="2"/>
  <c r="I134" i="1"/>
  <c r="I159" i="1"/>
  <c r="I155" i="1"/>
  <c r="I121" i="1"/>
  <c r="I100" i="2"/>
  <c r="I37" i="2"/>
  <c r="I150" i="1"/>
  <c r="I106" i="1"/>
  <c r="I108" i="1"/>
  <c r="I136" i="1"/>
  <c r="I137" i="1"/>
  <c r="I128" i="2"/>
  <c r="I111" i="2"/>
  <c r="I103" i="1"/>
  <c r="I157" i="1"/>
  <c r="I124" i="1"/>
  <c r="I152" i="1"/>
  <c r="I122" i="1"/>
  <c r="F238" i="34"/>
  <c r="F234" i="34"/>
  <c r="F230" i="34"/>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F237" i="34"/>
  <c r="F233" i="34"/>
  <c r="F229" i="34"/>
  <c r="F240" i="34"/>
  <c r="F236" i="34"/>
  <c r="F232" i="34"/>
  <c r="F228" i="34"/>
  <c r="F239" i="34"/>
  <c r="F235" i="34"/>
  <c r="F231" i="34"/>
  <c r="F136" i="34"/>
  <c r="F135" i="34"/>
  <c r="F137" i="34"/>
  <c r="F138" i="34"/>
  <c r="F139" i="34"/>
  <c r="F53" i="34"/>
  <c r="F452" i="34"/>
  <c r="F21" i="34"/>
  <c r="F386" i="34"/>
  <c r="F185" i="34"/>
  <c r="F120" i="34"/>
  <c r="F64" i="34"/>
  <c r="F56" i="34"/>
  <c r="F24" i="34"/>
  <c r="F193" i="34"/>
  <c r="F161" i="34"/>
  <c r="F370" i="34"/>
  <c r="F220" i="34"/>
  <c r="F164" i="34"/>
  <c r="F112" i="34"/>
  <c r="F40" i="34"/>
  <c r="F128" i="34"/>
  <c r="F177" i="34"/>
  <c r="F169" i="34"/>
  <c r="F145" i="34"/>
  <c r="F133" i="34"/>
  <c r="F109" i="34"/>
  <c r="F101" i="34"/>
  <c r="F77" i="34"/>
  <c r="F69" i="34"/>
  <c r="F37" i="34"/>
  <c r="F5" i="34"/>
  <c r="F29" i="34"/>
  <c r="F61" i="34"/>
  <c r="F93" i="34"/>
  <c r="F125" i="34"/>
  <c r="F418" i="34"/>
  <c r="F358" i="34"/>
  <c r="F96" i="34"/>
  <c r="F85" i="34"/>
  <c r="F117" i="34"/>
  <c r="F153" i="34"/>
  <c r="F366" i="34"/>
  <c r="F221" i="34"/>
  <c r="F13" i="34"/>
  <c r="F45" i="34"/>
  <c r="F453" i="34"/>
  <c r="F447" i="34"/>
  <c r="F435" i="34"/>
  <c r="F430" i="34"/>
  <c r="F419" i="34"/>
  <c r="F411" i="34"/>
  <c r="F407" i="34"/>
  <c r="F399" i="34"/>
  <c r="F391" i="34"/>
  <c r="F383" i="34"/>
  <c r="F371" i="34"/>
  <c r="F363" i="34"/>
  <c r="F359" i="34"/>
  <c r="F225" i="34"/>
  <c r="F201" i="34"/>
  <c r="F217" i="34"/>
  <c r="F398" i="34"/>
  <c r="F436" i="34"/>
  <c r="F434" i="34"/>
  <c r="F80" i="34"/>
  <c r="F140" i="34"/>
  <c r="F148" i="34"/>
  <c r="F188" i="34"/>
  <c r="F196" i="34"/>
  <c r="F451" i="34"/>
  <c r="F437" i="34"/>
  <c r="F427" i="34"/>
  <c r="F417" i="34"/>
  <c r="F409" i="34"/>
  <c r="F401" i="34"/>
  <c r="F393" i="34"/>
  <c r="F385" i="34"/>
  <c r="F377" i="34"/>
  <c r="F369" i="34"/>
  <c r="F361" i="34"/>
  <c r="F353" i="34"/>
  <c r="F223" i="34"/>
  <c r="F211" i="34"/>
  <c r="F203" i="34"/>
  <c r="F195" i="34"/>
  <c r="F187" i="34"/>
  <c r="F183" i="34"/>
  <c r="F175" i="34"/>
  <c r="F167" i="34"/>
  <c r="F155" i="34"/>
  <c r="F147" i="34"/>
  <c r="F127" i="34"/>
  <c r="F119" i="34"/>
  <c r="F111" i="34"/>
  <c r="F103" i="34"/>
  <c r="F95" i="34"/>
  <c r="F87" i="34"/>
  <c r="F79" i="34"/>
  <c r="F55" i="34"/>
  <c r="F47" i="34"/>
  <c r="F43" i="34"/>
  <c r="F35" i="34"/>
  <c r="F27" i="34"/>
  <c r="F23" i="34"/>
  <c r="F19" i="34"/>
  <c r="F15" i="34"/>
  <c r="F11" i="34"/>
  <c r="F7" i="34"/>
  <c r="F9" i="34"/>
  <c r="F17" i="34"/>
  <c r="F25" i="34"/>
  <c r="F33" i="34"/>
  <c r="F41" i="34"/>
  <c r="F49" i="34"/>
  <c r="F57" i="34"/>
  <c r="F65" i="34"/>
  <c r="F73" i="34"/>
  <c r="F81" i="34"/>
  <c r="F89" i="34"/>
  <c r="F97" i="34"/>
  <c r="F105" i="34"/>
  <c r="F113" i="34"/>
  <c r="F121" i="34"/>
  <c r="F129" i="34"/>
  <c r="F141" i="34"/>
  <c r="F149" i="34"/>
  <c r="F157" i="34"/>
  <c r="F165" i="34"/>
  <c r="F173" i="34"/>
  <c r="F181" i="34"/>
  <c r="F189" i="34"/>
  <c r="F197" i="34"/>
  <c r="F205" i="34"/>
  <c r="F213" i="34"/>
  <c r="F374" i="34"/>
  <c r="F390" i="34"/>
  <c r="F406" i="34"/>
  <c r="F422" i="34"/>
  <c r="F415" i="34"/>
  <c r="F403" i="34"/>
  <c r="F395" i="34"/>
  <c r="F387" i="34"/>
  <c r="F379" i="34"/>
  <c r="F375" i="34"/>
  <c r="F367" i="34"/>
  <c r="F355" i="34"/>
  <c r="F209" i="34"/>
  <c r="F382" i="34"/>
  <c r="F414" i="34"/>
  <c r="F8" i="34"/>
  <c r="F16" i="34"/>
  <c r="F32" i="34"/>
  <c r="F48" i="34"/>
  <c r="F72" i="34"/>
  <c r="F88" i="34"/>
  <c r="F104" i="34"/>
  <c r="F156" i="34"/>
  <c r="F172" i="34"/>
  <c r="F180" i="34"/>
  <c r="F204" i="34"/>
  <c r="F212" i="34"/>
  <c r="F354" i="34"/>
  <c r="F402" i="34"/>
  <c r="F446" i="34"/>
  <c r="F421" i="34"/>
  <c r="F413" i="34"/>
  <c r="F405" i="34"/>
  <c r="F397" i="34"/>
  <c r="F389" i="34"/>
  <c r="F381" i="34"/>
  <c r="F373" i="34"/>
  <c r="F365" i="34"/>
  <c r="F357" i="34"/>
  <c r="F227" i="34"/>
  <c r="F219" i="34"/>
  <c r="F215" i="34"/>
  <c r="F207" i="34"/>
  <c r="F199" i="34"/>
  <c r="F191" i="34"/>
  <c r="F179" i="34"/>
  <c r="F171" i="34"/>
  <c r="F163" i="34"/>
  <c r="F159" i="34"/>
  <c r="F151" i="34"/>
  <c r="F143" i="34"/>
  <c r="F131" i="34"/>
  <c r="F123" i="34"/>
  <c r="F115" i="34"/>
  <c r="F107" i="34"/>
  <c r="F99" i="34"/>
  <c r="F91" i="34"/>
  <c r="F83" i="34"/>
  <c r="F75" i="34"/>
  <c r="F71" i="34"/>
  <c r="F67" i="34"/>
  <c r="F63" i="34"/>
  <c r="F59" i="34"/>
  <c r="F51" i="34"/>
  <c r="F39" i="34"/>
  <c r="F31" i="34"/>
  <c r="F454" i="34"/>
  <c r="F448" i="34"/>
  <c r="F442" i="34"/>
  <c r="F426" i="34"/>
  <c r="F420" i="34"/>
  <c r="F416" i="34"/>
  <c r="F412" i="34"/>
  <c r="F408" i="34"/>
  <c r="F404" i="34"/>
  <c r="F400" i="34"/>
  <c r="F396" i="34"/>
  <c r="F392" i="34"/>
  <c r="F388" i="34"/>
  <c r="F384" i="34"/>
  <c r="F380" i="34"/>
  <c r="F376" i="34"/>
  <c r="F372" i="34"/>
  <c r="F368" i="34"/>
  <c r="F364" i="34"/>
  <c r="F360" i="34"/>
  <c r="F356" i="34"/>
  <c r="F226" i="34"/>
  <c r="F222" i="34"/>
  <c r="F218" i="34"/>
  <c r="F214" i="34"/>
  <c r="F210" i="34"/>
  <c r="F206" i="34"/>
  <c r="F202" i="34"/>
  <c r="F198" i="34"/>
  <c r="F194" i="34"/>
  <c r="F190" i="34"/>
  <c r="F186" i="34"/>
  <c r="F182" i="34"/>
  <c r="F178" i="34"/>
  <c r="F174" i="34"/>
  <c r="F170" i="34"/>
  <c r="F166" i="34"/>
  <c r="F162" i="34"/>
  <c r="F158" i="34"/>
  <c r="F154" i="34"/>
  <c r="F150" i="34"/>
  <c r="F146" i="34"/>
  <c r="F142" i="34"/>
  <c r="F134" i="34"/>
  <c r="F130" i="34"/>
  <c r="F126" i="34"/>
  <c r="F122" i="34"/>
  <c r="F118" i="34"/>
  <c r="F114" i="34"/>
  <c r="F110" i="34"/>
  <c r="F106" i="34"/>
  <c r="F102" i="34"/>
  <c r="F98" i="34"/>
  <c r="F94" i="34"/>
  <c r="F90" i="34"/>
  <c r="F86" i="34"/>
  <c r="F82" i="34"/>
  <c r="F78" i="34"/>
  <c r="F74" i="34"/>
  <c r="F70" i="34"/>
  <c r="F66" i="34"/>
  <c r="F62" i="34"/>
  <c r="F58" i="34"/>
  <c r="F54" i="34"/>
  <c r="F50" i="34"/>
  <c r="F46" i="34"/>
  <c r="F42" i="34"/>
  <c r="F38" i="34"/>
  <c r="F34" i="34"/>
  <c r="F30" i="34"/>
  <c r="F26" i="34"/>
  <c r="F22" i="34"/>
  <c r="F18" i="34"/>
  <c r="F14" i="34"/>
  <c r="F10" i="34"/>
  <c r="F4" i="34"/>
  <c r="F12" i="34"/>
  <c r="F20" i="34"/>
  <c r="F28" i="34"/>
  <c r="F36" i="34"/>
  <c r="F44" i="34"/>
  <c r="F52" i="34"/>
  <c r="F60" i="34"/>
  <c r="F68" i="34"/>
  <c r="F76" i="34"/>
  <c r="F84" i="34"/>
  <c r="F92" i="34"/>
  <c r="F100" i="34"/>
  <c r="F108" i="34"/>
  <c r="F116" i="34"/>
  <c r="F124" i="34"/>
  <c r="F132" i="34"/>
  <c r="F144" i="34"/>
  <c r="F152" i="34"/>
  <c r="F160" i="34"/>
  <c r="F168" i="34"/>
  <c r="F176" i="34"/>
  <c r="F184" i="34"/>
  <c r="F192" i="34"/>
  <c r="F200" i="34"/>
  <c r="F208" i="34"/>
  <c r="F216" i="34"/>
  <c r="F224" i="34"/>
  <c r="F362" i="34"/>
  <c r="F378" i="34"/>
  <c r="F394" i="34"/>
  <c r="F410" i="34"/>
  <c r="F431"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K69" i="14"/>
  <c r="J69" i="14"/>
  <c r="K59" i="14"/>
  <c r="J59" i="14"/>
  <c r="K39" i="14"/>
  <c r="J39" i="14"/>
  <c r="I90" i="14"/>
  <c r="I89" i="14"/>
  <c r="I88" i="14"/>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C88" i="8"/>
  <c r="D45" i="10"/>
  <c r="D162" i="1"/>
  <c r="D160" i="1"/>
  <c r="D136" i="2"/>
  <c r="C136" i="2"/>
  <c r="D40" i="36"/>
  <c r="D87" i="8"/>
  <c r="C87" i="8"/>
  <c r="D78" i="8"/>
  <c r="C78" i="8"/>
  <c r="D74" i="8"/>
  <c r="C74" i="8"/>
  <c r="D70" i="8"/>
  <c r="C70" i="8"/>
  <c r="D48" i="10"/>
  <c r="D50" i="10"/>
  <c r="D143" i="2"/>
  <c r="C143" i="2"/>
  <c r="D142" i="2"/>
  <c r="C142" i="2"/>
  <c r="D82" i="8"/>
  <c r="C82" i="8"/>
  <c r="D81" i="8"/>
  <c r="C81" i="8"/>
  <c r="D86" i="8"/>
  <c r="C86" i="8"/>
  <c r="D76" i="8"/>
  <c r="C76" i="8"/>
  <c r="D77" i="8"/>
  <c r="C77" i="8"/>
  <c r="D72" i="8"/>
  <c r="C72" i="8"/>
  <c r="D51" i="10"/>
  <c r="D43" i="10"/>
  <c r="D49" i="10"/>
  <c r="D161" i="1"/>
  <c r="D159" i="1"/>
  <c r="D140" i="2"/>
  <c r="C140" i="2"/>
  <c r="D141" i="2"/>
  <c r="C141" i="2"/>
  <c r="D73" i="8"/>
  <c r="C73" i="8"/>
  <c r="D42" i="10"/>
  <c r="D46" i="10"/>
  <c r="D44" i="10"/>
  <c r="D137" i="2"/>
  <c r="C137" i="2"/>
  <c r="D139" i="2"/>
  <c r="C139" i="2"/>
  <c r="D138" i="2"/>
  <c r="C138" i="2"/>
  <c r="D80" i="8"/>
  <c r="C80" i="8"/>
  <c r="D79" i="8"/>
  <c r="C79" i="8"/>
  <c r="D75" i="8"/>
  <c r="C75" i="8"/>
  <c r="D60" i="8"/>
  <c r="D71" i="8"/>
  <c r="C71" i="8"/>
  <c r="D69" i="8"/>
  <c r="C69" i="8"/>
  <c r="D47" i="10"/>
  <c r="D52" i="10"/>
  <c r="F341" i="35"/>
  <c r="I341" i="35"/>
  <c r="F273" i="35"/>
  <c r="I273" i="35"/>
  <c r="F250" i="35"/>
  <c r="I250" i="35"/>
  <c r="F247" i="35"/>
  <c r="I247" i="35"/>
  <c r="F223" i="35"/>
  <c r="I223" i="35"/>
  <c r="F220" i="35"/>
  <c r="I220" i="35"/>
  <c r="F217" i="35"/>
  <c r="I217" i="35"/>
  <c r="F195" i="35"/>
  <c r="I195" i="35"/>
  <c r="F172" i="35"/>
  <c r="I172" i="35"/>
  <c r="F158" i="35"/>
  <c r="I158" i="35"/>
  <c r="F129" i="35"/>
  <c r="I129" i="35"/>
  <c r="F66" i="35"/>
  <c r="I66" i="35"/>
  <c r="H41" i="31"/>
  <c r="I41" i="31"/>
  <c r="C10" i="33"/>
  <c r="C14" i="2"/>
  <c r="M84" i="1"/>
  <c r="M82" i="1"/>
  <c r="M81" i="1"/>
  <c r="M80" i="1"/>
  <c r="M79" i="1"/>
  <c r="M78" i="1"/>
  <c r="M76" i="1"/>
  <c r="M75" i="1"/>
  <c r="M74" i="1"/>
  <c r="M72" i="1"/>
  <c r="M71" i="1"/>
  <c r="M70" i="1"/>
  <c r="M69" i="1"/>
  <c r="M67" i="1"/>
  <c r="M66" i="1"/>
  <c r="M63" i="1"/>
  <c r="M62" i="1"/>
  <c r="M59" i="1"/>
  <c r="M58" i="1"/>
  <c r="M57" i="1"/>
  <c r="M55" i="1"/>
  <c r="M54" i="1"/>
  <c r="M51" i="1"/>
  <c r="M49" i="1"/>
  <c r="M48" i="1"/>
  <c r="M47" i="1"/>
  <c r="M46" i="1"/>
  <c r="M44" i="1"/>
  <c r="M43" i="1"/>
  <c r="M41" i="1"/>
  <c r="M40" i="1"/>
  <c r="M39" i="1"/>
  <c r="M38" i="1"/>
  <c r="M35" i="1"/>
  <c r="M34" i="1"/>
  <c r="M33" i="1"/>
  <c r="M32" i="1"/>
  <c r="M31" i="1"/>
  <c r="M30" i="1"/>
  <c r="M27" i="1"/>
  <c r="M26" i="1"/>
  <c r="M25" i="1"/>
  <c r="M24" i="1"/>
  <c r="F356" i="35"/>
  <c r="F357" i="35"/>
  <c r="F358" i="35"/>
  <c r="F359" i="35"/>
  <c r="F360" i="35"/>
  <c r="F361" i="35"/>
  <c r="F362" i="35"/>
  <c r="F363" i="35"/>
  <c r="I356" i="35"/>
  <c r="I357" i="35"/>
  <c r="I358" i="35"/>
  <c r="I359" i="35"/>
  <c r="I360" i="35"/>
  <c r="I361" i="35"/>
  <c r="I362" i="35"/>
  <c r="I363" i="35"/>
  <c r="M128" i="1"/>
  <c r="L28" i="1"/>
  <c r="L21" i="1"/>
  <c r="M56" i="1"/>
  <c r="Y10" i="32"/>
  <c r="Z10" i="32"/>
  <c r="Y8" i="32"/>
  <c r="Z8" i="32"/>
  <c r="AA10" i="32"/>
  <c r="AA8" i="32"/>
  <c r="B69" i="32"/>
  <c r="H98" i="31"/>
  <c r="I98" i="31"/>
  <c r="AA37" i="32"/>
  <c r="Y37" i="32"/>
  <c r="AA35" i="32"/>
  <c r="AA33" i="32"/>
  <c r="Z33" i="32"/>
  <c r="AA31" i="32"/>
  <c r="Y31" i="32"/>
  <c r="AA29" i="32"/>
  <c r="Y29" i="32"/>
  <c r="AA27" i="32"/>
  <c r="Y27" i="32"/>
  <c r="H1" i="33"/>
  <c r="G6" i="35"/>
  <c r="Y1" i="33"/>
  <c r="V3" i="33"/>
  <c r="U3" i="33"/>
  <c r="X1" i="33"/>
  <c r="E55" i="31"/>
  <c r="H3" i="33"/>
  <c r="H4" i="33"/>
  <c r="H5" i="33"/>
  <c r="H6" i="33"/>
  <c r="V1" i="33"/>
  <c r="W1" i="33"/>
  <c r="AA54" i="32"/>
  <c r="Y54" i="32"/>
  <c r="AB54" i="32"/>
  <c r="AA52" i="32"/>
  <c r="Y52" i="32"/>
  <c r="AA49" i="32"/>
  <c r="Y49" i="32"/>
  <c r="AA47" i="32"/>
  <c r="Y47" i="32"/>
  <c r="AA45" i="32"/>
  <c r="Y45" i="32"/>
  <c r="AA40" i="32"/>
  <c r="Y40" i="32"/>
  <c r="AA22" i="32"/>
  <c r="Y22" i="32"/>
  <c r="AA20" i="32"/>
  <c r="Y20" i="32"/>
  <c r="AA17" i="32"/>
  <c r="Y17" i="32"/>
  <c r="B12" i="32"/>
  <c r="H21" i="31"/>
  <c r="I21" i="31"/>
  <c r="H26" i="31"/>
  <c r="I26" i="31"/>
  <c r="U1" i="33"/>
  <c r="W4" i="33"/>
  <c r="X4" i="33"/>
  <c r="W5" i="33"/>
  <c r="X5" i="33"/>
  <c r="W6" i="33"/>
  <c r="X6" i="33"/>
  <c r="B76" i="32"/>
  <c r="H33" i="31"/>
  <c r="I33" i="31"/>
  <c r="B7" i="32"/>
  <c r="H18" i="31"/>
  <c r="I18" i="31"/>
  <c r="F3" i="33"/>
  <c r="F1" i="33"/>
  <c r="F4" i="33"/>
  <c r="F5" i="33"/>
  <c r="F6" i="33"/>
  <c r="H99" i="31"/>
  <c r="H100" i="31"/>
  <c r="H101" i="31"/>
  <c r="H102" i="31"/>
  <c r="I99" i="31"/>
  <c r="I100" i="31"/>
  <c r="I101" i="31"/>
  <c r="I102" i="31"/>
  <c r="B64" i="32"/>
  <c r="B66" i="32"/>
  <c r="H96" i="31"/>
  <c r="H97" i="31"/>
  <c r="I96" i="31"/>
  <c r="I97" i="31"/>
  <c r="B62" i="32"/>
  <c r="H95" i="31"/>
  <c r="I95" i="31"/>
  <c r="B47" i="32"/>
  <c r="H38" i="31"/>
  <c r="I38" i="31"/>
  <c r="D7" i="32"/>
  <c r="G7" i="32"/>
  <c r="J42" i="32"/>
  <c r="H9" i="31"/>
  <c r="H10" i="31"/>
  <c r="H11" i="31"/>
  <c r="I9" i="31"/>
  <c r="I10" i="31"/>
  <c r="I11" i="31"/>
  <c r="B27" i="32"/>
  <c r="H7" i="31"/>
  <c r="I7" i="31"/>
  <c r="H2" i="31"/>
  <c r="AA67" i="32"/>
  <c r="Y67" i="32"/>
  <c r="AB67" i="32"/>
  <c r="AA74" i="32"/>
  <c r="Y74" i="32"/>
  <c r="AA72" i="32"/>
  <c r="Y72" i="32"/>
  <c r="AB72" i="32"/>
  <c r="AA70" i="32"/>
  <c r="Y70" i="32"/>
  <c r="AB70" i="32"/>
  <c r="AA60" i="32"/>
  <c r="Y60" i="32"/>
  <c r="AB60" i="32"/>
  <c r="AA58" i="32"/>
  <c r="Y58" i="32"/>
  <c r="AB58" i="32"/>
  <c r="AA56" i="32"/>
  <c r="Y56" i="32"/>
  <c r="Y43" i="32"/>
  <c r="Z43" i="32"/>
  <c r="AA43" i="32"/>
  <c r="AA15" i="32"/>
  <c r="Y15" i="32"/>
  <c r="AA24" i="32"/>
  <c r="Y24" i="32"/>
  <c r="H94" i="31"/>
  <c r="I94" i="31"/>
  <c r="H93" i="31"/>
  <c r="I93"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7" i="35"/>
  <c r="F69"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30"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9" i="35"/>
  <c r="F160" i="35"/>
  <c r="F161" i="35"/>
  <c r="F162" i="35"/>
  <c r="F163" i="35"/>
  <c r="F164" i="35"/>
  <c r="F165" i="35"/>
  <c r="F166" i="35"/>
  <c r="F167" i="35"/>
  <c r="F168" i="35"/>
  <c r="F169" i="35"/>
  <c r="F170" i="35"/>
  <c r="F171" i="35"/>
  <c r="F173" i="35"/>
  <c r="F174" i="35"/>
  <c r="F175" i="35"/>
  <c r="F176" i="35"/>
  <c r="F177" i="35"/>
  <c r="F178" i="35"/>
  <c r="F179" i="35"/>
  <c r="F180" i="35"/>
  <c r="F181" i="35"/>
  <c r="F182" i="35"/>
  <c r="F183" i="35"/>
  <c r="F184" i="35"/>
  <c r="F185" i="35"/>
  <c r="F186" i="35"/>
  <c r="F187" i="35"/>
  <c r="F188" i="35"/>
  <c r="F189" i="35"/>
  <c r="F190" i="35"/>
  <c r="F191" i="35"/>
  <c r="F192" i="35"/>
  <c r="F193" i="35"/>
  <c r="F194" i="35"/>
  <c r="F196" i="35"/>
  <c r="F197" i="35"/>
  <c r="F198" i="35"/>
  <c r="F199" i="35"/>
  <c r="F200" i="35"/>
  <c r="F201" i="35"/>
  <c r="F202" i="35"/>
  <c r="F203" i="35"/>
  <c r="F204" i="35"/>
  <c r="F205" i="35"/>
  <c r="F206" i="35"/>
  <c r="F207" i="35"/>
  <c r="F208" i="35"/>
  <c r="F209" i="35"/>
  <c r="F210" i="35"/>
  <c r="F211" i="35"/>
  <c r="F212" i="35"/>
  <c r="F213" i="35"/>
  <c r="F214" i="35"/>
  <c r="F215" i="35"/>
  <c r="F216" i="35"/>
  <c r="F218" i="35"/>
  <c r="F219" i="35"/>
  <c r="F221" i="35"/>
  <c r="F222" i="35"/>
  <c r="F224" i="35"/>
  <c r="F225" i="35"/>
  <c r="F226" i="35"/>
  <c r="F227" i="35"/>
  <c r="F228" i="35"/>
  <c r="F229" i="35"/>
  <c r="F230" i="35"/>
  <c r="F231" i="35"/>
  <c r="F232" i="35"/>
  <c r="F233" i="35"/>
  <c r="F234" i="35"/>
  <c r="F235" i="35"/>
  <c r="F236" i="35"/>
  <c r="F237" i="35"/>
  <c r="F238" i="35"/>
  <c r="F239" i="35"/>
  <c r="F240" i="35"/>
  <c r="F241" i="35"/>
  <c r="F242" i="35"/>
  <c r="F243" i="35"/>
  <c r="F244" i="35"/>
  <c r="F245" i="35"/>
  <c r="F246" i="35"/>
  <c r="F248" i="35"/>
  <c r="F249" i="35"/>
  <c r="F251" i="35"/>
  <c r="F252" i="35"/>
  <c r="F253" i="35"/>
  <c r="F254" i="35"/>
  <c r="F255" i="35"/>
  <c r="F256" i="35"/>
  <c r="F257" i="35"/>
  <c r="F258" i="35"/>
  <c r="F259" i="35"/>
  <c r="F260" i="35"/>
  <c r="F261" i="35"/>
  <c r="F262" i="35"/>
  <c r="F263" i="35"/>
  <c r="F264" i="35"/>
  <c r="F265" i="35"/>
  <c r="F266" i="35"/>
  <c r="F267" i="35"/>
  <c r="F268" i="35"/>
  <c r="F269" i="35"/>
  <c r="F270" i="35"/>
  <c r="F271" i="35"/>
  <c r="F272" i="35"/>
  <c r="F274"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2" i="35"/>
  <c r="F343" i="35"/>
  <c r="F344" i="35"/>
  <c r="F345" i="35"/>
  <c r="F346" i="35"/>
  <c r="F347" i="35"/>
  <c r="F348" i="35"/>
  <c r="F349" i="35"/>
  <c r="F350" i="35"/>
  <c r="F351" i="35"/>
  <c r="F352" i="35"/>
  <c r="F353" i="35"/>
  <c r="F354" i="35"/>
  <c r="F355" i="35"/>
  <c r="H34" i="31"/>
  <c r="I34" i="31"/>
  <c r="O40" i="10"/>
  <c r="Q40" i="10"/>
  <c r="O39" i="10"/>
  <c r="Q39" i="10"/>
  <c r="O35" i="10"/>
  <c r="Q35" i="10"/>
  <c r="O33" i="10"/>
  <c r="O32" i="10"/>
  <c r="Q32" i="10"/>
  <c r="O28" i="10"/>
  <c r="O27" i="10"/>
  <c r="Q27" i="10"/>
  <c r="O24" i="10"/>
  <c r="Q24" i="10"/>
  <c r="O21" i="10"/>
  <c r="Q21" i="10"/>
  <c r="P37" i="10"/>
  <c r="P41" i="10"/>
  <c r="P53" i="10"/>
  <c r="H82" i="31"/>
  <c r="H83" i="31"/>
  <c r="H84" i="31"/>
  <c r="H85" i="31"/>
  <c r="H86" i="31"/>
  <c r="H87" i="31"/>
  <c r="H90" i="31"/>
  <c r="H91" i="31"/>
  <c r="H92" i="31"/>
  <c r="I82" i="31"/>
  <c r="I83" i="31"/>
  <c r="I84" i="31"/>
  <c r="I85" i="31"/>
  <c r="I86" i="31"/>
  <c r="I87" i="31"/>
  <c r="I90" i="31"/>
  <c r="I91" i="31"/>
  <c r="I92" i="31"/>
  <c r="H81" i="31"/>
  <c r="I81" i="31"/>
  <c r="H71" i="31"/>
  <c r="I71" i="31"/>
  <c r="H8" i="31"/>
  <c r="I8" i="31"/>
  <c r="H46" i="31"/>
  <c r="H47" i="31"/>
  <c r="I46" i="31"/>
  <c r="I47"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0" i="31"/>
  <c r="H42" i="31"/>
  <c r="H43" i="31"/>
  <c r="H44" i="31"/>
  <c r="H45" i="31"/>
  <c r="H48" i="31"/>
  <c r="H49" i="31"/>
  <c r="H50" i="31"/>
  <c r="H51" i="31"/>
  <c r="H52" i="31"/>
  <c r="H53" i="31"/>
  <c r="H54" i="31"/>
  <c r="H55" i="31"/>
  <c r="H56" i="31"/>
  <c r="H57" i="31"/>
  <c r="H58" i="31"/>
  <c r="H59" i="31"/>
  <c r="H60" i="31"/>
  <c r="H61" i="31"/>
  <c r="H62" i="31"/>
  <c r="H63" i="31"/>
  <c r="H64" i="31"/>
  <c r="H65" i="31"/>
  <c r="H66" i="31"/>
  <c r="H67" i="31"/>
  <c r="H68" i="31"/>
  <c r="H70" i="31"/>
  <c r="H72" i="31"/>
  <c r="H73" i="31"/>
  <c r="H74" i="31"/>
  <c r="H75" i="31"/>
  <c r="H76" i="31"/>
  <c r="H77" i="31"/>
  <c r="H78" i="31"/>
  <c r="H79" i="31"/>
  <c r="H80" i="31"/>
  <c r="C21" i="14"/>
  <c r="C23" i="14"/>
  <c r="C29" i="14"/>
  <c r="C33" i="14"/>
  <c r="C35" i="14"/>
  <c r="C37" i="14"/>
  <c r="C41" i="14"/>
  <c r="C45" i="14"/>
  <c r="C78" i="14"/>
  <c r="D77" i="14"/>
  <c r="A2" i="34"/>
  <c r="P3" i="33" a="1"/>
  <c r="P3" i="33"/>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0" i="31"/>
  <c r="I42" i="31"/>
  <c r="I43" i="31"/>
  <c r="I44" i="31"/>
  <c r="I45" i="31"/>
  <c r="I48" i="31"/>
  <c r="I49" i="31"/>
  <c r="I50" i="31"/>
  <c r="I51" i="31"/>
  <c r="I52" i="31"/>
  <c r="I53" i="31"/>
  <c r="I54" i="31"/>
  <c r="I55" i="31"/>
  <c r="I56" i="31"/>
  <c r="I57" i="31"/>
  <c r="I58" i="31"/>
  <c r="I59" i="31"/>
  <c r="I60" i="31"/>
  <c r="I61" i="31"/>
  <c r="I62" i="31"/>
  <c r="I63" i="31"/>
  <c r="I64" i="31"/>
  <c r="I65" i="31"/>
  <c r="I66" i="31"/>
  <c r="I67" i="31"/>
  <c r="I68" i="31"/>
  <c r="I70" i="31"/>
  <c r="I72" i="31"/>
  <c r="I73" i="31"/>
  <c r="I74" i="31"/>
  <c r="I75" i="31"/>
  <c r="I76" i="31"/>
  <c r="I77" i="31"/>
  <c r="I78" i="31"/>
  <c r="I79" i="31"/>
  <c r="I80" i="31"/>
  <c r="C33" i="8"/>
  <c r="C21" i="36"/>
  <c r="C56" i="8"/>
  <c r="D48" i="8"/>
  <c r="C48" i="8"/>
  <c r="C44" i="8"/>
  <c r="D40" i="8"/>
  <c r="C40" i="8"/>
  <c r="C36" i="8"/>
  <c r="D32" i="8"/>
  <c r="D28" i="8"/>
  <c r="C28" i="8"/>
  <c r="D24" i="8"/>
  <c r="C24" i="8"/>
  <c r="D41" i="36"/>
  <c r="D36" i="36"/>
  <c r="C36" i="36"/>
  <c r="D32" i="36"/>
  <c r="D28" i="36"/>
  <c r="C28" i="36"/>
  <c r="D24" i="36"/>
  <c r="D144" i="2"/>
  <c r="D132" i="2"/>
  <c r="D128" i="2"/>
  <c r="C128" i="2"/>
  <c r="D124" i="2"/>
  <c r="D120" i="2"/>
  <c r="C120" i="2"/>
  <c r="D116" i="2"/>
  <c r="D112" i="2"/>
  <c r="C112" i="2"/>
  <c r="D108" i="2"/>
  <c r="D104" i="2"/>
  <c r="C104" i="2"/>
  <c r="D100" i="2"/>
  <c r="D96" i="2"/>
  <c r="C96" i="2"/>
  <c r="D92" i="2"/>
  <c r="D88" i="2"/>
  <c r="C88" i="2"/>
  <c r="D84" i="2"/>
  <c r="C84" i="2"/>
  <c r="D80" i="2"/>
  <c r="C80" i="2"/>
  <c r="C76" i="2"/>
  <c r="D72" i="2"/>
  <c r="C72" i="2"/>
  <c r="C68" i="2"/>
  <c r="D64" i="2"/>
  <c r="D60" i="2"/>
  <c r="C60" i="2"/>
  <c r="D56" i="2"/>
  <c r="D52" i="2"/>
  <c r="C52" i="2"/>
  <c r="C48" i="2"/>
  <c r="D44" i="2"/>
  <c r="C44" i="2"/>
  <c r="C40" i="2"/>
  <c r="D36" i="2"/>
  <c r="D32" i="2"/>
  <c r="C32" i="2"/>
  <c r="D28" i="2"/>
  <c r="D24" i="2"/>
  <c r="C24" i="2"/>
  <c r="C55" i="8"/>
  <c r="C47" i="8"/>
  <c r="C39" i="8"/>
  <c r="C31" i="8"/>
  <c r="C27" i="8"/>
  <c r="C35" i="36"/>
  <c r="C31" i="36"/>
  <c r="C27" i="36"/>
  <c r="C131" i="2"/>
  <c r="C127" i="2"/>
  <c r="C119" i="2"/>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134" i="2"/>
  <c r="C134" i="2"/>
  <c r="D130" i="2"/>
  <c r="C130" i="2"/>
  <c r="D126" i="2"/>
  <c r="C126" i="2"/>
  <c r="D122" i="2"/>
  <c r="C122" i="2"/>
  <c r="D118" i="2"/>
  <c r="C118" i="2"/>
  <c r="D114" i="2"/>
  <c r="C114" i="2"/>
  <c r="D110" i="2"/>
  <c r="C110" i="2"/>
  <c r="D106" i="2"/>
  <c r="C106" i="2"/>
  <c r="D102" i="2"/>
  <c r="C102" i="2"/>
  <c r="D98" i="2"/>
  <c r="C98" i="2"/>
  <c r="D94" i="2"/>
  <c r="C94" i="2"/>
  <c r="D90" i="2"/>
  <c r="C90" i="2"/>
  <c r="D86" i="2"/>
  <c r="C86" i="2"/>
  <c r="D82" i="2"/>
  <c r="C82" i="2"/>
  <c r="D78" i="2"/>
  <c r="C78" i="2"/>
  <c r="D74" i="2"/>
  <c r="C74" i="2"/>
  <c r="D70" i="2"/>
  <c r="C70" i="2"/>
  <c r="D66" i="2"/>
  <c r="C66" i="2"/>
  <c r="D62" i="2"/>
  <c r="C62" i="2"/>
  <c r="D58" i="2"/>
  <c r="C58" i="2"/>
  <c r="D54" i="2"/>
  <c r="C54" i="2"/>
  <c r="D50" i="2"/>
  <c r="C50" i="2"/>
  <c r="D46" i="2"/>
  <c r="C46" i="2"/>
  <c r="D42" i="2"/>
  <c r="C42" i="2"/>
  <c r="D38" i="2"/>
  <c r="C38" i="2"/>
  <c r="D34" i="2"/>
  <c r="C34" i="2"/>
  <c r="D30" i="2"/>
  <c r="C30" i="2"/>
  <c r="D26" i="2"/>
  <c r="C26" i="2"/>
  <c r="D22" i="2"/>
  <c r="C22" i="2"/>
  <c r="D156" i="1"/>
  <c r="D152" i="1"/>
  <c r="D148" i="1"/>
  <c r="D144" i="1"/>
  <c r="D140" i="1"/>
  <c r="D136" i="1"/>
  <c r="D132" i="1"/>
  <c r="D128" i="1"/>
  <c r="D124" i="1"/>
  <c r="D120" i="1"/>
  <c r="D116" i="1"/>
  <c r="D112" i="1"/>
  <c r="D108" i="1"/>
  <c r="D104" i="1"/>
  <c r="D100" i="1"/>
  <c r="D96" i="1"/>
  <c r="D92" i="1"/>
  <c r="D84" i="1"/>
  <c r="D80" i="1"/>
  <c r="D76" i="1"/>
  <c r="D72" i="1"/>
  <c r="D68" i="1"/>
  <c r="D64" i="1"/>
  <c r="D60" i="1"/>
  <c r="D56" i="1"/>
  <c r="D52" i="1"/>
  <c r="D48" i="1"/>
  <c r="D44" i="1"/>
  <c r="D40" i="1"/>
  <c r="D36" i="1"/>
  <c r="D32" i="1"/>
  <c r="D28" i="1"/>
  <c r="D24" i="1"/>
  <c r="D26" i="14"/>
  <c r="D61" i="8"/>
  <c r="D57" i="8"/>
  <c r="D53" i="8"/>
  <c r="D49" i="8"/>
  <c r="D45" i="8"/>
  <c r="D41" i="8"/>
  <c r="D37" i="8"/>
  <c r="D33" i="8"/>
  <c r="D29" i="8"/>
  <c r="D25" i="8"/>
  <c r="D21" i="8"/>
  <c r="D37" i="36"/>
  <c r="D33" i="36"/>
  <c r="D29" i="36"/>
  <c r="D25" i="36"/>
  <c r="D21" i="36"/>
  <c r="D133" i="2"/>
  <c r="D129" i="2"/>
  <c r="D125" i="2"/>
  <c r="D121" i="2"/>
  <c r="D117" i="2"/>
  <c r="D113" i="2"/>
  <c r="D109" i="2"/>
  <c r="D105" i="2"/>
  <c r="D101" i="2"/>
  <c r="C101" i="2"/>
  <c r="D97" i="2"/>
  <c r="C97" i="2"/>
  <c r="D93" i="2"/>
  <c r="C93" i="2"/>
  <c r="D89" i="2"/>
  <c r="C89" i="2"/>
  <c r="D85" i="2"/>
  <c r="C85" i="2"/>
  <c r="D81" i="2"/>
  <c r="C81" i="2"/>
  <c r="D77" i="2"/>
  <c r="C77" i="2"/>
  <c r="D73" i="2"/>
  <c r="C73" i="2"/>
  <c r="D69" i="2"/>
  <c r="C69" i="2"/>
  <c r="D65" i="2"/>
  <c r="C65" i="2"/>
  <c r="D61" i="2"/>
  <c r="C61" i="2"/>
  <c r="D57" i="2"/>
  <c r="C57" i="2"/>
  <c r="D53" i="2"/>
  <c r="C53" i="2"/>
  <c r="D49" i="2"/>
  <c r="C49" i="2"/>
  <c r="D45" i="2"/>
  <c r="C45" i="2"/>
  <c r="D41" i="2"/>
  <c r="C41" i="2"/>
  <c r="D37" i="2"/>
  <c r="C37" i="2"/>
  <c r="D33" i="2"/>
  <c r="C33" i="2"/>
  <c r="D29" i="2"/>
  <c r="C29" i="2"/>
  <c r="D25" i="2"/>
  <c r="C25" i="2"/>
  <c r="D21" i="2"/>
  <c r="C21" i="2"/>
  <c r="D155" i="1"/>
  <c r="D151" i="1"/>
  <c r="D147" i="1"/>
  <c r="D143" i="1"/>
  <c r="D139" i="1"/>
  <c r="D135" i="1"/>
  <c r="D131" i="1"/>
  <c r="D127" i="1"/>
  <c r="D123" i="1"/>
  <c r="D119" i="1"/>
  <c r="D115" i="1"/>
  <c r="D111" i="1"/>
  <c r="D107" i="1"/>
  <c r="D103" i="1"/>
  <c r="D99" i="1"/>
  <c r="D95" i="1"/>
  <c r="D87" i="1"/>
  <c r="D83" i="1"/>
  <c r="D79" i="1"/>
  <c r="D75" i="1"/>
  <c r="D71" i="1"/>
  <c r="D67" i="1"/>
  <c r="D63" i="1"/>
  <c r="D59" i="1"/>
  <c r="D55" i="1"/>
  <c r="D51" i="1"/>
  <c r="D47" i="1"/>
  <c r="D43" i="1"/>
  <c r="D39" i="1"/>
  <c r="D35" i="1"/>
  <c r="C53" i="8"/>
  <c r="C37" i="8"/>
  <c r="C21" i="8"/>
  <c r="C25" i="36"/>
  <c r="C125" i="2"/>
  <c r="C113" i="2"/>
  <c r="C105" i="2"/>
  <c r="D154" i="1"/>
  <c r="D150" i="1"/>
  <c r="D146" i="1"/>
  <c r="D142" i="1"/>
  <c r="D138" i="1"/>
  <c r="D134" i="1"/>
  <c r="D130" i="1"/>
  <c r="D126" i="1"/>
  <c r="D122" i="1"/>
  <c r="D118" i="1"/>
  <c r="D106" i="1"/>
  <c r="D94" i="1"/>
  <c r="D70" i="1"/>
  <c r="D66" i="1"/>
  <c r="D62" i="1"/>
  <c r="D58" i="1"/>
  <c r="D54" i="1"/>
  <c r="D50" i="1"/>
  <c r="D46" i="1"/>
  <c r="D42" i="1"/>
  <c r="D38" i="1"/>
  <c r="D34" i="1"/>
  <c r="D30" i="1"/>
  <c r="D26" i="1"/>
  <c r="C57" i="8"/>
  <c r="C41" i="8"/>
  <c r="C25" i="8"/>
  <c r="C29" i="36"/>
  <c r="C129" i="2"/>
  <c r="D44" i="14"/>
  <c r="D40" i="14"/>
  <c r="D36" i="14"/>
  <c r="D32" i="14"/>
  <c r="D28" i="14"/>
  <c r="D24" i="14"/>
  <c r="D88" i="8"/>
  <c r="D67" i="8"/>
  <c r="D63" i="8"/>
  <c r="D59" i="8"/>
  <c r="D55" i="8"/>
  <c r="D51" i="8"/>
  <c r="D47" i="8"/>
  <c r="D43" i="8"/>
  <c r="D39" i="8"/>
  <c r="D35" i="8"/>
  <c r="D31" i="8"/>
  <c r="D27" i="8"/>
  <c r="D23" i="8"/>
  <c r="D39" i="36"/>
  <c r="D35" i="36"/>
  <c r="D31" i="36"/>
  <c r="D27" i="36"/>
  <c r="D23" i="36"/>
  <c r="D135" i="2"/>
  <c r="D131" i="2"/>
  <c r="D127" i="2"/>
  <c r="D123" i="2"/>
  <c r="D119" i="2"/>
  <c r="D115" i="2"/>
  <c r="C115" i="2"/>
  <c r="D111" i="2"/>
  <c r="C111" i="2"/>
  <c r="D107" i="2"/>
  <c r="C107" i="2"/>
  <c r="D103" i="2"/>
  <c r="C103" i="2"/>
  <c r="D99" i="2"/>
  <c r="C99" i="2"/>
  <c r="D95" i="2"/>
  <c r="C95" i="2"/>
  <c r="D91" i="2"/>
  <c r="C91" i="2"/>
  <c r="D87" i="2"/>
  <c r="C87" i="2"/>
  <c r="D83" i="2"/>
  <c r="C83" i="2"/>
  <c r="D79" i="2"/>
  <c r="C79" i="2"/>
  <c r="D75" i="2"/>
  <c r="C75" i="2"/>
  <c r="D71" i="2"/>
  <c r="C71" i="2"/>
  <c r="D67" i="2"/>
  <c r="C67" i="2"/>
  <c r="D63" i="2"/>
  <c r="C63" i="2"/>
  <c r="D59" i="2"/>
  <c r="C59" i="2"/>
  <c r="D55" i="2"/>
  <c r="C55" i="2"/>
  <c r="D51" i="2"/>
  <c r="C51" i="2"/>
  <c r="D47" i="2"/>
  <c r="C47" i="2"/>
  <c r="D43" i="2"/>
  <c r="C43" i="2"/>
  <c r="D39" i="2"/>
  <c r="C39" i="2"/>
  <c r="D35" i="2"/>
  <c r="C35" i="2"/>
  <c r="D31" i="2"/>
  <c r="C31" i="2"/>
  <c r="D27" i="2"/>
  <c r="C27" i="2"/>
  <c r="D23" i="2"/>
  <c r="C23" i="2"/>
  <c r="D157" i="1"/>
  <c r="D153" i="1"/>
  <c r="D149" i="1"/>
  <c r="D145" i="1"/>
  <c r="D141" i="1"/>
  <c r="D137" i="1"/>
  <c r="D133" i="1"/>
  <c r="D129" i="1"/>
  <c r="D125" i="1"/>
  <c r="D121" i="1"/>
  <c r="D117" i="1"/>
  <c r="D113" i="1"/>
  <c r="D109" i="1"/>
  <c r="D105" i="1"/>
  <c r="D101" i="1"/>
  <c r="D97" i="1"/>
  <c r="D93" i="1"/>
  <c r="D85" i="1"/>
  <c r="D81" i="1"/>
  <c r="D77" i="1"/>
  <c r="D73" i="1"/>
  <c r="D69" i="1"/>
  <c r="D65" i="1"/>
  <c r="D61" i="1"/>
  <c r="D57" i="1"/>
  <c r="D53" i="1"/>
  <c r="D49" i="1"/>
  <c r="D45" i="1"/>
  <c r="D41" i="1"/>
  <c r="D37" i="1"/>
  <c r="D33" i="1"/>
  <c r="D29" i="1"/>
  <c r="D25" i="1"/>
  <c r="C67" i="8"/>
  <c r="C61" i="8"/>
  <c r="C51" i="8"/>
  <c r="C45" i="8"/>
  <c r="C35" i="8"/>
  <c r="C29" i="8"/>
  <c r="C39" i="36"/>
  <c r="C33" i="36"/>
  <c r="C23" i="36"/>
  <c r="C133" i="2"/>
  <c r="C123" i="2"/>
  <c r="C117" i="2"/>
  <c r="C109" i="2"/>
  <c r="D31" i="1"/>
  <c r="D27" i="1"/>
  <c r="D23" i="1"/>
  <c r="D114" i="1"/>
  <c r="D102" i="1"/>
  <c r="D86" i="1"/>
  <c r="D78" i="1"/>
  <c r="D74" i="1"/>
  <c r="D98" i="1"/>
  <c r="D82" i="1"/>
  <c r="G20" i="10"/>
  <c r="G39" i="10"/>
  <c r="G35" i="10"/>
  <c r="G31" i="10"/>
  <c r="G27" i="10"/>
  <c r="G23" i="10"/>
  <c r="G53" i="10"/>
  <c r="G38" i="10"/>
  <c r="G34" i="10"/>
  <c r="G30" i="10"/>
  <c r="G26" i="10"/>
  <c r="G22" i="10"/>
  <c r="G41" i="10"/>
  <c r="G37" i="10"/>
  <c r="G33" i="10"/>
  <c r="G29" i="10"/>
  <c r="G25" i="10"/>
  <c r="G21" i="10"/>
  <c r="G40" i="10"/>
  <c r="G36" i="10"/>
  <c r="G32" i="10"/>
  <c r="G28" i="10"/>
  <c r="G24" i="10"/>
  <c r="I5" i="35"/>
  <c r="I9" i="35"/>
  <c r="I13" i="35"/>
  <c r="I17" i="35"/>
  <c r="I21" i="35"/>
  <c r="I25" i="35"/>
  <c r="I29" i="35"/>
  <c r="I33" i="35"/>
  <c r="I37" i="35"/>
  <c r="I41" i="35"/>
  <c r="I45" i="35"/>
  <c r="I49" i="35"/>
  <c r="I53" i="35"/>
  <c r="I57" i="35"/>
  <c r="I61" i="35"/>
  <c r="I65" i="35"/>
  <c r="I69" i="35"/>
  <c r="I2" i="35"/>
  <c r="I7" i="35"/>
  <c r="I12" i="35"/>
  <c r="I18" i="35"/>
  <c r="I23" i="35"/>
  <c r="I28" i="35"/>
  <c r="I34" i="35"/>
  <c r="I39" i="35"/>
  <c r="I44" i="35"/>
  <c r="I50" i="35"/>
  <c r="I55" i="35"/>
  <c r="I60" i="35"/>
  <c r="I67" i="35"/>
  <c r="I71" i="35"/>
  <c r="I75" i="35"/>
  <c r="I79" i="35"/>
  <c r="I83" i="35"/>
  <c r="I87" i="35"/>
  <c r="I91" i="35"/>
  <c r="I95" i="35"/>
  <c r="I99" i="35"/>
  <c r="I103" i="35"/>
  <c r="I107" i="35"/>
  <c r="I111" i="35"/>
  <c r="I115" i="35"/>
  <c r="I119" i="35"/>
  <c r="I123" i="35"/>
  <c r="I127" i="35"/>
  <c r="I3" i="35"/>
  <c r="I8" i="35"/>
  <c r="I14" i="35"/>
  <c r="I19" i="35"/>
  <c r="I24" i="35"/>
  <c r="I30" i="35"/>
  <c r="I35" i="35"/>
  <c r="I40" i="35"/>
  <c r="I46" i="35"/>
  <c r="I51" i="35"/>
  <c r="I56" i="35"/>
  <c r="I62" i="35"/>
  <c r="I72" i="35"/>
  <c r="I76" i="35"/>
  <c r="I80" i="35"/>
  <c r="I84" i="35"/>
  <c r="I88" i="35"/>
  <c r="I92" i="35"/>
  <c r="I96" i="35"/>
  <c r="I100" i="35"/>
  <c r="I104" i="35"/>
  <c r="I108" i="35"/>
  <c r="I112" i="35"/>
  <c r="I116" i="35"/>
  <c r="I120" i="35"/>
  <c r="I124" i="35"/>
  <c r="I128" i="35"/>
  <c r="I4" i="35"/>
  <c r="I10" i="35"/>
  <c r="I15" i="35"/>
  <c r="I20" i="35"/>
  <c r="I26" i="35"/>
  <c r="I31" i="35"/>
  <c r="I36" i="35"/>
  <c r="I42" i="35"/>
  <c r="I47" i="35"/>
  <c r="I52" i="35"/>
  <c r="I58" i="35"/>
  <c r="I63" i="35"/>
  <c r="I73" i="35"/>
  <c r="I77" i="35"/>
  <c r="I81" i="35"/>
  <c r="I85" i="35"/>
  <c r="I89" i="35"/>
  <c r="I93" i="35"/>
  <c r="I97" i="35"/>
  <c r="I101" i="35"/>
  <c r="I105" i="35"/>
  <c r="I109" i="35"/>
  <c r="I113" i="35"/>
  <c r="I117" i="35"/>
  <c r="I121" i="35"/>
  <c r="I125" i="35"/>
  <c r="I6" i="35"/>
  <c r="I11" i="35"/>
  <c r="I16" i="35"/>
  <c r="I22" i="35"/>
  <c r="I27" i="35"/>
  <c r="I32" i="35"/>
  <c r="I38" i="35"/>
  <c r="I43" i="35"/>
  <c r="I48" i="35"/>
  <c r="I54" i="35"/>
  <c r="I59" i="35"/>
  <c r="I64" i="35"/>
  <c r="I70" i="35"/>
  <c r="I74" i="35"/>
  <c r="I78" i="35"/>
  <c r="I82" i="35"/>
  <c r="I86" i="35"/>
  <c r="I90" i="35"/>
  <c r="I94" i="35"/>
  <c r="I98" i="35"/>
  <c r="I102" i="35"/>
  <c r="I106" i="35"/>
  <c r="I110" i="35"/>
  <c r="I114" i="35"/>
  <c r="I118" i="35"/>
  <c r="I122" i="35"/>
  <c r="I126" i="35"/>
  <c r="K18" i="8"/>
  <c r="D78" i="14"/>
  <c r="D38" i="14"/>
  <c r="C37" i="36"/>
  <c r="C68" i="8"/>
  <c r="C60" i="8"/>
  <c r="C52" i="8"/>
  <c r="D42" i="14"/>
  <c r="D34" i="14"/>
  <c r="C49" i="8"/>
  <c r="C121" i="2"/>
  <c r="I322" i="35"/>
  <c r="I318" i="35"/>
  <c r="I314" i="35"/>
  <c r="I310" i="35"/>
  <c r="I306" i="35"/>
  <c r="I302" i="35"/>
  <c r="I298" i="35"/>
  <c r="I294" i="35"/>
  <c r="I290" i="35"/>
  <c r="I287" i="35"/>
  <c r="I283" i="35"/>
  <c r="I279" i="35"/>
  <c r="I276" i="35"/>
  <c r="I272" i="35"/>
  <c r="I268" i="35"/>
  <c r="I262" i="35"/>
  <c r="I258" i="35"/>
  <c r="I252" i="35"/>
  <c r="I246" i="35"/>
  <c r="I242" i="35"/>
  <c r="I238" i="35"/>
  <c r="I234" i="35"/>
  <c r="I231" i="35"/>
  <c r="I228" i="35"/>
  <c r="I226" i="35"/>
  <c r="I218" i="35"/>
  <c r="I213" i="35"/>
  <c r="I209" i="35"/>
  <c r="I205" i="35"/>
  <c r="I202" i="35"/>
  <c r="I199" i="35"/>
  <c r="I194" i="35"/>
  <c r="I190" i="35"/>
  <c r="I186" i="35"/>
  <c r="I182" i="35"/>
  <c r="I179" i="35"/>
  <c r="I176" i="35"/>
  <c r="I171" i="35"/>
  <c r="I167" i="35"/>
  <c r="I164" i="35"/>
  <c r="I161" i="35"/>
  <c r="I156" i="35"/>
  <c r="I152" i="35"/>
  <c r="I148" i="35"/>
  <c r="I144" i="35"/>
  <c r="I140" i="35"/>
  <c r="I136" i="35"/>
  <c r="I130" i="35"/>
  <c r="I355" i="35"/>
  <c r="I321" i="35"/>
  <c r="I317" i="35"/>
  <c r="I313" i="35"/>
  <c r="I309" i="35"/>
  <c r="I305" i="35"/>
  <c r="I301" i="35"/>
  <c r="I297" i="35"/>
  <c r="I293" i="35"/>
  <c r="I289" i="35"/>
  <c r="I286" i="35"/>
  <c r="I282" i="35"/>
  <c r="I278" i="35"/>
  <c r="I275" i="35"/>
  <c r="I271" i="35"/>
  <c r="I267" i="35"/>
  <c r="I264" i="35"/>
  <c r="I261" i="35"/>
  <c r="I257" i="35"/>
  <c r="I254" i="35"/>
  <c r="I251" i="35"/>
  <c r="I245" i="35"/>
  <c r="I241" i="35"/>
  <c r="I237" i="35"/>
  <c r="I233" i="35"/>
  <c r="I230" i="35"/>
  <c r="I225" i="35"/>
  <c r="I222" i="35"/>
  <c r="I216" i="35"/>
  <c r="I212" i="35"/>
  <c r="I208" i="35"/>
  <c r="I204" i="35"/>
  <c r="I201" i="35"/>
  <c r="I198" i="35"/>
  <c r="I193" i="35"/>
  <c r="I189" i="35"/>
  <c r="I185" i="35"/>
  <c r="I181" i="35"/>
  <c r="I178" i="35"/>
  <c r="I175" i="35"/>
  <c r="I170" i="35"/>
  <c r="I166" i="35"/>
  <c r="I163" i="35"/>
  <c r="I160" i="35"/>
  <c r="I155" i="35"/>
  <c r="I151" i="35"/>
  <c r="I147" i="35"/>
  <c r="I143" i="35"/>
  <c r="I139" i="35"/>
  <c r="I135" i="35"/>
  <c r="I133" i="35"/>
  <c r="I324" i="35"/>
  <c r="I320" i="35"/>
  <c r="I316" i="35"/>
  <c r="I312" i="35"/>
  <c r="I308" i="35"/>
  <c r="I304" i="35"/>
  <c r="I300" i="35"/>
  <c r="I296" i="35"/>
  <c r="I292" i="35"/>
  <c r="I285" i="35"/>
  <c r="I281" i="35"/>
  <c r="I270" i="35"/>
  <c r="I266" i="35"/>
  <c r="I263" i="35"/>
  <c r="I260" i="35"/>
  <c r="I256" i="35"/>
  <c r="I253" i="35"/>
  <c r="I249" i="35"/>
  <c r="I244" i="35"/>
  <c r="I240" i="35"/>
  <c r="I236" i="35"/>
  <c r="I221" i="35"/>
  <c r="I215" i="35"/>
  <c r="I211" i="35"/>
  <c r="I207" i="35"/>
  <c r="I200" i="35"/>
  <c r="I197" i="35"/>
  <c r="I192" i="35"/>
  <c r="I188" i="35"/>
  <c r="I184" i="35"/>
  <c r="I180" i="35"/>
  <c r="I177" i="35"/>
  <c r="I174" i="35"/>
  <c r="I169" i="35"/>
  <c r="I165" i="35"/>
  <c r="I159" i="35"/>
  <c r="I154" i="35"/>
  <c r="I150" i="35"/>
  <c r="I146" i="35"/>
  <c r="I142" i="35"/>
  <c r="I138" i="35"/>
  <c r="I132" i="35"/>
  <c r="I323" i="35"/>
  <c r="I319" i="35"/>
  <c r="I315" i="35"/>
  <c r="I311" i="35"/>
  <c r="I307" i="35"/>
  <c r="I303" i="35"/>
  <c r="I299" i="35"/>
  <c r="I295" i="35"/>
  <c r="I291" i="35"/>
  <c r="I288" i="35"/>
  <c r="I284" i="35"/>
  <c r="I280" i="35"/>
  <c r="I277" i="35"/>
  <c r="I274" i="35"/>
  <c r="I269" i="35"/>
  <c r="I265" i="35"/>
  <c r="I259" i="35"/>
  <c r="I255" i="35"/>
  <c r="I248" i="35"/>
  <c r="I243" i="35"/>
  <c r="I239" i="35"/>
  <c r="I235" i="35"/>
  <c r="I232" i="35"/>
  <c r="I229" i="35"/>
  <c r="I227" i="35"/>
  <c r="I224" i="35"/>
  <c r="I219" i="35"/>
  <c r="I214" i="35"/>
  <c r="I210" i="35"/>
  <c r="I206" i="35"/>
  <c r="I203" i="35"/>
  <c r="I196" i="35"/>
  <c r="I191" i="35"/>
  <c r="I187" i="35"/>
  <c r="I183" i="35"/>
  <c r="I173" i="35"/>
  <c r="I168" i="35"/>
  <c r="I162" i="35"/>
  <c r="I157" i="35"/>
  <c r="I153" i="35"/>
  <c r="I149" i="35"/>
  <c r="I145" i="35"/>
  <c r="I141" i="35"/>
  <c r="I137" i="35"/>
  <c r="I134" i="35"/>
  <c r="I131" i="35"/>
  <c r="G2" i="37"/>
  <c r="G3" i="37"/>
  <c r="G4" i="37"/>
  <c r="G5" i="37"/>
  <c r="G6" i="37"/>
  <c r="G7" i="37"/>
  <c r="G8" i="37"/>
  <c r="G9" i="37"/>
  <c r="G10" i="37"/>
  <c r="G11" i="37"/>
  <c r="G12" i="37"/>
  <c r="G13" i="37"/>
  <c r="G14" i="37"/>
  <c r="G15" i="37"/>
  <c r="G16" i="37"/>
  <c r="G17" i="37"/>
  <c r="G18" i="37"/>
  <c r="G19" i="37"/>
  <c r="D56" i="8"/>
  <c r="D46" i="14"/>
  <c r="D49" i="14"/>
  <c r="D48" i="14"/>
  <c r="C63" i="8"/>
  <c r="C23" i="8"/>
  <c r="C135" i="2"/>
  <c r="C43" i="8"/>
  <c r="D110" i="1"/>
  <c r="D37" i="14"/>
  <c r="C64" i="8"/>
  <c r="D52" i="8"/>
  <c r="D44" i="8"/>
  <c r="D36" i="8"/>
  <c r="C32" i="8"/>
  <c r="C41" i="36"/>
  <c r="C32" i="36"/>
  <c r="C24" i="36"/>
  <c r="C132" i="2"/>
  <c r="C124" i="2"/>
  <c r="C116" i="2"/>
  <c r="C108" i="2"/>
  <c r="C100" i="2"/>
  <c r="C92" i="2"/>
  <c r="D76" i="2"/>
  <c r="D68" i="2"/>
  <c r="C64" i="2"/>
  <c r="C56" i="2"/>
  <c r="D48" i="2"/>
  <c r="D40" i="2"/>
  <c r="C36" i="2"/>
  <c r="C28" i="2"/>
  <c r="D158" i="1"/>
  <c r="K19" i="8"/>
  <c r="D68" i="8"/>
  <c r="D76" i="14"/>
  <c r="D72" i="14"/>
  <c r="D64" i="14"/>
  <c r="D51" i="14"/>
  <c r="D21" i="14"/>
  <c r="D63" i="14"/>
  <c r="D29" i="14"/>
  <c r="D45" i="14"/>
  <c r="C65" i="8"/>
  <c r="D41" i="14"/>
  <c r="D75" i="14"/>
  <c r="D67" i="14"/>
  <c r="D58" i="14"/>
  <c r="D50" i="14"/>
  <c r="I354" i="35"/>
  <c r="I353" i="35"/>
  <c r="I352" i="35"/>
  <c r="I351" i="35"/>
  <c r="I350" i="35"/>
  <c r="I349" i="35"/>
  <c r="I348" i="35"/>
  <c r="I347" i="35"/>
  <c r="I346" i="35"/>
  <c r="I345" i="35"/>
  <c r="I344" i="35"/>
  <c r="I343" i="35"/>
  <c r="I342" i="35"/>
  <c r="I340" i="35"/>
  <c r="I339" i="35"/>
  <c r="I338" i="35"/>
  <c r="I337" i="35"/>
  <c r="I336" i="35"/>
  <c r="I335" i="35"/>
  <c r="I334" i="35"/>
  <c r="I333" i="35"/>
  <c r="I332" i="35"/>
  <c r="I331" i="35"/>
  <c r="I330" i="35"/>
  <c r="I329" i="35"/>
  <c r="I328" i="35"/>
  <c r="I327" i="35"/>
  <c r="I326" i="35"/>
  <c r="I325" i="35"/>
  <c r="G20" i="37"/>
  <c r="B17" i="32"/>
  <c r="Z37" i="32"/>
  <c r="B106" i="32"/>
  <c r="B96" i="32"/>
  <c r="B86" i="32"/>
  <c r="B116" i="32"/>
  <c r="B79" i="32"/>
  <c r="B109" i="32"/>
  <c r="B99" i="32"/>
  <c r="B89" i="32"/>
  <c r="B114" i="32"/>
  <c r="B104" i="32"/>
  <c r="B94" i="32"/>
  <c r="B84" i="32"/>
  <c r="B78" i="32"/>
  <c r="B98" i="32"/>
  <c r="B88" i="32"/>
  <c r="B81" i="32"/>
  <c r="B111" i="32"/>
  <c r="B101" i="32"/>
  <c r="B91" i="32"/>
  <c r="Z29" i="32"/>
  <c r="AB29" i="32"/>
  <c r="D11" i="10"/>
  <c r="J7" i="32"/>
  <c r="B74" i="32"/>
  <c r="Y5" i="33"/>
  <c r="B108" i="32"/>
  <c r="D66" i="8"/>
  <c r="D27" i="14"/>
  <c r="D33" i="14"/>
  <c r="D56" i="14"/>
  <c r="D52" i="14"/>
  <c r="D64" i="8"/>
  <c r="D57" i="14"/>
  <c r="C59" i="8"/>
  <c r="D25" i="14"/>
  <c r="D53" i="14"/>
  <c r="D65" i="8"/>
  <c r="D22" i="14"/>
  <c r="D62" i="8"/>
  <c r="D31" i="14"/>
  <c r="D43" i="14"/>
  <c r="D54" i="14"/>
  <c r="D47" i="14"/>
  <c r="D62" i="14"/>
  <c r="D85" i="14"/>
  <c r="D86" i="14"/>
  <c r="B14" i="37"/>
  <c r="H194" i="35"/>
  <c r="H348" i="35"/>
  <c r="H127" i="35"/>
  <c r="D35" i="14"/>
  <c r="D70" i="14"/>
  <c r="D61" i="14"/>
  <c r="D65" i="14"/>
  <c r="D83" i="14"/>
  <c r="D30" i="14"/>
  <c r="D68" i="14"/>
  <c r="F146" i="2"/>
  <c r="B43" i="32"/>
  <c r="D79" i="14"/>
  <c r="D71" i="14"/>
  <c r="D66" i="14"/>
  <c r="D60" i="14"/>
  <c r="D81" i="14"/>
  <c r="D69" i="14"/>
  <c r="D82" i="14"/>
  <c r="D80" i="14"/>
  <c r="D74" i="14"/>
  <c r="D73" i="14"/>
  <c r="D59" i="14"/>
  <c r="D84" i="14"/>
  <c r="AB15" i="32"/>
  <c r="AB45" i="32"/>
  <c r="C14" i="14"/>
  <c r="F387" i="38"/>
  <c r="F403" i="38"/>
  <c r="F388" i="38"/>
  <c r="F404" i="38"/>
  <c r="F385" i="38"/>
  <c r="F401" i="38"/>
  <c r="F382" i="38"/>
  <c r="F398" i="38"/>
  <c r="G379" i="38"/>
  <c r="G395" i="38"/>
  <c r="G380" i="38"/>
  <c r="G396" i="38"/>
  <c r="G377" i="38"/>
  <c r="G393" i="38"/>
  <c r="G409" i="38"/>
  <c r="G390" i="38"/>
  <c r="G406" i="38"/>
  <c r="H387" i="38"/>
  <c r="H403" i="38"/>
  <c r="H388" i="38"/>
  <c r="H404" i="38"/>
  <c r="H385" i="38"/>
  <c r="H401" i="38"/>
  <c r="H382" i="38"/>
  <c r="H398" i="38"/>
  <c r="H389" i="38"/>
  <c r="H386" i="38"/>
  <c r="H399" i="38"/>
  <c r="H381" i="38"/>
  <c r="H394" i="38"/>
  <c r="F391" i="38"/>
  <c r="F407" i="38"/>
  <c r="F392" i="38"/>
  <c r="F408" i="38"/>
  <c r="F389" i="38"/>
  <c r="F405" i="38"/>
  <c r="F386" i="38"/>
  <c r="F402" i="38"/>
  <c r="G383" i="38"/>
  <c r="G399" i="38"/>
  <c r="G384" i="38"/>
  <c r="G400" i="38"/>
  <c r="G381" i="38"/>
  <c r="G397" i="38"/>
  <c r="G378" i="38"/>
  <c r="G394" i="38"/>
  <c r="G410" i="38"/>
  <c r="H391" i="38"/>
  <c r="H407" i="38"/>
  <c r="H392" i="38"/>
  <c r="H408" i="38"/>
  <c r="H405" i="38"/>
  <c r="H402" i="38"/>
  <c r="H400" i="38"/>
  <c r="H378" i="38"/>
  <c r="F379" i="38"/>
  <c r="F395" i="38"/>
  <c r="F380" i="38"/>
  <c r="F396" i="38"/>
  <c r="F377" i="38"/>
  <c r="F393" i="38"/>
  <c r="F409" i="38"/>
  <c r="F390" i="38"/>
  <c r="F406" i="38"/>
  <c r="G387" i="38"/>
  <c r="G403" i="38"/>
  <c r="G388" i="38"/>
  <c r="G404" i="38"/>
  <c r="G385" i="38"/>
  <c r="G401" i="38"/>
  <c r="G382" i="38"/>
  <c r="G398" i="38"/>
  <c r="H379" i="38"/>
  <c r="H395" i="38"/>
  <c r="H380" i="38"/>
  <c r="H396" i="38"/>
  <c r="H377" i="38"/>
  <c r="H393" i="38"/>
  <c r="H409" i="38"/>
  <c r="H390" i="38"/>
  <c r="H406" i="38"/>
  <c r="G402" i="38"/>
  <c r="H383" i="38"/>
  <c r="H384" i="38"/>
  <c r="H397" i="38"/>
  <c r="H410" i="38"/>
  <c r="F383" i="38"/>
  <c r="F399" i="38"/>
  <c r="F384" i="38"/>
  <c r="F400" i="38"/>
  <c r="F381" i="38"/>
  <c r="F397" i="38"/>
  <c r="F378" i="38"/>
  <c r="F394" i="38"/>
  <c r="F410" i="38"/>
  <c r="G391" i="38"/>
  <c r="G407" i="38"/>
  <c r="G392" i="38"/>
  <c r="G408" i="38"/>
  <c r="G389" i="38"/>
  <c r="G405" i="38"/>
  <c r="G386" i="38"/>
  <c r="Y6" i="33"/>
  <c r="J424" i="34"/>
  <c r="H289" i="35"/>
  <c r="H253" i="35"/>
  <c r="H139" i="35"/>
  <c r="H110" i="35"/>
  <c r="Z31" i="32"/>
  <c r="H25" i="35"/>
  <c r="H284" i="35"/>
  <c r="H64" i="35"/>
  <c r="H237" i="35"/>
  <c r="H156" i="35"/>
  <c r="H33" i="35"/>
  <c r="H14" i="35"/>
  <c r="P5" i="33" a="1"/>
  <c r="P5" i="33"/>
  <c r="G92" i="14"/>
  <c r="G43" i="36"/>
  <c r="H56" i="10"/>
  <c r="G90" i="8"/>
  <c r="AB37" i="32"/>
  <c r="G359" i="35"/>
  <c r="G179" i="35"/>
  <c r="G348" i="35"/>
  <c r="G23" i="35"/>
  <c r="G148" i="35"/>
  <c r="G278" i="35"/>
  <c r="G118" i="35"/>
  <c r="G352" i="35"/>
  <c r="G242" i="35"/>
  <c r="G49" i="35"/>
  <c r="G185" i="35"/>
  <c r="H11" i="37"/>
  <c r="G95" i="35"/>
  <c r="G227" i="35"/>
  <c r="G22" i="35"/>
  <c r="G309" i="35"/>
  <c r="G149" i="35"/>
  <c r="G238" i="35"/>
  <c r="G45" i="35"/>
  <c r="H7" i="37"/>
  <c r="G91" i="35"/>
  <c r="G18" i="35"/>
  <c r="G342" i="35"/>
  <c r="G209" i="35"/>
  <c r="G17" i="35"/>
  <c r="G155" i="35"/>
  <c r="G281" i="35"/>
  <c r="G59" i="35"/>
  <c r="G191" i="35"/>
  <c r="H9" i="37"/>
  <c r="G27" i="35"/>
  <c r="G339" i="35"/>
  <c r="G181" i="35"/>
  <c r="G224" i="35"/>
  <c r="G362" i="35"/>
  <c r="C58" i="31"/>
  <c r="G337" i="35"/>
  <c r="G205" i="35"/>
  <c r="G13" i="35"/>
  <c r="G151" i="35"/>
  <c r="G270" i="35"/>
  <c r="G55" i="35"/>
  <c r="G187" i="35"/>
  <c r="H5" i="37"/>
  <c r="G360" i="35"/>
  <c r="G176" i="35"/>
  <c r="C56" i="31"/>
  <c r="G351" i="35"/>
  <c r="G336" i="35"/>
  <c r="G144" i="35"/>
  <c r="G275" i="35"/>
  <c r="G88" i="35"/>
  <c r="G192" i="35"/>
  <c r="H10" i="37"/>
  <c r="G114" i="35"/>
  <c r="G124" i="35"/>
  <c r="G240" i="35"/>
  <c r="G340" i="35"/>
  <c r="D58" i="31"/>
  <c r="G338" i="35"/>
  <c r="G308" i="35"/>
  <c r="G113" i="35"/>
  <c r="G251" i="35"/>
  <c r="G56" i="35"/>
  <c r="G165" i="35"/>
  <c r="G291" i="35"/>
  <c r="G86" i="35"/>
  <c r="G355" i="35"/>
  <c r="G344" i="35"/>
  <c r="G305" i="35"/>
  <c r="G145" i="35"/>
  <c r="G354" i="35"/>
  <c r="H14" i="37"/>
  <c r="E53" i="31"/>
  <c r="G334" i="35"/>
  <c r="G306" i="35"/>
  <c r="G109" i="35"/>
  <c r="G245" i="35"/>
  <c r="G52" i="35"/>
  <c r="G159" i="35"/>
  <c r="G288" i="35"/>
  <c r="G82" i="35"/>
  <c r="D55" i="31"/>
  <c r="G244" i="35"/>
  <c r="D56" i="31"/>
  <c r="G357" i="35"/>
  <c r="C57" i="31"/>
  <c r="G92" i="35"/>
  <c r="C54" i="31"/>
  <c r="G322" i="35"/>
  <c r="G279" i="35"/>
  <c r="G81" i="35"/>
  <c r="G216" i="35"/>
  <c r="G24" i="35"/>
  <c r="G127" i="35"/>
  <c r="G259" i="35"/>
  <c r="G54" i="35"/>
  <c r="H4" i="37"/>
  <c r="G120" i="35"/>
  <c r="G197" i="35"/>
  <c r="G318" i="35"/>
  <c r="G276" i="35"/>
  <c r="G77" i="35"/>
  <c r="G212" i="35"/>
  <c r="G20" i="35"/>
  <c r="G123" i="35"/>
  <c r="G255" i="35"/>
  <c r="G50" i="35"/>
  <c r="F167" i="1"/>
  <c r="G146" i="2"/>
  <c r="M123" i="1"/>
  <c r="M161" i="1"/>
  <c r="J440" i="34"/>
  <c r="D14" i="10"/>
  <c r="I424" i="34"/>
  <c r="G456" i="34"/>
  <c r="J456" i="34"/>
  <c r="P5" i="10"/>
  <c r="J5" i="14"/>
  <c r="AB33" i="32"/>
  <c r="C14" i="36"/>
  <c r="C14" i="8"/>
  <c r="C11" i="36"/>
  <c r="C11" i="8"/>
  <c r="C11" i="14"/>
  <c r="I428" i="34"/>
  <c r="G363" i="35"/>
  <c r="G361" i="35"/>
  <c r="C53" i="31"/>
  <c r="E57" i="31"/>
  <c r="E54" i="31"/>
  <c r="D57" i="31"/>
  <c r="G323" i="35"/>
  <c r="G347" i="35"/>
  <c r="G330" i="35"/>
  <c r="G314" i="35"/>
  <c r="G331" i="35"/>
  <c r="G325" i="35"/>
  <c r="G311" i="35"/>
  <c r="G324" i="35"/>
  <c r="G294" i="35"/>
  <c r="G262" i="35"/>
  <c r="G228" i="35"/>
  <c r="G194" i="35"/>
  <c r="G164" i="35"/>
  <c r="G130" i="35"/>
  <c r="G97" i="35"/>
  <c r="G65" i="35"/>
  <c r="G33" i="35"/>
  <c r="H20" i="37"/>
  <c r="G293" i="35"/>
  <c r="G264" i="35"/>
  <c r="G233" i="35"/>
  <c r="G201" i="35"/>
  <c r="G170" i="35"/>
  <c r="G139" i="35"/>
  <c r="G108" i="35"/>
  <c r="G76" i="35"/>
  <c r="G40" i="35"/>
  <c r="G8" i="35"/>
  <c r="G300" i="35"/>
  <c r="G260" i="35"/>
  <c r="G215" i="35"/>
  <c r="G180" i="35"/>
  <c r="G146" i="35"/>
  <c r="G111" i="35"/>
  <c r="G79" i="35"/>
  <c r="G43" i="35"/>
  <c r="G11" i="35"/>
  <c r="G307" i="35"/>
  <c r="G277" i="35"/>
  <c r="G239" i="35"/>
  <c r="G210" i="35"/>
  <c r="G168" i="35"/>
  <c r="G134" i="35"/>
  <c r="G102" i="35"/>
  <c r="G70" i="35"/>
  <c r="G38" i="35"/>
  <c r="G428" i="34"/>
  <c r="J428" i="34"/>
  <c r="H424" i="34"/>
  <c r="G424" i="34"/>
  <c r="H428" i="34"/>
  <c r="H13" i="37"/>
  <c r="G10" i="35"/>
  <c r="G26" i="35"/>
  <c r="G42" i="35"/>
  <c r="G58" i="35"/>
  <c r="G74" i="35"/>
  <c r="G90" i="35"/>
  <c r="G106" i="35"/>
  <c r="G122" i="35"/>
  <c r="G137" i="35"/>
  <c r="G153" i="35"/>
  <c r="G173" i="35"/>
  <c r="G196" i="35"/>
  <c r="G214" i="35"/>
  <c r="G229" i="35"/>
  <c r="G243" i="35"/>
  <c r="G265" i="35"/>
  <c r="G280" i="35"/>
  <c r="G295" i="35"/>
  <c r="H2" i="37"/>
  <c r="H18" i="37"/>
  <c r="G15" i="35"/>
  <c r="G31" i="35"/>
  <c r="G47" i="35"/>
  <c r="G63" i="35"/>
  <c r="G83" i="35"/>
  <c r="G99" i="35"/>
  <c r="G115" i="35"/>
  <c r="G132" i="35"/>
  <c r="G150" i="35"/>
  <c r="G169" i="35"/>
  <c r="G184" i="35"/>
  <c r="G200" i="35"/>
  <c r="G221" i="35"/>
  <c r="G249" i="35"/>
  <c r="G263" i="35"/>
  <c r="G285" i="35"/>
  <c r="G304" i="35"/>
  <c r="H15" i="37"/>
  <c r="G12" i="35"/>
  <c r="G28" i="35"/>
  <c r="G44" i="35"/>
  <c r="G60" i="35"/>
  <c r="G80" i="35"/>
  <c r="G96" i="35"/>
  <c r="G112" i="35"/>
  <c r="G128" i="35"/>
  <c r="G143" i="35"/>
  <c r="G160" i="35"/>
  <c r="G175" i="35"/>
  <c r="G189" i="35"/>
  <c r="G204" i="35"/>
  <c r="G222" i="35"/>
  <c r="G237" i="35"/>
  <c r="G254" i="35"/>
  <c r="G267" i="35"/>
  <c r="G282" i="35"/>
  <c r="G297" i="35"/>
  <c r="H8" i="37"/>
  <c r="G5" i="35"/>
  <c r="G21" i="35"/>
  <c r="G37" i="35"/>
  <c r="G53" i="35"/>
  <c r="G69" i="35"/>
  <c r="G85" i="35"/>
  <c r="G101" i="35"/>
  <c r="G117" i="35"/>
  <c r="G136" i="35"/>
  <c r="G152" i="35"/>
  <c r="G167" i="35"/>
  <c r="G182" i="35"/>
  <c r="G199" i="35"/>
  <c r="G213" i="35"/>
  <c r="G231" i="35"/>
  <c r="G246" i="35"/>
  <c r="G268" i="35"/>
  <c r="G283" i="35"/>
  <c r="G298" i="35"/>
  <c r="G312" i="35"/>
  <c r="G328" i="35"/>
  <c r="G345" i="35"/>
  <c r="G327" i="35"/>
  <c r="G313" i="35"/>
  <c r="G329" i="35"/>
  <c r="G346" i="35"/>
  <c r="H17" i="37"/>
  <c r="G14" i="35"/>
  <c r="G30" i="35"/>
  <c r="G46" i="35"/>
  <c r="G62" i="35"/>
  <c r="G78" i="35"/>
  <c r="G94" i="35"/>
  <c r="G110" i="35"/>
  <c r="G126" i="35"/>
  <c r="G141" i="35"/>
  <c r="G157" i="35"/>
  <c r="G183" i="35"/>
  <c r="G203" i="35"/>
  <c r="G219" i="35"/>
  <c r="G232" i="35"/>
  <c r="G248" i="35"/>
  <c r="G269" i="35"/>
  <c r="G284" i="35"/>
  <c r="G299" i="35"/>
  <c r="H6" i="37"/>
  <c r="G3" i="35"/>
  <c r="G19" i="35"/>
  <c r="G35" i="35"/>
  <c r="G51" i="35"/>
  <c r="G71" i="35"/>
  <c r="G87" i="35"/>
  <c r="G103" i="35"/>
  <c r="G119" i="35"/>
  <c r="G138" i="35"/>
  <c r="G154" i="35"/>
  <c r="G174" i="35"/>
  <c r="G188" i="35"/>
  <c r="G207" i="35"/>
  <c r="G236" i="35"/>
  <c r="G253" i="35"/>
  <c r="G266" i="35"/>
  <c r="G292" i="35"/>
  <c r="H3" i="37"/>
  <c r="H19" i="37"/>
  <c r="G16" i="35"/>
  <c r="G32" i="35"/>
  <c r="G48" i="35"/>
  <c r="G64" i="35"/>
  <c r="G84" i="35"/>
  <c r="G100" i="35"/>
  <c r="G116" i="35"/>
  <c r="G133" i="35"/>
  <c r="G147" i="35"/>
  <c r="G163" i="35"/>
  <c r="G178" i="35"/>
  <c r="G193" i="35"/>
  <c r="G208" i="35"/>
  <c r="G225" i="35"/>
  <c r="G241" i="35"/>
  <c r="G257" i="35"/>
  <c r="G271" i="35"/>
  <c r="G286" i="35"/>
  <c r="G301" i="35"/>
  <c r="H12" i="37"/>
  <c r="G9" i="35"/>
  <c r="G25" i="35"/>
  <c r="G41" i="35"/>
  <c r="G57" i="35"/>
  <c r="G73" i="35"/>
  <c r="G89" i="35"/>
  <c r="G105" i="35"/>
  <c r="G121" i="35"/>
  <c r="G140" i="35"/>
  <c r="G156" i="35"/>
  <c r="G171" i="35"/>
  <c r="G186" i="35"/>
  <c r="G202" i="35"/>
  <c r="G218" i="35"/>
  <c r="G234" i="35"/>
  <c r="G252" i="35"/>
  <c r="G272" i="35"/>
  <c r="G287" i="35"/>
  <c r="G302" i="35"/>
  <c r="G316" i="35"/>
  <c r="G332" i="35"/>
  <c r="G349" i="35"/>
  <c r="G335" i="35"/>
  <c r="G317" i="35"/>
  <c r="G333" i="35"/>
  <c r="G350" i="35"/>
  <c r="G356" i="35"/>
  <c r="D54" i="31"/>
  <c r="E58" i="31"/>
  <c r="E56" i="31"/>
  <c r="C55" i="31"/>
  <c r="G315" i="35"/>
  <c r="G343" i="35"/>
  <c r="G326" i="35"/>
  <c r="G310" i="35"/>
  <c r="G319" i="35"/>
  <c r="G321" i="35"/>
  <c r="G353" i="35"/>
  <c r="G320" i="35"/>
  <c r="G290" i="35"/>
  <c r="G258" i="35"/>
  <c r="G226" i="35"/>
  <c r="G190" i="35"/>
  <c r="G161" i="35"/>
  <c r="G125" i="35"/>
  <c r="G93" i="35"/>
  <c r="G61" i="35"/>
  <c r="G29" i="35"/>
  <c r="H16" i="37"/>
  <c r="G289" i="35"/>
  <c r="G261" i="35"/>
  <c r="G230" i="35"/>
  <c r="G198" i="35"/>
  <c r="G166" i="35"/>
  <c r="G135" i="35"/>
  <c r="G104" i="35"/>
  <c r="G72" i="35"/>
  <c r="G36" i="35"/>
  <c r="G4" i="35"/>
  <c r="G296" i="35"/>
  <c r="G256" i="35"/>
  <c r="G211" i="35"/>
  <c r="G177" i="35"/>
  <c r="G142" i="35"/>
  <c r="G107" i="35"/>
  <c r="G75" i="35"/>
  <c r="G39" i="35"/>
  <c r="G7" i="35"/>
  <c r="G303" i="35"/>
  <c r="G274" i="35"/>
  <c r="G235" i="35"/>
  <c r="G206" i="35"/>
  <c r="G162" i="35"/>
  <c r="G131" i="35"/>
  <c r="G98" i="35"/>
  <c r="G67" i="35"/>
  <c r="G34" i="35"/>
  <c r="G2" i="35"/>
  <c r="H440" i="34"/>
  <c r="G440" i="34"/>
  <c r="G397" i="35"/>
  <c r="G401" i="35"/>
  <c r="G405" i="35"/>
  <c r="G409" i="35"/>
  <c r="G413" i="35"/>
  <c r="G417" i="35"/>
  <c r="G421" i="35"/>
  <c r="G425" i="35"/>
  <c r="G429" i="35"/>
  <c r="G433" i="35"/>
  <c r="G437" i="35"/>
  <c r="G441" i="35"/>
  <c r="G381" i="35"/>
  <c r="G385" i="35"/>
  <c r="G389" i="35"/>
  <c r="G393" i="35"/>
  <c r="G398" i="35"/>
  <c r="G402" i="35"/>
  <c r="G406" i="35"/>
  <c r="G410" i="35"/>
  <c r="G414" i="35"/>
  <c r="G418" i="35"/>
  <c r="G422" i="35"/>
  <c r="G426" i="35"/>
  <c r="G430" i="35"/>
  <c r="G434" i="35"/>
  <c r="G438" i="35"/>
  <c r="G442" i="35"/>
  <c r="G382" i="35"/>
  <c r="G386" i="35"/>
  <c r="G390" i="35"/>
  <c r="G394" i="35"/>
  <c r="G399" i="35"/>
  <c r="G403" i="35"/>
  <c r="G407" i="35"/>
  <c r="G411" i="35"/>
  <c r="G415" i="35"/>
  <c r="G419" i="35"/>
  <c r="G423" i="35"/>
  <c r="G427" i="35"/>
  <c r="G431" i="35"/>
  <c r="G435" i="35"/>
  <c r="G439" i="35"/>
  <c r="G443" i="35"/>
  <c r="G383" i="35"/>
  <c r="G387" i="35"/>
  <c r="G391" i="35"/>
  <c r="G395" i="35"/>
  <c r="G400" i="35"/>
  <c r="G404" i="35"/>
  <c r="G408" i="35"/>
  <c r="G412" i="35"/>
  <c r="G416" i="35"/>
  <c r="G420" i="35"/>
  <c r="G424" i="35"/>
  <c r="G428" i="35"/>
  <c r="G432" i="35"/>
  <c r="G436" i="35"/>
  <c r="G440" i="35"/>
  <c r="G444" i="35"/>
  <c r="G384" i="35"/>
  <c r="G388" i="35"/>
  <c r="G392" i="35"/>
  <c r="G396" i="35"/>
  <c r="AB31" i="32"/>
  <c r="D12" i="10"/>
  <c r="H357" i="35"/>
  <c r="H213" i="35"/>
  <c r="H349" i="35"/>
  <c r="H125" i="35"/>
  <c r="H261" i="35"/>
  <c r="H343" i="35"/>
  <c r="H248" i="35"/>
  <c r="H36" i="35"/>
  <c r="H305" i="35"/>
  <c r="H147" i="35"/>
  <c r="H281" i="35"/>
  <c r="P8" i="33" a="1"/>
  <c r="P8" i="33"/>
  <c r="H170" i="35"/>
  <c r="H238" i="35"/>
  <c r="H141" i="35"/>
  <c r="B15" i="37"/>
  <c r="O8" i="33" a="1"/>
  <c r="O8" i="33"/>
  <c r="H337" i="35"/>
  <c r="H275" i="35"/>
  <c r="H188" i="35"/>
  <c r="H105" i="35"/>
  <c r="H328" i="35"/>
  <c r="H212" i="35"/>
  <c r="H99" i="35"/>
  <c r="H327" i="35"/>
  <c r="H230" i="35"/>
  <c r="H108" i="35"/>
  <c r="H310" i="35"/>
  <c r="H154" i="35"/>
  <c r="H219" i="35"/>
  <c r="H78" i="35"/>
  <c r="H4" i="35"/>
  <c r="B5" i="37"/>
  <c r="H321" i="35"/>
  <c r="H258" i="35"/>
  <c r="H167" i="35"/>
  <c r="H84" i="35"/>
  <c r="H304" i="35"/>
  <c r="H186" i="35"/>
  <c r="H72" i="35"/>
  <c r="H303" i="35"/>
  <c r="H197" i="35"/>
  <c r="H81" i="35"/>
  <c r="H279" i="35"/>
  <c r="H107" i="35"/>
  <c r="H183" i="35"/>
  <c r="H46" i="35"/>
  <c r="H27" i="35"/>
  <c r="B10" i="37"/>
  <c r="B434" i="35"/>
  <c r="H438" i="35"/>
  <c r="B421" i="35"/>
  <c r="H417" i="35"/>
  <c r="H413" i="35"/>
  <c r="B409" i="35"/>
  <c r="H409" i="35"/>
  <c r="B400" i="35"/>
  <c r="H406" i="35"/>
  <c r="B386" i="35"/>
  <c r="B394" i="35"/>
  <c r="H384" i="35"/>
  <c r="H392" i="35"/>
  <c r="C445" i="38"/>
  <c r="C418" i="38"/>
  <c r="C424" i="38"/>
  <c r="C430" i="38"/>
  <c r="C436" i="38"/>
  <c r="C5" i="38"/>
  <c r="C9" i="38"/>
  <c r="C13" i="38"/>
  <c r="C17" i="38"/>
  <c r="C21" i="38"/>
  <c r="C25" i="38"/>
  <c r="C29" i="38"/>
  <c r="C33" i="38"/>
  <c r="C37" i="38"/>
  <c r="C41" i="38"/>
  <c r="C45" i="38"/>
  <c r="C49" i="38"/>
  <c r="C53" i="38"/>
  <c r="C57" i="38"/>
  <c r="C61" i="38"/>
  <c r="C65" i="38"/>
  <c r="C69" i="38"/>
  <c r="C73" i="38"/>
  <c r="C77" i="38"/>
  <c r="C81" i="38"/>
  <c r="C85" i="38"/>
  <c r="C89" i="38"/>
  <c r="C93" i="38"/>
  <c r="C97" i="38"/>
  <c r="C101" i="38"/>
  <c r="C105" i="38"/>
  <c r="C109" i="38"/>
  <c r="C113" i="38"/>
  <c r="C117" i="38"/>
  <c r="C121" i="38"/>
  <c r="C125" i="38"/>
  <c r="C129" i="38"/>
  <c r="C133" i="38"/>
  <c r="C138" i="38"/>
  <c r="C144" i="38"/>
  <c r="C149" i="38"/>
  <c r="C154" i="38"/>
  <c r="C160" i="38"/>
  <c r="C165" i="38"/>
  <c r="C170" i="38"/>
  <c r="C176" i="38"/>
  <c r="C181" i="38"/>
  <c r="C186" i="38"/>
  <c r="C192" i="38"/>
  <c r="C197" i="38"/>
  <c r="C202" i="38"/>
  <c r="C208" i="38"/>
  <c r="C213" i="38"/>
  <c r="C218" i="38"/>
  <c r="C224" i="38"/>
  <c r="C229" i="38"/>
  <c r="C234" i="38"/>
  <c r="C240" i="38"/>
  <c r="C245" i="38"/>
  <c r="C250" i="38"/>
  <c r="C256" i="38"/>
  <c r="C261" i="38"/>
  <c r="C266" i="38"/>
  <c r="C272" i="38"/>
  <c r="C277" i="38"/>
  <c r="B430" i="35"/>
  <c r="H434" i="35"/>
  <c r="H444" i="35"/>
  <c r="B419" i="35"/>
  <c r="B415" i="35"/>
  <c r="B406" i="35"/>
  <c r="H404" i="35"/>
  <c r="B384" i="35"/>
  <c r="B392" i="35"/>
  <c r="H382" i="35"/>
  <c r="H390" i="35"/>
  <c r="H398" i="35"/>
  <c r="C444" i="38"/>
  <c r="C416" i="38"/>
  <c r="C422" i="38"/>
  <c r="C428" i="38"/>
  <c r="C434" i="38"/>
  <c r="C4" i="38"/>
  <c r="C8" i="38"/>
  <c r="C12" i="38"/>
  <c r="C16" i="38"/>
  <c r="C20" i="38"/>
  <c r="C24" i="38"/>
  <c r="C28" i="38"/>
  <c r="C32" i="38"/>
  <c r="C36" i="38"/>
  <c r="C40" i="38"/>
  <c r="C44" i="38"/>
  <c r="C48" i="38"/>
  <c r="C52" i="38"/>
  <c r="C56" i="38"/>
  <c r="C60" i="38"/>
  <c r="C64" i="38"/>
  <c r="C68" i="38"/>
  <c r="C72" i="38"/>
  <c r="C76" i="38"/>
  <c r="C80" i="38"/>
  <c r="C84" i="38"/>
  <c r="C88" i="38"/>
  <c r="C92" i="38"/>
  <c r="C96" i="38"/>
  <c r="C100" i="38"/>
  <c r="C104" i="38"/>
  <c r="C108" i="38"/>
  <c r="C112" i="38"/>
  <c r="C116" i="38"/>
  <c r="C120" i="38"/>
  <c r="C124" i="38"/>
  <c r="C128" i="38"/>
  <c r="C132" i="38"/>
  <c r="C137" i="38"/>
  <c r="C142" i="38"/>
  <c r="C148" i="38"/>
  <c r="C153" i="38"/>
  <c r="C158" i="38"/>
  <c r="C164" i="38"/>
  <c r="C169" i="38"/>
  <c r="C174" i="38"/>
  <c r="C180" i="38"/>
  <c r="C185" i="38"/>
  <c r="C190" i="38"/>
  <c r="C196" i="38"/>
  <c r="C201" i="38"/>
  <c r="C206" i="38"/>
  <c r="C212" i="38"/>
  <c r="C217" i="38"/>
  <c r="C222" i="38"/>
  <c r="C228" i="38"/>
  <c r="C233" i="38"/>
  <c r="C238" i="38"/>
  <c r="C244" i="38"/>
  <c r="C249" i="38"/>
  <c r="C254" i="38"/>
  <c r="C260" i="38"/>
  <c r="C265" i="38"/>
  <c r="C270" i="38"/>
  <c r="C276" i="38"/>
  <c r="C280" i="38"/>
  <c r="C284" i="38"/>
  <c r="C290" i="38"/>
  <c r="C295" i="38"/>
  <c r="C299" i="38"/>
  <c r="C303" i="38"/>
  <c r="C307" i="38"/>
  <c r="C311" i="38"/>
  <c r="H440" i="35"/>
  <c r="B417" i="35"/>
  <c r="H419" i="35"/>
  <c r="B404" i="35"/>
  <c r="B396" i="35"/>
  <c r="H394" i="35"/>
  <c r="C442" i="38"/>
  <c r="C421" i="38"/>
  <c r="C433" i="38"/>
  <c r="C7" i="38"/>
  <c r="C15" i="38"/>
  <c r="C23" i="38"/>
  <c r="C31" i="38"/>
  <c r="C39" i="38"/>
  <c r="C47" i="38"/>
  <c r="C55" i="38"/>
  <c r="C63" i="38"/>
  <c r="C71" i="38"/>
  <c r="C79" i="38"/>
  <c r="C87" i="38"/>
  <c r="C95" i="38"/>
  <c r="C103" i="38"/>
  <c r="C111" i="38"/>
  <c r="C119" i="38"/>
  <c r="C127" i="38"/>
  <c r="C136" i="38"/>
  <c r="C146" i="38"/>
  <c r="C157" i="38"/>
  <c r="C168" i="38"/>
  <c r="C178" i="38"/>
  <c r="C189" i="38"/>
  <c r="C200" i="38"/>
  <c r="C210" i="38"/>
  <c r="C221" i="38"/>
  <c r="C232" i="38"/>
  <c r="C242" i="38"/>
  <c r="C253" i="38"/>
  <c r="C264" i="38"/>
  <c r="C274" i="38"/>
  <c r="C282" i="38"/>
  <c r="C288" i="38"/>
  <c r="C296" i="38"/>
  <c r="C301" i="38"/>
  <c r="C306"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F3" i="37"/>
  <c r="F7" i="37"/>
  <c r="F11" i="37"/>
  <c r="F15" i="37"/>
  <c r="F19" i="37"/>
  <c r="F23" i="37"/>
  <c r="F27" i="37"/>
  <c r="F31" i="37"/>
  <c r="F35" i="37"/>
  <c r="B34" i="37"/>
  <c r="B25" i="37"/>
  <c r="B29" i="37"/>
  <c r="B426" i="35"/>
  <c r="H442" i="35"/>
  <c r="H421" i="35"/>
  <c r="B413" i="35"/>
  <c r="B382" i="35"/>
  <c r="B398" i="35"/>
  <c r="H396" i="35"/>
  <c r="C412" i="38"/>
  <c r="C425" i="38"/>
  <c r="C437" i="38"/>
  <c r="C2" i="38"/>
  <c r="C10" i="38"/>
  <c r="C18" i="38"/>
  <c r="C26" i="38"/>
  <c r="C34" i="38"/>
  <c r="C42" i="38"/>
  <c r="C50" i="38"/>
  <c r="C58" i="38"/>
  <c r="C66" i="38"/>
  <c r="C74" i="38"/>
  <c r="C82" i="38"/>
  <c r="C90" i="38"/>
  <c r="C98" i="38"/>
  <c r="C106" i="38"/>
  <c r="C114" i="38"/>
  <c r="C122" i="38"/>
  <c r="C130" i="38"/>
  <c r="C140" i="38"/>
  <c r="C150" i="38"/>
  <c r="C161" i="38"/>
  <c r="C172" i="38"/>
  <c r="C182" i="38"/>
  <c r="C193" i="38"/>
  <c r="C204" i="38"/>
  <c r="C214" i="38"/>
  <c r="C225" i="38"/>
  <c r="C236" i="38"/>
  <c r="C246" i="38"/>
  <c r="C257" i="38"/>
  <c r="C268" i="38"/>
  <c r="C278" i="38"/>
  <c r="C283" i="38"/>
  <c r="C291" i="38"/>
  <c r="C297" i="38"/>
  <c r="C302" i="38"/>
  <c r="C308" i="38"/>
  <c r="C313" i="38"/>
  <c r="C317" i="38"/>
  <c r="C321" i="38"/>
  <c r="C325" i="38"/>
  <c r="C329" i="38"/>
  <c r="C333" i="38"/>
  <c r="C337" i="38"/>
  <c r="C341" i="38"/>
  <c r="C345" i="38"/>
  <c r="C349" i="38"/>
  <c r="C353" i="38"/>
  <c r="C357" i="38"/>
  <c r="C361" i="38"/>
  <c r="C365" i="38"/>
  <c r="C369" i="38"/>
  <c r="C373" i="38"/>
  <c r="C377" i="38"/>
  <c r="C381" i="38"/>
  <c r="C385" i="38"/>
  <c r="C389" i="38"/>
  <c r="C393" i="38"/>
  <c r="C397" i="38"/>
  <c r="C401" i="38"/>
  <c r="C405" i="38"/>
  <c r="C409" i="38"/>
  <c r="F4" i="37"/>
  <c r="F8" i="37"/>
  <c r="F12" i="37"/>
  <c r="F16" i="37"/>
  <c r="F20" i="37"/>
  <c r="F24" i="37"/>
  <c r="F28" i="37"/>
  <c r="F32" i="37"/>
  <c r="B33" i="37"/>
  <c r="B32" i="37"/>
  <c r="B28" i="37"/>
  <c r="H68" i="35"/>
  <c r="B402" i="35"/>
  <c r="H388" i="35"/>
  <c r="C420" i="38"/>
  <c r="C11" i="38"/>
  <c r="C27" i="38"/>
  <c r="C43" i="38"/>
  <c r="C59" i="38"/>
  <c r="C75" i="38"/>
  <c r="C91" i="38"/>
  <c r="C107" i="38"/>
  <c r="C123" i="38"/>
  <c r="C141" i="38"/>
  <c r="C162" i="38"/>
  <c r="C184" i="38"/>
  <c r="C205" i="38"/>
  <c r="C226" i="38"/>
  <c r="C248" i="38"/>
  <c r="C269" i="38"/>
  <c r="C286" i="38"/>
  <c r="C298" i="38"/>
  <c r="C309" i="38"/>
  <c r="C318" i="38"/>
  <c r="C326" i="38"/>
  <c r="C334" i="38"/>
  <c r="C342" i="38"/>
  <c r="C350" i="38"/>
  <c r="C358" i="38"/>
  <c r="C366" i="38"/>
  <c r="C374" i="38"/>
  <c r="C382" i="38"/>
  <c r="C390" i="38"/>
  <c r="C398" i="38"/>
  <c r="C406" i="38"/>
  <c r="F5" i="37"/>
  <c r="F13" i="37"/>
  <c r="F21" i="37"/>
  <c r="F29" i="37"/>
  <c r="B30" i="37"/>
  <c r="B68" i="35"/>
  <c r="B438" i="35"/>
  <c r="H426" i="35"/>
  <c r="B388" i="35"/>
  <c r="C427" i="38"/>
  <c r="C14" i="38"/>
  <c r="C30" i="38"/>
  <c r="C46" i="38"/>
  <c r="C62" i="38"/>
  <c r="C78" i="38"/>
  <c r="C94" i="38"/>
  <c r="C110" i="38"/>
  <c r="C126" i="38"/>
  <c r="C145" i="38"/>
  <c r="C166" i="38"/>
  <c r="C188" i="38"/>
  <c r="C209" i="38"/>
  <c r="C230" i="38"/>
  <c r="C252" i="38"/>
  <c r="C273" i="38"/>
  <c r="C287" i="38"/>
  <c r="C300" i="38"/>
  <c r="C310" i="38"/>
  <c r="C319" i="38"/>
  <c r="C327" i="38"/>
  <c r="C335" i="38"/>
  <c r="C343" i="38"/>
  <c r="C351" i="38"/>
  <c r="C359" i="38"/>
  <c r="C367" i="38"/>
  <c r="C375" i="38"/>
  <c r="C383" i="38"/>
  <c r="C391" i="38"/>
  <c r="C399" i="38"/>
  <c r="C407" i="38"/>
  <c r="F6" i="37"/>
  <c r="F14" i="37"/>
  <c r="F22" i="37"/>
  <c r="F30" i="37"/>
  <c r="B27" i="37"/>
  <c r="B442" i="35"/>
  <c r="H430" i="35"/>
  <c r="H400" i="35"/>
  <c r="B390" i="35"/>
  <c r="C440" i="38"/>
  <c r="C432" i="38"/>
  <c r="C3" i="38"/>
  <c r="C19" i="38"/>
  <c r="C35" i="38"/>
  <c r="C51" i="38"/>
  <c r="C67" i="38"/>
  <c r="C83" i="38"/>
  <c r="C99" i="38"/>
  <c r="C115" i="38"/>
  <c r="C131" i="38"/>
  <c r="C152" i="38"/>
  <c r="C173" i="38"/>
  <c r="C194" i="38"/>
  <c r="C216" i="38"/>
  <c r="C237" i="38"/>
  <c r="C258" i="38"/>
  <c r="C292" i="38"/>
  <c r="C54" i="38"/>
  <c r="C118" i="38"/>
  <c r="C198" i="38"/>
  <c r="C314" i="38"/>
  <c r="C330" i="38"/>
  <c r="C346" i="38"/>
  <c r="C362" i="38"/>
  <c r="C378" i="38"/>
  <c r="C394" i="38"/>
  <c r="C410" i="38"/>
  <c r="F17" i="37"/>
  <c r="F33" i="37"/>
  <c r="B31" i="37"/>
  <c r="H402" i="35"/>
  <c r="C414" i="38"/>
  <c r="C6" i="38"/>
  <c r="C70" i="38"/>
  <c r="C134" i="38"/>
  <c r="C220" i="38"/>
  <c r="C294" i="38"/>
  <c r="C315" i="38"/>
  <c r="C331" i="38"/>
  <c r="C347" i="38"/>
  <c r="C363" i="38"/>
  <c r="C379" i="38"/>
  <c r="C395" i="38"/>
  <c r="F2" i="37"/>
  <c r="F18" i="37"/>
  <c r="F34" i="37"/>
  <c r="E2" i="34"/>
  <c r="C21" i="1"/>
  <c r="C439" i="38"/>
  <c r="C22" i="38"/>
  <c r="C86" i="38"/>
  <c r="C156" i="38"/>
  <c r="C241" i="38"/>
  <c r="C304" i="38"/>
  <c r="C322" i="38"/>
  <c r="C338" i="38"/>
  <c r="C354" i="38"/>
  <c r="C370" i="38"/>
  <c r="C386" i="38"/>
  <c r="C402" i="38"/>
  <c r="F9" i="37"/>
  <c r="F25" i="37"/>
  <c r="C177" i="38"/>
  <c r="C339" i="38"/>
  <c r="C403" i="38"/>
  <c r="H415" i="35"/>
  <c r="C387" i="38"/>
  <c r="C262" i="38"/>
  <c r="C355" i="38"/>
  <c r="F10" i="37"/>
  <c r="C323" i="38"/>
  <c r="H386" i="35"/>
  <c r="C38" i="38"/>
  <c r="C305" i="38"/>
  <c r="C371" i="38"/>
  <c r="F26" i="37"/>
  <c r="C102" i="38"/>
  <c r="B26" i="37"/>
  <c r="C441" i="38"/>
  <c r="H385" i="35"/>
  <c r="B387" i="35"/>
  <c r="H399" i="35"/>
  <c r="H410" i="35"/>
  <c r="H412" i="35"/>
  <c r="B422" i="35"/>
  <c r="H433" i="35"/>
  <c r="B437" i="35"/>
  <c r="H436" i="35"/>
  <c r="B444" i="35"/>
  <c r="B428" i="35"/>
  <c r="C285" i="38"/>
  <c r="C271" i="38"/>
  <c r="C255" i="38"/>
  <c r="C239" i="38"/>
  <c r="C223" i="38"/>
  <c r="C207" i="38"/>
  <c r="C191" i="38"/>
  <c r="C175" i="38"/>
  <c r="C159" i="38"/>
  <c r="C143" i="38"/>
  <c r="C411" i="38"/>
  <c r="H387" i="35"/>
  <c r="B389" i="35"/>
  <c r="H401" i="35"/>
  <c r="B408" i="35"/>
  <c r="H416" i="35"/>
  <c r="H439" i="35"/>
  <c r="H423" i="35"/>
  <c r="B431" i="35"/>
  <c r="C443" i="38"/>
  <c r="B385" i="35"/>
  <c r="H414" i="35"/>
  <c r="H435" i="35"/>
  <c r="B427" i="35"/>
  <c r="B381" i="35"/>
  <c r="B416" i="35"/>
  <c r="H431" i="35"/>
  <c r="C423" i="38"/>
  <c r="B391" i="35"/>
  <c r="B411" i="35"/>
  <c r="B441" i="35"/>
  <c r="H424" i="35"/>
  <c r="C289" i="38"/>
  <c r="C227" i="38"/>
  <c r="C179" i="38"/>
  <c r="C163" i="38"/>
  <c r="C415" i="38"/>
  <c r="H405" i="35"/>
  <c r="H420" i="35"/>
  <c r="B435" i="35"/>
  <c r="B423" i="35"/>
  <c r="C429" i="38"/>
  <c r="C417" i="38"/>
  <c r="H397" i="35"/>
  <c r="H381" i="35"/>
  <c r="B383" i="35"/>
  <c r="B407" i="35"/>
  <c r="B410" i="35"/>
  <c r="B412" i="35"/>
  <c r="B418" i="35"/>
  <c r="H429" i="35"/>
  <c r="B433" i="35"/>
  <c r="H432" i="35"/>
  <c r="B440" i="35"/>
  <c r="B424" i="35"/>
  <c r="C281" i="38"/>
  <c r="C267" i="38"/>
  <c r="C251" i="38"/>
  <c r="C235" i="38"/>
  <c r="C219" i="38"/>
  <c r="C203" i="38"/>
  <c r="C187" i="38"/>
  <c r="C171" i="38"/>
  <c r="C155" i="38"/>
  <c r="C139" i="38"/>
  <c r="H383" i="35"/>
  <c r="B405" i="35"/>
  <c r="B420" i="35"/>
  <c r="B443" i="35"/>
  <c r="B397" i="35"/>
  <c r="B414" i="35"/>
  <c r="C435" i="38"/>
  <c r="H403" i="35"/>
  <c r="H418" i="35"/>
  <c r="B432" i="35"/>
  <c r="C259" i="38"/>
  <c r="C211" i="38"/>
  <c r="C147" i="38"/>
  <c r="H391" i="35"/>
  <c r="H408" i="35"/>
  <c r="H427" i="35"/>
  <c r="C438" i="38"/>
  <c r="C426" i="38"/>
  <c r="C413" i="38"/>
  <c r="H393" i="35"/>
  <c r="B395" i="35"/>
  <c r="H407" i="35"/>
  <c r="B403" i="35"/>
  <c r="H411" i="35"/>
  <c r="H422" i="35"/>
  <c r="H441" i="35"/>
  <c r="H425" i="35"/>
  <c r="B429" i="35"/>
  <c r="H428" i="35"/>
  <c r="B436" i="35"/>
  <c r="C293" i="38"/>
  <c r="C279" i="38"/>
  <c r="C263" i="38"/>
  <c r="C247" i="38"/>
  <c r="C231" i="38"/>
  <c r="C215" i="38"/>
  <c r="C199" i="38"/>
  <c r="C183" i="38"/>
  <c r="C167" i="38"/>
  <c r="C151" i="38"/>
  <c r="C135" i="38"/>
  <c r="C431" i="38"/>
  <c r="C419" i="38"/>
  <c r="H395" i="35"/>
  <c r="B401" i="35"/>
  <c r="B439" i="35"/>
  <c r="H389" i="35"/>
  <c r="B399" i="35"/>
  <c r="H437" i="35"/>
  <c r="B425" i="35"/>
  <c r="C275" i="38"/>
  <c r="C243" i="38"/>
  <c r="C195" i="38"/>
  <c r="B393" i="35"/>
  <c r="H443" i="35"/>
  <c r="E3" i="34"/>
  <c r="C22" i="1"/>
  <c r="D424" i="35"/>
  <c r="D428" i="35"/>
  <c r="D432" i="35"/>
  <c r="D436" i="35"/>
  <c r="D440" i="35"/>
  <c r="D444" i="35"/>
  <c r="D419" i="35"/>
  <c r="D414" i="35"/>
  <c r="D411" i="35"/>
  <c r="D401" i="35"/>
  <c r="D405" i="35"/>
  <c r="D382" i="35"/>
  <c r="D386" i="35"/>
  <c r="D390" i="35"/>
  <c r="D394" i="35"/>
  <c r="D398" i="35"/>
  <c r="D423" i="35"/>
  <c r="D431" i="35"/>
  <c r="D439" i="35"/>
  <c r="D418" i="35"/>
  <c r="D410" i="35"/>
  <c r="D385" i="35"/>
  <c r="D393" i="35"/>
  <c r="D425" i="35"/>
  <c r="D429" i="35"/>
  <c r="D433" i="35"/>
  <c r="D437" i="35"/>
  <c r="D441" i="35"/>
  <c r="D416" i="35"/>
  <c r="D420" i="35"/>
  <c r="D415" i="35"/>
  <c r="D408" i="35"/>
  <c r="D402" i="35"/>
  <c r="D406" i="35"/>
  <c r="D383" i="35"/>
  <c r="D387" i="35"/>
  <c r="D391" i="35"/>
  <c r="D395" i="35"/>
  <c r="D404" i="35"/>
  <c r="D426" i="35"/>
  <c r="D430" i="35"/>
  <c r="D434" i="35"/>
  <c r="D438" i="35"/>
  <c r="D442" i="35"/>
  <c r="D417" i="35"/>
  <c r="D421" i="35"/>
  <c r="D412" i="35"/>
  <c r="D409" i="35"/>
  <c r="D399" i="35"/>
  <c r="D403" i="35"/>
  <c r="D407" i="35"/>
  <c r="D384" i="35"/>
  <c r="D388" i="35"/>
  <c r="D392" i="35"/>
  <c r="D396" i="35"/>
  <c r="D427" i="35"/>
  <c r="D435" i="35"/>
  <c r="D443" i="35"/>
  <c r="D422" i="35"/>
  <c r="D413" i="35"/>
  <c r="D400" i="35"/>
  <c r="D381" i="35"/>
  <c r="D389" i="35"/>
  <c r="D397" i="35"/>
  <c r="H444" i="34"/>
  <c r="J444" i="34"/>
  <c r="G444" i="34"/>
  <c r="C31" i="37"/>
  <c r="C27" i="37"/>
  <c r="C30" i="37"/>
  <c r="C26" i="37"/>
  <c r="C34" i="37"/>
  <c r="C25" i="37"/>
  <c r="C29" i="37"/>
  <c r="C32" i="37"/>
  <c r="C33" i="37"/>
  <c r="C28" i="37"/>
  <c r="D68" i="35"/>
  <c r="F432" i="34"/>
  <c r="D29" i="10"/>
  <c r="H456" i="34"/>
  <c r="F55" i="31"/>
  <c r="F56" i="31"/>
  <c r="G56" i="31"/>
  <c r="F54" i="31"/>
  <c r="F53" i="31"/>
  <c r="F58" i="31"/>
  <c r="G58" i="31"/>
  <c r="D15" i="10"/>
  <c r="F57" i="31"/>
  <c r="G57" i="31"/>
  <c r="C16" i="14"/>
  <c r="D53" i="31"/>
  <c r="H31" i="37"/>
  <c r="H27" i="37"/>
  <c r="H30" i="37"/>
  <c r="H26" i="37"/>
  <c r="G68" i="35"/>
  <c r="H34" i="37"/>
  <c r="H25" i="37"/>
  <c r="H29" i="37"/>
  <c r="H33" i="37"/>
  <c r="H32" i="37"/>
  <c r="H28" i="37"/>
  <c r="F440" i="34"/>
  <c r="M28" i="1"/>
  <c r="Q33" i="10"/>
  <c r="C18" i="1"/>
  <c r="D18" i="8"/>
  <c r="D18" i="2"/>
  <c r="C11" i="1"/>
  <c r="Q28" i="10"/>
  <c r="Q29" i="10"/>
  <c r="O29" i="10"/>
  <c r="N18" i="10"/>
  <c r="P17" i="10"/>
  <c r="K19" i="14"/>
  <c r="C18" i="8"/>
  <c r="L19" i="8"/>
  <c r="M55" i="10"/>
  <c r="I43" i="36"/>
  <c r="C8" i="36"/>
  <c r="C8" i="8"/>
  <c r="C8" i="14"/>
  <c r="C8" i="2"/>
  <c r="D8" i="10"/>
  <c r="C11" i="2"/>
  <c r="C92" i="8"/>
  <c r="C94" i="14"/>
  <c r="D57" i="10"/>
  <c r="C45" i="36"/>
  <c r="D9" i="10"/>
  <c r="C9" i="14"/>
  <c r="C9" i="2"/>
  <c r="C9" i="36"/>
  <c r="C9" i="8"/>
  <c r="K8" i="14"/>
  <c r="L8" i="36"/>
  <c r="L8" i="2"/>
  <c r="Q8" i="10"/>
  <c r="L8" i="8"/>
  <c r="D148" i="35"/>
  <c r="L5" i="2"/>
  <c r="L5" i="8"/>
  <c r="L5" i="36"/>
  <c r="O55" i="10"/>
  <c r="K43" i="36"/>
  <c r="N10" i="1"/>
  <c r="Q10" i="10"/>
  <c r="K10" i="8"/>
  <c r="K10" i="2"/>
  <c r="K10" i="14"/>
  <c r="K10" i="36"/>
  <c r="B40" i="32"/>
  <c r="D55" i="10"/>
  <c r="C92" i="14"/>
  <c r="C43" i="36"/>
  <c r="C90" i="8"/>
  <c r="G42" i="32"/>
  <c r="B45" i="32"/>
  <c r="F43" i="36"/>
  <c r="H55" i="10"/>
  <c r="C5" i="14"/>
  <c r="C5" i="2"/>
  <c r="C5" i="8"/>
  <c r="C5" i="36"/>
  <c r="C5" i="1"/>
  <c r="Q6" i="10"/>
  <c r="L6" i="8"/>
  <c r="K6" i="14"/>
  <c r="L6" i="36"/>
  <c r="L6" i="2"/>
  <c r="C148" i="2"/>
  <c r="P6" i="33" a="1"/>
  <c r="P6" i="33"/>
  <c r="I22" i="1"/>
  <c r="H329" i="35"/>
  <c r="H297" i="35"/>
  <c r="H267" i="35"/>
  <c r="H225" i="35"/>
  <c r="H178" i="35"/>
  <c r="H116" i="35"/>
  <c r="H63" i="35"/>
  <c r="H336" i="35"/>
  <c r="H296" i="35"/>
  <c r="H236" i="35"/>
  <c r="H171" i="35"/>
  <c r="H115" i="35"/>
  <c r="H37" i="35"/>
  <c r="H335" i="35"/>
  <c r="H295" i="35"/>
  <c r="H245" i="35"/>
  <c r="H65" i="35"/>
  <c r="H361" i="35"/>
  <c r="H342" i="35"/>
  <c r="H325" i="35"/>
  <c r="H309" i="35"/>
  <c r="H293" i="35"/>
  <c r="H278" i="35"/>
  <c r="H263" i="35"/>
  <c r="H242" i="35"/>
  <c r="H221" i="35"/>
  <c r="H193" i="35"/>
  <c r="H174" i="35"/>
  <c r="H152" i="35"/>
  <c r="H133" i="35"/>
  <c r="H111" i="35"/>
  <c r="H89" i="35"/>
  <c r="H57" i="35"/>
  <c r="H353" i="35"/>
  <c r="H332" i="35"/>
  <c r="H312" i="35"/>
  <c r="H285" i="35"/>
  <c r="H257" i="35"/>
  <c r="H231" i="35"/>
  <c r="H192" i="35"/>
  <c r="H166" i="35"/>
  <c r="H135" i="35"/>
  <c r="H104" i="35"/>
  <c r="H77" i="35"/>
  <c r="H21" i="35"/>
  <c r="H352" i="35"/>
  <c r="H331" i="35"/>
  <c r="H311" i="35"/>
  <c r="H288" i="35"/>
  <c r="H269" i="35"/>
  <c r="H240" i="35"/>
  <c r="H201" i="35"/>
  <c r="H176" i="35"/>
  <c r="H150" i="35"/>
  <c r="H113" i="35"/>
  <c r="H87" i="35"/>
  <c r="H60" i="35"/>
  <c r="H354" i="35"/>
  <c r="H322" i="35"/>
  <c r="H290" i="35"/>
  <c r="H260" i="35"/>
  <c r="H209" i="35"/>
  <c r="H169" i="35"/>
  <c r="H123" i="35"/>
  <c r="H80" i="35"/>
  <c r="H265" i="35"/>
  <c r="H229" i="35"/>
  <c r="H196" i="35"/>
  <c r="H153" i="35"/>
  <c r="H122" i="35"/>
  <c r="H90" i="35"/>
  <c r="H58" i="35"/>
  <c r="H26" i="35"/>
  <c r="H48" i="35"/>
  <c r="H16" i="35"/>
  <c r="H39" i="35"/>
  <c r="H7" i="35"/>
  <c r="B7" i="37"/>
  <c r="B17" i="37"/>
  <c r="B12" i="37"/>
  <c r="O5" i="33" a="1"/>
  <c r="O5" i="33"/>
  <c r="H350" i="35"/>
  <c r="H333" i="35"/>
  <c r="H317" i="35"/>
  <c r="H301" i="35"/>
  <c r="H286" i="35"/>
  <c r="H271" i="35"/>
  <c r="H254" i="35"/>
  <c r="H228" i="35"/>
  <c r="H208" i="35"/>
  <c r="H182" i="35"/>
  <c r="H163" i="35"/>
  <c r="H142" i="35"/>
  <c r="H121" i="35"/>
  <c r="H100" i="35"/>
  <c r="H73" i="35"/>
  <c r="H9" i="35"/>
  <c r="H345" i="35"/>
  <c r="H320" i="35"/>
  <c r="H300" i="35"/>
  <c r="H270" i="35"/>
  <c r="H241" i="35"/>
  <c r="H207" i="35"/>
  <c r="H181" i="35"/>
  <c r="H146" i="35"/>
  <c r="H120" i="35"/>
  <c r="H93" i="35"/>
  <c r="H53" i="35"/>
  <c r="H363" i="35"/>
  <c r="H344" i="35"/>
  <c r="H319" i="35"/>
  <c r="H299" i="35"/>
  <c r="H280" i="35"/>
  <c r="H252" i="35"/>
  <c r="H216" i="35"/>
  <c r="H190" i="35"/>
  <c r="H161" i="35"/>
  <c r="H130" i="35"/>
  <c r="H103" i="35"/>
  <c r="H71" i="35"/>
  <c r="H17" i="35"/>
  <c r="H338" i="35"/>
  <c r="H306" i="35"/>
  <c r="H276" i="35"/>
  <c r="H233" i="35"/>
  <c r="H189" i="35"/>
  <c r="H148" i="35"/>
  <c r="H101" i="35"/>
  <c r="H59" i="35"/>
  <c r="H243" i="35"/>
  <c r="H214" i="35"/>
  <c r="H173" i="35"/>
  <c r="H137" i="35"/>
  <c r="H106" i="35"/>
  <c r="H74" i="35"/>
  <c r="H42" i="35"/>
  <c r="H10" i="35"/>
  <c r="H32" i="35"/>
  <c r="H55" i="35"/>
  <c r="H23" i="35"/>
  <c r="B6" i="37"/>
  <c r="B2" i="37"/>
  <c r="P7" i="33" a="1"/>
  <c r="P7" i="33"/>
  <c r="H346" i="35"/>
  <c r="H313" i="35"/>
  <c r="H282" i="35"/>
  <c r="H249" i="35"/>
  <c r="H199" i="35"/>
  <c r="H159" i="35"/>
  <c r="H136" i="35"/>
  <c r="H95" i="35"/>
  <c r="H360" i="35"/>
  <c r="H316" i="35"/>
  <c r="H262" i="35"/>
  <c r="H202" i="35"/>
  <c r="H140" i="35"/>
  <c r="H83" i="35"/>
  <c r="H359" i="35"/>
  <c r="H315" i="35"/>
  <c r="H274" i="35"/>
  <c r="H211" i="35"/>
  <c r="H180" i="35"/>
  <c r="H155" i="35"/>
  <c r="H124" i="35"/>
  <c r="H92" i="35"/>
  <c r="H358" i="35"/>
  <c r="H326" i="35"/>
  <c r="H294" i="35"/>
  <c r="H264" i="35"/>
  <c r="H215" i="35"/>
  <c r="H175" i="35"/>
  <c r="H128" i="35"/>
  <c r="H85" i="35"/>
  <c r="H13" i="35"/>
  <c r="H232" i="35"/>
  <c r="H203" i="35"/>
  <c r="H157" i="35"/>
  <c r="H126" i="35"/>
  <c r="H94" i="35"/>
  <c r="H62" i="35"/>
  <c r="H30" i="35"/>
  <c r="H52" i="35"/>
  <c r="H20" i="35"/>
  <c r="H43" i="35"/>
  <c r="H11" i="35"/>
  <c r="B19" i="37"/>
  <c r="B16" i="37"/>
  <c r="O9" i="33" a="1"/>
  <c r="O9" i="33"/>
  <c r="O3" i="33" a="1"/>
  <c r="O3" i="33"/>
  <c r="O7" i="33" a="1"/>
  <c r="O7" i="33"/>
  <c r="B4" i="37"/>
  <c r="B20" i="37"/>
  <c r="B9" i="37"/>
  <c r="B18" i="37"/>
  <c r="H15" i="35"/>
  <c r="H31" i="35"/>
  <c r="H47" i="35"/>
  <c r="H8" i="35"/>
  <c r="H24" i="35"/>
  <c r="H40" i="35"/>
  <c r="H56" i="35"/>
  <c r="H18" i="35"/>
  <c r="H34" i="35"/>
  <c r="H50" i="35"/>
  <c r="H67" i="35"/>
  <c r="H82" i="35"/>
  <c r="H98" i="35"/>
  <c r="H114" i="35"/>
  <c r="H131" i="35"/>
  <c r="H145" i="35"/>
  <c r="H162" i="35"/>
  <c r="H187" i="35"/>
  <c r="H206" i="35"/>
  <c r="H224" i="35"/>
  <c r="H235" i="35"/>
  <c r="H255" i="35"/>
  <c r="H29" i="35"/>
  <c r="H69" i="35"/>
  <c r="H91" i="35"/>
  <c r="H112" i="35"/>
  <c r="H138" i="35"/>
  <c r="H160" i="35"/>
  <c r="H179" i="35"/>
  <c r="H200" i="35"/>
  <c r="H222" i="35"/>
  <c r="H244" i="35"/>
  <c r="H268" i="35"/>
  <c r="H283" i="35"/>
  <c r="H298" i="35"/>
  <c r="H314" i="35"/>
  <c r="H330" i="35"/>
  <c r="H347" i="35"/>
  <c r="H362" i="35"/>
  <c r="H49" i="35"/>
  <c r="H76" i="35"/>
  <c r="H97" i="35"/>
  <c r="H119" i="35"/>
  <c r="H144" i="35"/>
  <c r="H165" i="35"/>
  <c r="H185" i="35"/>
  <c r="H205" i="35"/>
  <c r="H234" i="35"/>
  <c r="H256" i="35"/>
  <c r="H277" i="35"/>
  <c r="H291" i="35"/>
  <c r="H307" i="35"/>
  <c r="H323" i="35"/>
  <c r="H339" i="35"/>
  <c r="H355" i="35"/>
  <c r="H5" i="35"/>
  <c r="H61" i="35"/>
  <c r="H88" i="35"/>
  <c r="H109" i="35"/>
  <c r="H132" i="35"/>
  <c r="H151" i="35"/>
  <c r="H177" i="35"/>
  <c r="H198" i="35"/>
  <c r="H218" i="35"/>
  <c r="H246" i="35"/>
  <c r="H266" i="35"/>
  <c r="H292" i="35"/>
  <c r="H308" i="35"/>
  <c r="H324" i="35"/>
  <c r="H340" i="35"/>
  <c r="H356" i="35"/>
  <c r="H41" i="35"/>
  <c r="H79" i="35"/>
  <c r="O6" i="33" a="1"/>
  <c r="O6" i="33"/>
  <c r="B8" i="37"/>
  <c r="B11" i="37"/>
  <c r="B13" i="37"/>
  <c r="B3" i="37"/>
  <c r="H3" i="35"/>
  <c r="H19" i="35"/>
  <c r="H35" i="35"/>
  <c r="H51" i="35"/>
  <c r="H12" i="35"/>
  <c r="H28" i="35"/>
  <c r="H44" i="35"/>
  <c r="H6" i="35"/>
  <c r="H22" i="35"/>
  <c r="H38" i="35"/>
  <c r="H54" i="35"/>
  <c r="H70" i="35"/>
  <c r="H86" i="35"/>
  <c r="H102" i="35"/>
  <c r="H118" i="35"/>
  <c r="H134" i="35"/>
  <c r="H149" i="35"/>
  <c r="H168" i="35"/>
  <c r="H191" i="35"/>
  <c r="H210" i="35"/>
  <c r="H227" i="35"/>
  <c r="H239" i="35"/>
  <c r="H259" i="35"/>
  <c r="H45" i="35"/>
  <c r="H75" i="35"/>
  <c r="H96" i="35"/>
  <c r="H117" i="35"/>
  <c r="H143" i="35"/>
  <c r="H164" i="35"/>
  <c r="H184" i="35"/>
  <c r="H204" i="35"/>
  <c r="H226" i="35"/>
  <c r="H251" i="35"/>
  <c r="H272" i="35"/>
  <c r="H287" i="35"/>
  <c r="H302" i="35"/>
  <c r="H318" i="35"/>
  <c r="H334" i="35"/>
  <c r="H351" i="35"/>
  <c r="P9" i="33" a="1"/>
  <c r="P9" i="33"/>
  <c r="AB52" i="32"/>
  <c r="AB10" i="32"/>
  <c r="W3" i="33"/>
  <c r="X3" i="33"/>
  <c r="AB43" i="32"/>
  <c r="D168" i="1"/>
  <c r="N8" i="1"/>
  <c r="K18" i="36"/>
  <c r="D18" i="1"/>
  <c r="C9" i="1"/>
  <c r="D89" i="1"/>
  <c r="D18" i="14"/>
  <c r="AA64" i="32"/>
  <c r="Y64" i="32"/>
  <c r="K18" i="2"/>
  <c r="I18" i="1"/>
  <c r="I89" i="1"/>
  <c r="F2" i="34"/>
  <c r="I21" i="1"/>
  <c r="C49" i="11"/>
  <c r="M36" i="1"/>
  <c r="M60" i="1"/>
  <c r="M29" i="1"/>
  <c r="D12" i="35"/>
  <c r="D17" i="35"/>
  <c r="D324" i="35"/>
  <c r="Y4" i="33"/>
  <c r="I444" i="34"/>
  <c r="I1" i="33"/>
  <c r="H35" i="37"/>
  <c r="H24" i="37"/>
  <c r="I18" i="14"/>
  <c r="D133" i="35"/>
  <c r="G17" i="10"/>
  <c r="C13" i="37"/>
  <c r="B24" i="37"/>
  <c r="B35" i="37"/>
  <c r="D331" i="35"/>
  <c r="C35" i="37"/>
  <c r="C24" i="37"/>
  <c r="AB22" i="32"/>
  <c r="B19" i="32"/>
  <c r="K19" i="36"/>
  <c r="N6" i="1"/>
  <c r="I18" i="36"/>
  <c r="I18" i="8"/>
  <c r="D267" i="35"/>
  <c r="K19" i="2"/>
  <c r="Y35" i="32"/>
  <c r="Q16" i="10"/>
  <c r="O23" i="10"/>
  <c r="Q23" i="10"/>
  <c r="M68" i="1"/>
  <c r="C146" i="2"/>
  <c r="C89" i="1"/>
  <c r="N18" i="1"/>
  <c r="H2" i="35"/>
  <c r="B5" i="35"/>
  <c r="B9" i="35"/>
  <c r="B13" i="35"/>
  <c r="B17" i="35"/>
  <c r="B21" i="35"/>
  <c r="B25" i="35"/>
  <c r="B29" i="35"/>
  <c r="B33" i="35"/>
  <c r="B37" i="35"/>
  <c r="B41" i="35"/>
  <c r="B45" i="35"/>
  <c r="B49" i="35"/>
  <c r="B53" i="35"/>
  <c r="B57" i="35"/>
  <c r="B61" i="35"/>
  <c r="B65"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86" i="35"/>
  <c r="B290" i="35"/>
  <c r="B294" i="35"/>
  <c r="B298" i="35"/>
  <c r="B302" i="35"/>
  <c r="B306" i="35"/>
  <c r="B310" i="35"/>
  <c r="B314" i="35"/>
  <c r="B318" i="35"/>
  <c r="B322" i="35"/>
  <c r="B326" i="35"/>
  <c r="B330" i="35"/>
  <c r="B334" i="35"/>
  <c r="B338" i="35"/>
  <c r="B2" i="35"/>
  <c r="B6" i="35"/>
  <c r="B10" i="35"/>
  <c r="B14" i="35"/>
  <c r="B18" i="35"/>
  <c r="B22" i="35"/>
  <c r="B26" i="35"/>
  <c r="B30" i="35"/>
  <c r="B34" i="35"/>
  <c r="B38" i="35"/>
  <c r="B42" i="35"/>
  <c r="B46" i="35"/>
  <c r="B50" i="35"/>
  <c r="B54" i="35"/>
  <c r="B58" i="35"/>
  <c r="B62" i="35"/>
  <c r="B66"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 i="35"/>
  <c r="B7" i="35"/>
  <c r="B11" i="35"/>
  <c r="B15" i="35"/>
  <c r="B19" i="35"/>
  <c r="B23" i="35"/>
  <c r="B27" i="35"/>
  <c r="B31" i="35"/>
  <c r="B35" i="35"/>
  <c r="B39" i="35"/>
  <c r="B43" i="35"/>
  <c r="B47" i="35"/>
  <c r="B51" i="35"/>
  <c r="B55" i="35"/>
  <c r="B59" i="35"/>
  <c r="B63" i="35"/>
  <c r="B67"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16" i="35"/>
  <c r="B320" i="35"/>
  <c r="B324" i="35"/>
  <c r="B328" i="35"/>
  <c r="B332" i="35"/>
  <c r="B336" i="35"/>
  <c r="B340" i="35"/>
  <c r="B4" i="35"/>
  <c r="B8" i="35"/>
  <c r="B12" i="35"/>
  <c r="B16" i="35"/>
  <c r="B20" i="35"/>
  <c r="B24" i="35"/>
  <c r="B28" i="35"/>
  <c r="B32" i="35"/>
  <c r="B36" i="35"/>
  <c r="B40" i="35"/>
  <c r="B44" i="35"/>
  <c r="B48" i="35"/>
  <c r="B52" i="35"/>
  <c r="B56" i="35"/>
  <c r="B60" i="35"/>
  <c r="B64" i="35"/>
  <c r="B69"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97" i="35"/>
  <c r="B313" i="35"/>
  <c r="B321" i="35"/>
  <c r="B329" i="35"/>
  <c r="B337" i="35"/>
  <c r="B343" i="35"/>
  <c r="B347" i="35"/>
  <c r="B351" i="35"/>
  <c r="B355" i="35"/>
  <c r="B359" i="35"/>
  <c r="B363" i="35"/>
  <c r="B367" i="35"/>
  <c r="B371" i="35"/>
  <c r="B375" i="35"/>
  <c r="B379" i="35"/>
  <c r="B285" i="35"/>
  <c r="B301" i="35"/>
  <c r="B315" i="35"/>
  <c r="B323" i="35"/>
  <c r="B331" i="35"/>
  <c r="B339" i="35"/>
  <c r="B344" i="35"/>
  <c r="B348" i="35"/>
  <c r="B352" i="35"/>
  <c r="B356" i="35"/>
  <c r="B360" i="35"/>
  <c r="B364" i="35"/>
  <c r="B368" i="35"/>
  <c r="B372" i="35"/>
  <c r="B376" i="35"/>
  <c r="B380" i="35"/>
  <c r="B289" i="35"/>
  <c r="B305" i="35"/>
  <c r="B317" i="35"/>
  <c r="B325" i="35"/>
  <c r="B333" i="35"/>
  <c r="B341" i="35"/>
  <c r="B345" i="35"/>
  <c r="B349" i="35"/>
  <c r="B353" i="35"/>
  <c r="B357" i="35"/>
  <c r="B361" i="35"/>
  <c r="B365" i="35"/>
  <c r="B369" i="35"/>
  <c r="B373" i="35"/>
  <c r="B377" i="35"/>
  <c r="P4" i="33" a="1"/>
  <c r="P4" i="33"/>
  <c r="B293" i="35"/>
  <c r="B309" i="35"/>
  <c r="B319" i="35"/>
  <c r="B327" i="35"/>
  <c r="B335" i="35"/>
  <c r="B342" i="35"/>
  <c r="B346" i="35"/>
  <c r="B350" i="35"/>
  <c r="B354" i="35"/>
  <c r="B358" i="35"/>
  <c r="B362" i="35"/>
  <c r="B366" i="35"/>
  <c r="B370" i="35"/>
  <c r="B374" i="35"/>
  <c r="B378" i="35"/>
  <c r="O4" i="33" a="1"/>
  <c r="O4" i="33"/>
  <c r="H378" i="35"/>
  <c r="H364" i="35"/>
  <c r="H368" i="35"/>
  <c r="H372" i="35"/>
  <c r="H376" i="35"/>
  <c r="B21" i="37"/>
  <c r="H379" i="35"/>
  <c r="H365" i="35"/>
  <c r="H369" i="35"/>
  <c r="H373" i="35"/>
  <c r="H377" i="35"/>
  <c r="B23" i="37"/>
  <c r="H371" i="35"/>
  <c r="B22" i="37"/>
  <c r="H380" i="35"/>
  <c r="H366" i="35"/>
  <c r="H370" i="35"/>
  <c r="H374" i="35"/>
  <c r="H367" i="35"/>
  <c r="H375" i="35"/>
  <c r="F3" i="34"/>
  <c r="M42" i="1"/>
  <c r="L17" i="2"/>
  <c r="Z35" i="32"/>
  <c r="AB35" i="32"/>
  <c r="B22" i="32"/>
  <c r="M53" i="1"/>
  <c r="M61" i="1"/>
  <c r="M77" i="1"/>
  <c r="M23" i="1"/>
  <c r="D176" i="35"/>
  <c r="D40" i="35"/>
  <c r="D188" i="35"/>
  <c r="D266" i="35"/>
  <c r="D64" i="35"/>
  <c r="D329" i="35"/>
  <c r="D166" i="35"/>
  <c r="D326" i="35"/>
  <c r="D13" i="35"/>
  <c r="D156" i="35"/>
  <c r="D19" i="35"/>
  <c r="D254" i="35"/>
  <c r="D45" i="35"/>
  <c r="D346" i="35"/>
  <c r="D157" i="35"/>
  <c r="C8" i="37"/>
  <c r="D131" i="35"/>
  <c r="D8" i="35"/>
  <c r="D142" i="35"/>
  <c r="D161" i="35"/>
  <c r="D54" i="35"/>
  <c r="D229" i="35"/>
  <c r="D108" i="35"/>
  <c r="D219" i="35"/>
  <c r="D128" i="35"/>
  <c r="D310" i="35"/>
  <c r="D319" i="35"/>
  <c r="D93" i="35"/>
  <c r="D164" i="35"/>
  <c r="D169" i="35"/>
  <c r="D358" i="35"/>
  <c r="D159" i="35"/>
  <c r="D235" i="35"/>
  <c r="D307" i="35"/>
  <c r="D112" i="35"/>
  <c r="D175" i="35"/>
  <c r="D313" i="35"/>
  <c r="D34" i="35"/>
  <c r="D205" i="35"/>
  <c r="D121" i="35"/>
  <c r="D265" i="35"/>
  <c r="D305" i="35"/>
  <c r="D286" i="35"/>
  <c r="D43" i="35"/>
  <c r="C16" i="37"/>
  <c r="D90" i="35"/>
  <c r="D321" i="35"/>
  <c r="D89" i="35"/>
  <c r="D165" i="35"/>
  <c r="D100" i="35"/>
  <c r="D23" i="35"/>
  <c r="D24" i="35"/>
  <c r="D271" i="35"/>
  <c r="D334" i="35"/>
  <c r="D84" i="35"/>
  <c r="D283" i="35"/>
  <c r="D221" i="35"/>
  <c r="D214" i="35"/>
  <c r="D281" i="35"/>
  <c r="D210" i="35"/>
  <c r="D215" i="35"/>
  <c r="D234" i="35"/>
  <c r="D109" i="35"/>
  <c r="D137" i="35"/>
  <c r="D168" i="35"/>
  <c r="D135" i="35"/>
  <c r="D25" i="35"/>
  <c r="D227" i="35"/>
  <c r="D352" i="35"/>
  <c r="D72" i="35"/>
  <c r="D231" i="35"/>
  <c r="D275" i="35"/>
  <c r="D184" i="35"/>
  <c r="C14" i="37"/>
  <c r="D284" i="35"/>
  <c r="D115" i="35"/>
  <c r="D288" i="35"/>
  <c r="C4" i="37"/>
  <c r="D111" i="35"/>
  <c r="D114" i="35"/>
  <c r="D259" i="35"/>
  <c r="D53" i="35"/>
  <c r="D143" i="35"/>
  <c r="D33" i="35"/>
  <c r="D263" i="35"/>
  <c r="D174" i="35"/>
  <c r="D140" i="35"/>
  <c r="D171" i="35"/>
  <c r="D287" i="35"/>
  <c r="D183" i="35"/>
  <c r="D245" i="35"/>
  <c r="D278" i="35"/>
  <c r="C17" i="37"/>
  <c r="D130" i="35"/>
  <c r="D353" i="35"/>
  <c r="D311" i="35"/>
  <c r="D318" i="35"/>
  <c r="D162" i="35"/>
  <c r="D153" i="35"/>
  <c r="C5" i="37"/>
  <c r="D260" i="35"/>
  <c r="D51" i="35"/>
  <c r="D55" i="35"/>
  <c r="D251" i="35"/>
  <c r="D345" i="35"/>
  <c r="D290" i="35"/>
  <c r="D120" i="35"/>
  <c r="D82" i="35"/>
  <c r="D16" i="35"/>
  <c r="D252" i="35"/>
  <c r="D48" i="35"/>
  <c r="C10" i="37"/>
  <c r="D270" i="35"/>
  <c r="D149" i="35"/>
  <c r="D105" i="35"/>
  <c r="D103" i="35"/>
  <c r="D323" i="35"/>
  <c r="D193" i="35"/>
  <c r="D343" i="35"/>
  <c r="D200" i="35"/>
  <c r="D303" i="35"/>
  <c r="D70" i="35"/>
  <c r="D191" i="35"/>
  <c r="D236" i="35"/>
  <c r="D94" i="35"/>
  <c r="D113" i="35"/>
  <c r="D261" i="35"/>
  <c r="D211" i="35"/>
  <c r="D357" i="35"/>
  <c r="Z74" i="32"/>
  <c r="AB74" i="32"/>
  <c r="M89" i="1"/>
  <c r="K17" i="8"/>
  <c r="I146" i="2"/>
  <c r="C18" i="2"/>
  <c r="N17" i="1"/>
  <c r="C8" i="1"/>
  <c r="D36" i="35"/>
  <c r="C18" i="14"/>
  <c r="L17" i="36"/>
  <c r="D201" i="35"/>
  <c r="D97" i="35"/>
  <c r="D209" i="35"/>
  <c r="D155" i="35"/>
  <c r="D280" i="35"/>
  <c r="D182" i="35"/>
  <c r="D241" i="35"/>
  <c r="D59" i="35"/>
  <c r="D32" i="35"/>
  <c r="D118" i="35"/>
  <c r="D293" i="35"/>
  <c r="D14" i="35"/>
  <c r="D132" i="35"/>
  <c r="D146" i="35"/>
  <c r="D333" i="35"/>
  <c r="D356" i="35"/>
  <c r="D212" i="35"/>
  <c r="D302" i="35"/>
  <c r="D225" i="35"/>
  <c r="D74" i="35"/>
  <c r="D134" i="35"/>
  <c r="D291" i="35"/>
  <c r="D152" i="35"/>
  <c r="D5" i="35"/>
  <c r="D337" i="35"/>
  <c r="D351" i="35"/>
  <c r="C12" i="37"/>
  <c r="D47" i="35"/>
  <c r="G379" i="35"/>
  <c r="H21" i="37"/>
  <c r="G380" i="35"/>
  <c r="G365" i="35"/>
  <c r="G369" i="35"/>
  <c r="G373" i="35"/>
  <c r="G377" i="35"/>
  <c r="H22" i="37"/>
  <c r="G366" i="35"/>
  <c r="G370" i="35"/>
  <c r="G374" i="35"/>
  <c r="H23" i="37"/>
  <c r="G378" i="35"/>
  <c r="G367" i="35"/>
  <c r="G371" i="35"/>
  <c r="G375" i="35"/>
  <c r="G364" i="35"/>
  <c r="G368" i="35"/>
  <c r="G372" i="35"/>
  <c r="G376" i="35"/>
  <c r="D138" i="35"/>
  <c r="C21" i="37"/>
  <c r="D380" i="35"/>
  <c r="D364" i="35"/>
  <c r="D376" i="35"/>
  <c r="C22" i="37"/>
  <c r="D365" i="35"/>
  <c r="D369" i="35"/>
  <c r="D373" i="35"/>
  <c r="D377" i="35"/>
  <c r="C23" i="37"/>
  <c r="D378" i="35"/>
  <c r="D366" i="35"/>
  <c r="D370" i="35"/>
  <c r="D374" i="35"/>
  <c r="D379" i="35"/>
  <c r="D367" i="35"/>
  <c r="D371" i="35"/>
  <c r="D375" i="35"/>
  <c r="D368" i="35"/>
  <c r="D372" i="35"/>
  <c r="D69" i="35"/>
  <c r="D185" i="35"/>
  <c r="D18" i="35"/>
  <c r="D116" i="35"/>
  <c r="D67" i="35"/>
  <c r="C11" i="37"/>
  <c r="D230" i="35"/>
  <c r="D99" i="35"/>
  <c r="D21" i="35"/>
  <c r="D87" i="35"/>
  <c r="D150" i="35"/>
  <c r="D338" i="35"/>
  <c r="D126" i="35"/>
  <c r="D2" i="35"/>
  <c r="D122" i="35"/>
  <c r="D11" i="35"/>
  <c r="D31" i="35"/>
  <c r="D258" i="35"/>
  <c r="D38" i="35"/>
  <c r="C20" i="37"/>
  <c r="D187" i="35"/>
  <c r="D7" i="35"/>
  <c r="D173" i="35"/>
  <c r="D91" i="35"/>
  <c r="D300" i="35"/>
  <c r="D92" i="35"/>
  <c r="D110" i="35"/>
  <c r="D76" i="35"/>
  <c r="D361" i="35"/>
  <c r="D292" i="35"/>
  <c r="C2" i="37"/>
  <c r="D256" i="35"/>
  <c r="D232" i="35"/>
  <c r="B24" i="32"/>
  <c r="L19" i="2"/>
  <c r="D206" i="35"/>
  <c r="D304" i="35"/>
  <c r="D192" i="35"/>
  <c r="D197" i="35"/>
  <c r="D83" i="35"/>
  <c r="D57" i="35"/>
  <c r="D360" i="35"/>
  <c r="D257" i="35"/>
  <c r="D60" i="35"/>
  <c r="D42" i="32"/>
  <c r="D28" i="35"/>
  <c r="D9" i="35"/>
  <c r="D202" i="35"/>
  <c r="D81" i="35"/>
  <c r="D339" i="35"/>
  <c r="D289" i="35"/>
  <c r="AB17" i="32"/>
  <c r="AB47" i="32"/>
  <c r="D322" i="35"/>
  <c r="D203" i="35"/>
  <c r="D101" i="35"/>
  <c r="D189" i="35"/>
  <c r="D6" i="35"/>
  <c r="D196" i="35"/>
  <c r="D233" i="35"/>
  <c r="D344" i="35"/>
  <c r="AB56" i="32"/>
  <c r="AB40" i="32"/>
  <c r="D166" i="1"/>
  <c r="D272" i="35"/>
  <c r="C3" i="37"/>
  <c r="D123" i="35"/>
  <c r="D12" i="32"/>
  <c r="AB12" i="32"/>
  <c r="D238" i="35"/>
  <c r="D244" i="35"/>
  <c r="D282" i="35"/>
  <c r="D42" i="35"/>
  <c r="D342" i="35"/>
  <c r="Z27" i="32"/>
  <c r="AB27" i="32"/>
  <c r="Z24" i="32"/>
  <c r="AB24" i="32"/>
  <c r="D308" i="35"/>
  <c r="D147" i="35"/>
  <c r="D75" i="35"/>
  <c r="D296" i="35"/>
  <c r="D312" i="35"/>
  <c r="D208" i="35"/>
  <c r="D222" i="35"/>
  <c r="D22" i="35"/>
  <c r="D181" i="35"/>
  <c r="D39" i="35"/>
  <c r="Y33" i="32"/>
  <c r="D20" i="35"/>
  <c r="D104" i="35"/>
  <c r="D279" i="35"/>
  <c r="D190" i="35"/>
  <c r="D26" i="35"/>
  <c r="D354" i="35"/>
  <c r="D269" i="35"/>
  <c r="D328" i="35"/>
  <c r="D29" i="35"/>
  <c r="D362" i="35"/>
  <c r="D107" i="35"/>
  <c r="D264" i="35"/>
  <c r="N5" i="1"/>
  <c r="D347" i="35"/>
  <c r="C6" i="37"/>
  <c r="D237" i="35"/>
  <c r="D298" i="35"/>
  <c r="D216" i="35"/>
  <c r="D277" i="35"/>
  <c r="D348" i="35"/>
  <c r="D44" i="35"/>
  <c r="D226" i="35"/>
  <c r="D177" i="35"/>
  <c r="D80" i="35"/>
  <c r="D106" i="35"/>
  <c r="D77" i="35"/>
  <c r="D35" i="35"/>
  <c r="D316" i="35"/>
  <c r="D62" i="35"/>
  <c r="D213" i="35"/>
  <c r="D78" i="35"/>
  <c r="D309" i="35"/>
  <c r="D336" i="35"/>
  <c r="D136" i="35"/>
  <c r="D255" i="35"/>
  <c r="D349" i="35"/>
  <c r="D88" i="35"/>
  <c r="D315" i="35"/>
  <c r="D151" i="35"/>
  <c r="C42" i="14"/>
  <c r="C38" i="14"/>
  <c r="C34" i="14"/>
  <c r="C30" i="14"/>
  <c r="C26" i="14"/>
  <c r="C22" i="14"/>
  <c r="C90" i="14"/>
  <c r="D87" i="14"/>
  <c r="C89" i="14"/>
  <c r="D88" i="14"/>
  <c r="C87" i="14"/>
  <c r="C88"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3" i="35"/>
  <c r="H250" i="35"/>
  <c r="H247" i="35"/>
  <c r="H223" i="35"/>
  <c r="H220" i="35"/>
  <c r="H217" i="35"/>
  <c r="H195" i="35"/>
  <c r="H172" i="35"/>
  <c r="H158" i="35"/>
  <c r="H129" i="35"/>
  <c r="H66" i="35"/>
  <c r="C43" i="14"/>
  <c r="D39" i="14"/>
  <c r="C39" i="14"/>
  <c r="C31" i="14"/>
  <c r="C27" i="14"/>
  <c r="C75" i="14"/>
  <c r="C71" i="14"/>
  <c r="C67" i="14"/>
  <c r="C62" i="14"/>
  <c r="C58" i="14"/>
  <c r="C54" i="14"/>
  <c r="C50" i="14"/>
  <c r="C46" i="14"/>
  <c r="C83" i="14"/>
  <c r="C79" i="14"/>
  <c r="D335" i="35"/>
  <c r="H341" i="35"/>
  <c r="D89" i="14"/>
  <c r="D90" i="14"/>
  <c r="C14" i="1"/>
  <c r="D247" i="35"/>
  <c r="D223" i="35"/>
  <c r="D195" i="35"/>
  <c r="D158" i="35"/>
  <c r="D129" i="35"/>
  <c r="D341" i="35"/>
  <c r="D273" i="35"/>
  <c r="D250" i="35"/>
  <c r="D220" i="35"/>
  <c r="D217" i="35"/>
  <c r="D172" i="35"/>
  <c r="D66" i="35"/>
  <c r="D294" i="35"/>
  <c r="AB49" i="32"/>
  <c r="K44" i="36"/>
  <c r="AB20" i="32"/>
  <c r="C7" i="36"/>
  <c r="G358" i="35"/>
  <c r="G341" i="35"/>
  <c r="G273" i="35"/>
  <c r="G250" i="35"/>
  <c r="G247" i="35"/>
  <c r="G223" i="35"/>
  <c r="G220" i="35"/>
  <c r="G217" i="35"/>
  <c r="G195" i="35"/>
  <c r="G172" i="35"/>
  <c r="G158" i="35"/>
  <c r="G129" i="35"/>
  <c r="G66" i="35"/>
  <c r="D41" i="35"/>
  <c r="D139" i="35"/>
  <c r="D56" i="35"/>
  <c r="D180" i="35"/>
  <c r="D242" i="35"/>
  <c r="D330" i="35"/>
  <c r="D297" i="35"/>
  <c r="D204" i="35"/>
  <c r="D125" i="35"/>
  <c r="C18" i="37"/>
  <c r="D327" i="35"/>
  <c r="D127" i="35"/>
  <c r="D262" i="35"/>
  <c r="D86" i="35"/>
  <c r="D15" i="35"/>
  <c r="D306" i="35"/>
  <c r="D268" i="35"/>
  <c r="D332" i="35"/>
  <c r="D170" i="35"/>
  <c r="D46" i="35"/>
  <c r="D239" i="35"/>
  <c r="D27" i="35"/>
  <c r="D167" i="35"/>
  <c r="D179" i="35"/>
  <c r="D58" i="35"/>
  <c r="D4" i="35"/>
  <c r="D295" i="35"/>
  <c r="D299" i="35"/>
  <c r="D314" i="35"/>
  <c r="D30" i="35"/>
  <c r="D37" i="35"/>
  <c r="D340" i="35"/>
  <c r="D79" i="35"/>
  <c r="D141" i="35"/>
  <c r="D65" i="35"/>
  <c r="D243" i="35"/>
  <c r="D320" i="35"/>
  <c r="D154" i="35"/>
  <c r="D61" i="35"/>
  <c r="D207" i="35"/>
  <c r="D317" i="35"/>
  <c r="D199" i="35"/>
  <c r="D124" i="35"/>
  <c r="D3" i="35"/>
  <c r="D276" i="35"/>
  <c r="D253" i="35"/>
  <c r="D249" i="35"/>
  <c r="D218" i="35"/>
  <c r="D50" i="35"/>
  <c r="D285" i="35"/>
  <c r="D96" i="35"/>
  <c r="D49" i="35"/>
  <c r="D350" i="35"/>
  <c r="D160" i="35"/>
  <c r="D186" i="35"/>
  <c r="C7" i="37"/>
  <c r="D355" i="35"/>
  <c r="D163" i="35"/>
  <c r="D63" i="35"/>
  <c r="C19" i="37"/>
  <c r="D117" i="35"/>
  <c r="C15" i="37"/>
  <c r="D144" i="35"/>
  <c r="D248" i="35"/>
  <c r="D240" i="35"/>
  <c r="C9" i="37"/>
  <c r="D194" i="35"/>
  <c r="D228" i="35"/>
  <c r="D85" i="35"/>
  <c r="D145" i="35"/>
  <c r="D102" i="35"/>
  <c r="D119" i="35"/>
  <c r="D10" i="35"/>
  <c r="D359" i="35"/>
  <c r="D73" i="35"/>
  <c r="D198" i="35"/>
  <c r="D246" i="35"/>
  <c r="D274" i="35"/>
  <c r="D301" i="35"/>
  <c r="D98" i="35"/>
  <c r="D178" i="35"/>
  <c r="D71" i="35"/>
  <c r="D325" i="35"/>
  <c r="D52" i="35"/>
  <c r="D95" i="35"/>
  <c r="D363" i="35"/>
  <c r="D224" i="35"/>
  <c r="AB8" i="32"/>
  <c r="F349" i="38"/>
  <c r="F307" i="38"/>
  <c r="F284" i="38"/>
  <c r="F298" i="38"/>
  <c r="F314" i="38"/>
  <c r="F271" i="38"/>
  <c r="F316" i="38"/>
  <c r="F269" i="38"/>
  <c r="F336" i="38"/>
  <c r="F300" i="38"/>
  <c r="F276" i="38"/>
  <c r="F331" i="38"/>
  <c r="F302" i="38"/>
  <c r="F308" i="38"/>
  <c r="F288" i="38"/>
  <c r="F296" i="38"/>
  <c r="F275" i="38"/>
  <c r="F309" i="38"/>
  <c r="F311" i="38"/>
  <c r="F346" i="38"/>
  <c r="F274" i="38"/>
  <c r="F340" i="38"/>
  <c r="F312" i="38"/>
  <c r="F303" i="38"/>
  <c r="F306" i="38"/>
  <c r="F320" i="38"/>
  <c r="F325" i="38"/>
  <c r="F318" i="38"/>
  <c r="F286" i="38"/>
  <c r="F327" i="38"/>
  <c r="F268" i="38"/>
  <c r="F299" i="38"/>
  <c r="F348" i="38"/>
  <c r="F322" i="38"/>
  <c r="F292" i="38"/>
  <c r="F324" i="38"/>
  <c r="F343" i="38"/>
  <c r="F313" i="38"/>
  <c r="F342" i="38"/>
  <c r="F335" i="38"/>
  <c r="F334" i="38"/>
  <c r="F319" i="38"/>
  <c r="F291" i="38"/>
  <c r="F341" i="38"/>
  <c r="F289" i="38"/>
  <c r="F297" i="38"/>
  <c r="F332" i="38"/>
  <c r="F261" i="38"/>
  <c r="F339" i="38"/>
  <c r="F273" i="38"/>
  <c r="F328" i="38"/>
  <c r="F293" i="38"/>
  <c r="F290" i="38"/>
  <c r="F333" i="38"/>
  <c r="F347" i="38"/>
  <c r="F279" i="38"/>
  <c r="F329" i="38"/>
  <c r="F338" i="38"/>
  <c r="F321" i="38"/>
  <c r="F267" i="38"/>
  <c r="F315" i="38"/>
  <c r="F287" i="38"/>
  <c r="F270" i="38"/>
  <c r="F301" i="38"/>
  <c r="F344" i="38"/>
  <c r="F265" i="38"/>
  <c r="F305" i="38"/>
  <c r="F310" i="38"/>
  <c r="F285" i="38"/>
  <c r="F294" i="38"/>
  <c r="F277" i="38"/>
  <c r="F281" i="38"/>
  <c r="F283" i="38"/>
  <c r="F304" i="38"/>
  <c r="F263" i="38"/>
  <c r="F266" i="38"/>
  <c r="F278" i="38"/>
  <c r="F272" i="38"/>
  <c r="F350" i="38"/>
  <c r="F295" i="38"/>
  <c r="F317" i="38"/>
  <c r="F337" i="38"/>
  <c r="F326" i="38"/>
  <c r="F345" i="38"/>
  <c r="F323" i="38"/>
  <c r="F330" i="38"/>
  <c r="F262" i="38"/>
  <c r="K57" i="10"/>
  <c r="G93" i="14"/>
  <c r="G91" i="8"/>
  <c r="G44" i="36"/>
  <c r="D49" i="11"/>
  <c r="D47" i="11"/>
  <c r="D48" i="11"/>
  <c r="L167" i="1"/>
  <c r="K148" i="2"/>
  <c r="H167" i="1"/>
  <c r="G148" i="2"/>
  <c r="E55" i="10"/>
  <c r="D92" i="14"/>
  <c r="C12" i="2"/>
  <c r="C13" i="1"/>
  <c r="D13" i="10"/>
  <c r="C13" i="8"/>
  <c r="C13" i="14"/>
  <c r="C13" i="2"/>
  <c r="Y5" i="32"/>
  <c r="C13" i="36"/>
  <c r="F456" i="34"/>
  <c r="D53" i="10"/>
  <c r="G54" i="31"/>
  <c r="C16" i="36"/>
  <c r="G55" i="31"/>
  <c r="C16" i="8"/>
  <c r="C12" i="1"/>
  <c r="C12" i="36"/>
  <c r="C12" i="8"/>
  <c r="C12" i="14"/>
  <c r="J93" i="14"/>
  <c r="K91" i="8"/>
  <c r="G53" i="31"/>
  <c r="C16" i="1"/>
  <c r="I440" i="34"/>
  <c r="M21" i="1"/>
  <c r="L86" i="1"/>
  <c r="AB64" i="32"/>
  <c r="E426" i="35"/>
  <c r="E430" i="35"/>
  <c r="E434" i="35"/>
  <c r="E438" i="35"/>
  <c r="E442" i="35"/>
  <c r="E416" i="35"/>
  <c r="E420" i="35"/>
  <c r="E414" i="35"/>
  <c r="E408" i="35"/>
  <c r="E400" i="35"/>
  <c r="E404" i="35"/>
  <c r="E384" i="35"/>
  <c r="E388" i="35"/>
  <c r="E392" i="35"/>
  <c r="E396" i="35"/>
  <c r="E425" i="35"/>
  <c r="E433" i="35"/>
  <c r="E441" i="35"/>
  <c r="E419" i="35"/>
  <c r="E413" i="35"/>
  <c r="E399" i="35"/>
  <c r="E407" i="35"/>
  <c r="E383" i="35"/>
  <c r="E391" i="35"/>
  <c r="E423" i="35"/>
  <c r="E427" i="35"/>
  <c r="E431" i="35"/>
  <c r="E435" i="35"/>
  <c r="E439" i="35"/>
  <c r="E443" i="35"/>
  <c r="E417" i="35"/>
  <c r="E421" i="35"/>
  <c r="E415" i="35"/>
  <c r="E411" i="35"/>
  <c r="E409" i="35"/>
  <c r="E401" i="35"/>
  <c r="E405" i="35"/>
  <c r="E381" i="35"/>
  <c r="E385" i="35"/>
  <c r="E389" i="35"/>
  <c r="E393" i="35"/>
  <c r="E397" i="35"/>
  <c r="E424" i="35"/>
  <c r="E428" i="35"/>
  <c r="E432" i="35"/>
  <c r="E436" i="35"/>
  <c r="E440" i="35"/>
  <c r="E444" i="35"/>
  <c r="E418" i="35"/>
  <c r="E422" i="35"/>
  <c r="E412" i="35"/>
  <c r="E410" i="35"/>
  <c r="E402" i="35"/>
  <c r="E406" i="35"/>
  <c r="E382" i="35"/>
  <c r="E386" i="35"/>
  <c r="E390" i="35"/>
  <c r="E394" i="35"/>
  <c r="E398" i="35"/>
  <c r="E429" i="35"/>
  <c r="E437" i="35"/>
  <c r="E403" i="35"/>
  <c r="E387" i="35"/>
  <c r="E395" i="35"/>
  <c r="C424" i="35"/>
  <c r="C428" i="35"/>
  <c r="C432" i="35"/>
  <c r="C436" i="35"/>
  <c r="C440" i="35"/>
  <c r="C444" i="35"/>
  <c r="C418" i="35"/>
  <c r="C422" i="35"/>
  <c r="C412" i="35"/>
  <c r="C410" i="35"/>
  <c r="C402" i="35"/>
  <c r="C406" i="35"/>
  <c r="C384" i="35"/>
  <c r="C388" i="35"/>
  <c r="C392" i="35"/>
  <c r="C396" i="35"/>
  <c r="C425" i="35"/>
  <c r="C429" i="35"/>
  <c r="C433" i="35"/>
  <c r="C437" i="35"/>
  <c r="C441" i="35"/>
  <c r="C419" i="35"/>
  <c r="C413" i="35"/>
  <c r="C411" i="35"/>
  <c r="C399" i="35"/>
  <c r="C403" i="35"/>
  <c r="C407" i="35"/>
  <c r="C381" i="35"/>
  <c r="C385" i="35"/>
  <c r="C389" i="35"/>
  <c r="C393" i="35"/>
  <c r="C397" i="35"/>
  <c r="C426" i="35"/>
  <c r="C430" i="35"/>
  <c r="C434" i="35"/>
  <c r="C438" i="35"/>
  <c r="C442" i="35"/>
  <c r="C416" i="35"/>
  <c r="C420" i="35"/>
  <c r="C414" i="35"/>
  <c r="C408" i="35"/>
  <c r="C400" i="35"/>
  <c r="C404" i="35"/>
  <c r="C382" i="35"/>
  <c r="C386" i="35"/>
  <c r="C390" i="35"/>
  <c r="C394" i="35"/>
  <c r="C398" i="35"/>
  <c r="C423" i="35"/>
  <c r="C427" i="35"/>
  <c r="C431" i="35"/>
  <c r="C435" i="35"/>
  <c r="C439" i="35"/>
  <c r="C443" i="35"/>
  <c r="C417" i="35"/>
  <c r="C421" i="35"/>
  <c r="C415" i="35"/>
  <c r="C409" i="35"/>
  <c r="C401" i="35"/>
  <c r="C405" i="35"/>
  <c r="C383" i="35"/>
  <c r="C387" i="35"/>
  <c r="C391" i="35"/>
  <c r="C395" i="35"/>
  <c r="Y3" i="33"/>
  <c r="I456" i="34"/>
  <c r="D33" i="37"/>
  <c r="D32" i="37"/>
  <c r="D28" i="37"/>
  <c r="D31" i="37"/>
  <c r="D27" i="37"/>
  <c r="E68" i="35"/>
  <c r="D29" i="37"/>
  <c r="D34" i="37"/>
  <c r="D25" i="37"/>
  <c r="D30" i="37"/>
  <c r="D26" i="37"/>
  <c r="I33" i="37"/>
  <c r="I32" i="37"/>
  <c r="I28" i="37"/>
  <c r="I31" i="37"/>
  <c r="I27" i="37"/>
  <c r="C68" i="35"/>
  <c r="I34" i="37"/>
  <c r="I25" i="37"/>
  <c r="I30" i="37"/>
  <c r="I29" i="37"/>
  <c r="I26" i="37"/>
  <c r="D46" i="11"/>
  <c r="C272" i="35"/>
  <c r="D22" i="1"/>
  <c r="D21" i="1"/>
  <c r="I35" i="37"/>
  <c r="C331" i="35"/>
  <c r="C99" i="35"/>
  <c r="C348" i="35"/>
  <c r="C268" i="35"/>
  <c r="C326" i="35"/>
  <c r="C339" i="35"/>
  <c r="C323" i="35"/>
  <c r="C262" i="35"/>
  <c r="C125" i="35"/>
  <c r="C44" i="35"/>
  <c r="C340" i="35"/>
  <c r="C102" i="35"/>
  <c r="C191" i="35"/>
  <c r="C147" i="35"/>
  <c r="C172" i="35"/>
  <c r="C372" i="35"/>
  <c r="C344" i="35"/>
  <c r="C194" i="35"/>
  <c r="C33" i="35"/>
  <c r="C142" i="35"/>
  <c r="C283" i="35"/>
  <c r="C223" i="35"/>
  <c r="C375" i="35"/>
  <c r="C73" i="35"/>
  <c r="C132" i="35"/>
  <c r="C173" i="35"/>
  <c r="C358" i="35"/>
  <c r="C53" i="35"/>
  <c r="C13" i="35"/>
  <c r="I9" i="37"/>
  <c r="C307" i="35"/>
  <c r="C354" i="35"/>
  <c r="C107" i="35"/>
  <c r="C154" i="35"/>
  <c r="C179" i="35"/>
  <c r="C327" i="35"/>
  <c r="C295" i="35"/>
  <c r="C124" i="35"/>
  <c r="C118" i="35"/>
  <c r="C341" i="35"/>
  <c r="C366" i="35"/>
  <c r="I22" i="37"/>
  <c r="C55" i="35"/>
  <c r="C182" i="35"/>
  <c r="C46" i="35"/>
  <c r="C309" i="35"/>
  <c r="C130" i="35"/>
  <c r="C274" i="35"/>
  <c r="C138" i="35"/>
  <c r="C228" i="35"/>
  <c r="C87" i="35"/>
  <c r="C167" i="35"/>
  <c r="C199" i="35"/>
  <c r="C233" i="35"/>
  <c r="C160" i="35"/>
  <c r="C312" i="35"/>
  <c r="C252" i="35"/>
  <c r="C260" i="35"/>
  <c r="I15" i="37"/>
  <c r="C204" i="35"/>
  <c r="C365" i="35"/>
  <c r="C253" i="35"/>
  <c r="C297" i="35"/>
  <c r="C287" i="35"/>
  <c r="C94" i="35"/>
  <c r="C116" i="35"/>
  <c r="C214" i="35"/>
  <c r="C36" i="35"/>
  <c r="C70" i="35"/>
  <c r="C251" i="35"/>
  <c r="C133" i="35"/>
  <c r="C355" i="35"/>
  <c r="C343" i="35"/>
  <c r="C89" i="35"/>
  <c r="C27" i="35"/>
  <c r="C100" i="35"/>
  <c r="C205" i="35"/>
  <c r="C25" i="35"/>
  <c r="C226" i="35"/>
  <c r="C76" i="35"/>
  <c r="C270" i="35"/>
  <c r="C66" i="35"/>
  <c r="C195" i="35"/>
  <c r="C247" i="35"/>
  <c r="C190" i="35"/>
  <c r="C377" i="35"/>
  <c r="C378" i="35"/>
  <c r="C368" i="35"/>
  <c r="C371" i="35"/>
  <c r="C379" i="35"/>
  <c r="C85" i="35"/>
  <c r="C286" i="35"/>
  <c r="I3" i="37"/>
  <c r="C249" i="35"/>
  <c r="C178" i="35"/>
  <c r="C329" i="35"/>
  <c r="C121" i="35"/>
  <c r="C186" i="35"/>
  <c r="C127" i="35"/>
  <c r="C279" i="35"/>
  <c r="C345" i="35"/>
  <c r="C10" i="35"/>
  <c r="C291" i="35"/>
  <c r="C34" i="35"/>
  <c r="C210" i="35"/>
  <c r="C328" i="35"/>
  <c r="C18" i="35"/>
  <c r="C197" i="35"/>
  <c r="C8" i="35"/>
  <c r="C42" i="35"/>
  <c r="C330" i="35"/>
  <c r="C267" i="35"/>
  <c r="C177" i="35"/>
  <c r="C189" i="35"/>
  <c r="C288" i="35"/>
  <c r="C333" i="35"/>
  <c r="C278" i="35"/>
  <c r="C22" i="35"/>
  <c r="C284" i="35"/>
  <c r="C181" i="35"/>
  <c r="C153" i="35"/>
  <c r="C208" i="35"/>
  <c r="C115" i="35"/>
  <c r="C69" i="35"/>
  <c r="I2" i="37"/>
  <c r="C95" i="35"/>
  <c r="C103" i="35"/>
  <c r="C280" i="35"/>
  <c r="C246" i="35"/>
  <c r="I12" i="37"/>
  <c r="C151" i="35"/>
  <c r="C230" i="35"/>
  <c r="C14" i="35"/>
  <c r="C146" i="35"/>
  <c r="C77" i="35"/>
  <c r="I8" i="37"/>
  <c r="C41" i="35"/>
  <c r="C239" i="35"/>
  <c r="C15" i="35"/>
  <c r="C203" i="35"/>
  <c r="I14" i="37"/>
  <c r="C359" i="35"/>
  <c r="C40" i="35"/>
  <c r="C28" i="35"/>
  <c r="C188" i="35"/>
  <c r="C21" i="35"/>
  <c r="C224" i="35"/>
  <c r="C261" i="35"/>
  <c r="C7" i="35"/>
  <c r="C298" i="35"/>
  <c r="C38" i="35"/>
  <c r="I19" i="37"/>
  <c r="C324" i="35"/>
  <c r="I7" i="37"/>
  <c r="I4" i="37"/>
  <c r="C129" i="35"/>
  <c r="C250" i="35"/>
  <c r="C374" i="35"/>
  <c r="C373" i="35"/>
  <c r="C364" i="35"/>
  <c r="C367" i="35"/>
  <c r="I21" i="37"/>
  <c r="C285" i="35"/>
  <c r="C86" i="35"/>
  <c r="C88" i="35"/>
  <c r="C321" i="35"/>
  <c r="C80" i="35"/>
  <c r="C51" i="35"/>
  <c r="C305" i="35"/>
  <c r="C9" i="35"/>
  <c r="C165" i="35"/>
  <c r="C202" i="35"/>
  <c r="C122" i="35"/>
  <c r="C56" i="35"/>
  <c r="C238" i="35"/>
  <c r="C276" i="35"/>
  <c r="C58" i="35"/>
  <c r="C258" i="35"/>
  <c r="C162" i="35"/>
  <c r="C164" i="35"/>
  <c r="C304" i="35"/>
  <c r="C152" i="35"/>
  <c r="C244" i="35"/>
  <c r="C11" i="35"/>
  <c r="C234" i="35"/>
  <c r="C187" i="35"/>
  <c r="C144" i="35"/>
  <c r="C221" i="35"/>
  <c r="C159" i="35"/>
  <c r="C72" i="35"/>
  <c r="C98" i="35"/>
  <c r="C320" i="35"/>
  <c r="C101" i="35"/>
  <c r="C30" i="35"/>
  <c r="C4" i="35"/>
  <c r="C20" i="35"/>
  <c r="C92" i="35"/>
  <c r="C48" i="35"/>
  <c r="C175" i="35"/>
  <c r="C265" i="35"/>
  <c r="C277" i="35"/>
  <c r="C12" i="35"/>
  <c r="C259" i="35"/>
  <c r="I20" i="37"/>
  <c r="C16" i="35"/>
  <c r="C332" i="35"/>
  <c r="C303" i="35"/>
  <c r="C322" i="35"/>
  <c r="C6" i="35"/>
  <c r="I10" i="37"/>
  <c r="C240" i="35"/>
  <c r="C81" i="35"/>
  <c r="C140" i="35"/>
  <c r="C65" i="35"/>
  <c r="C71" i="35"/>
  <c r="C347" i="35"/>
  <c r="C64" i="35"/>
  <c r="C24" i="35"/>
  <c r="C206" i="35"/>
  <c r="I16" i="37"/>
  <c r="C219" i="35"/>
  <c r="C174" i="35"/>
  <c r="C257" i="35"/>
  <c r="C79" i="35"/>
  <c r="C54" i="35"/>
  <c r="C207" i="35"/>
  <c r="C292" i="35"/>
  <c r="C362" i="35"/>
  <c r="C91" i="35"/>
  <c r="C222" i="35"/>
  <c r="C5" i="35"/>
  <c r="C141" i="35"/>
  <c r="C217" i="35"/>
  <c r="C185" i="35"/>
  <c r="C170" i="35"/>
  <c r="C192" i="35"/>
  <c r="C311" i="35"/>
  <c r="C158" i="35"/>
  <c r="C220" i="35"/>
  <c r="C273" i="35"/>
  <c r="C213" i="35"/>
  <c r="C370" i="35"/>
  <c r="C369" i="35"/>
  <c r="C376" i="35"/>
  <c r="I23" i="37"/>
  <c r="C380" i="35"/>
  <c r="C49" i="35"/>
  <c r="C180" i="35"/>
  <c r="C29" i="35"/>
  <c r="C301" i="35"/>
  <c r="C269" i="35"/>
  <c r="C316" i="35"/>
  <c r="C215" i="35"/>
  <c r="C183" i="35"/>
  <c r="C237" i="35"/>
  <c r="C139" i="35"/>
  <c r="C302" i="35"/>
  <c r="C275" i="35"/>
  <c r="C198" i="35"/>
  <c r="C176" i="35"/>
  <c r="C32" i="35"/>
  <c r="C356" i="35"/>
  <c r="C263" i="35"/>
  <c r="C17" i="35"/>
  <c r="C254" i="35"/>
  <c r="I6" i="37"/>
  <c r="C293" i="35"/>
  <c r="C266" i="35"/>
  <c r="C111" i="35"/>
  <c r="C104" i="35"/>
  <c r="C149" i="35"/>
  <c r="C45" i="35"/>
  <c r="C318" i="35"/>
  <c r="C200" i="35"/>
  <c r="C75" i="35"/>
  <c r="C82" i="35"/>
  <c r="C120" i="35"/>
  <c r="C114" i="35"/>
  <c r="C119" i="35"/>
  <c r="C342" i="35"/>
  <c r="C112" i="35"/>
  <c r="C126" i="35"/>
  <c r="C308" i="35"/>
  <c r="C60" i="35"/>
  <c r="I5" i="37"/>
  <c r="C350" i="35"/>
  <c r="C117" i="35"/>
  <c r="C135" i="35"/>
  <c r="C78" i="35"/>
  <c r="C93" i="35"/>
  <c r="C163" i="35"/>
  <c r="C290" i="35"/>
  <c r="J1" i="33"/>
  <c r="C3" i="35"/>
  <c r="C83" i="35"/>
  <c r="C294" i="35"/>
  <c r="C271" i="35"/>
  <c r="C155" i="35"/>
  <c r="C245" i="35"/>
  <c r="C131" i="35"/>
  <c r="C47" i="35"/>
  <c r="C334" i="35"/>
  <c r="I11" i="37"/>
  <c r="C289" i="35"/>
  <c r="C361" i="35"/>
  <c r="C26" i="35"/>
  <c r="C128" i="35"/>
  <c r="C43" i="35"/>
  <c r="C2" i="35"/>
  <c r="I18" i="37"/>
  <c r="C35" i="35"/>
  <c r="C357" i="35"/>
  <c r="C105" i="35"/>
  <c r="C150" i="35"/>
  <c r="C201" i="35"/>
  <c r="C171" i="35"/>
  <c r="C317" i="35"/>
  <c r="C299" i="35"/>
  <c r="C50" i="35"/>
  <c r="I17" i="37"/>
  <c r="C212" i="35"/>
  <c r="C338" i="35"/>
  <c r="C229" i="35"/>
  <c r="C39" i="35"/>
  <c r="C19" i="35"/>
  <c r="C255" i="35"/>
  <c r="C63" i="35"/>
  <c r="C52" i="35"/>
  <c r="C59" i="35"/>
  <c r="C313" i="35"/>
  <c r="C109" i="35"/>
  <c r="C31" i="35"/>
  <c r="C67" i="35"/>
  <c r="C231" i="35"/>
  <c r="C169" i="35"/>
  <c r="C281" i="35"/>
  <c r="C248" i="35"/>
  <c r="C319" i="35"/>
  <c r="C315" i="35"/>
  <c r="C264" i="35"/>
  <c r="C161" i="35"/>
  <c r="C232" i="35"/>
  <c r="I13" i="37"/>
  <c r="C61" i="35"/>
  <c r="C243" i="35"/>
  <c r="C325" i="35"/>
  <c r="C148" i="35"/>
  <c r="C235" i="35"/>
  <c r="C96" i="35"/>
  <c r="C134" i="35"/>
  <c r="C193" i="35"/>
  <c r="C136" i="35"/>
  <c r="C363" i="35"/>
  <c r="C196" i="35"/>
  <c r="C306" i="35"/>
  <c r="C296" i="35"/>
  <c r="C227" i="35"/>
  <c r="C110" i="35"/>
  <c r="C349" i="35"/>
  <c r="C106" i="35"/>
  <c r="C352" i="35"/>
  <c r="C300" i="35"/>
  <c r="C84" i="35"/>
  <c r="C256" i="35"/>
  <c r="C113" i="35"/>
  <c r="C360" i="35"/>
  <c r="C7" i="14"/>
  <c r="C7" i="2"/>
  <c r="D7" i="10"/>
  <c r="C7" i="8"/>
  <c r="D148" i="2"/>
  <c r="D92" i="8"/>
  <c r="E57" i="10"/>
  <c r="D94" i="14"/>
  <c r="D45" i="36"/>
  <c r="P7" i="10"/>
  <c r="L7" i="8"/>
  <c r="K7" i="14"/>
  <c r="L7" i="36"/>
  <c r="L7" i="2"/>
  <c r="I24" i="37"/>
  <c r="L9" i="2"/>
  <c r="Q9" i="10"/>
  <c r="L9" i="8"/>
  <c r="K9" i="14"/>
  <c r="L9" i="36"/>
  <c r="O56" i="10"/>
  <c r="C10" i="14"/>
  <c r="C10" i="2"/>
  <c r="C10" i="36"/>
  <c r="C10" i="8"/>
  <c r="D10" i="10"/>
  <c r="D146" i="2"/>
  <c r="D43" i="36"/>
  <c r="D90" i="8"/>
  <c r="D8" i="8"/>
  <c r="D8" i="36"/>
  <c r="E8" i="10"/>
  <c r="D8" i="14"/>
  <c r="D8" i="2"/>
  <c r="C57" i="35"/>
  <c r="C123" i="35"/>
  <c r="C145" i="35"/>
  <c r="C137" i="35"/>
  <c r="C184" i="35"/>
  <c r="C143" i="35"/>
  <c r="C90" i="35"/>
  <c r="C37" i="35"/>
  <c r="C236" i="35"/>
  <c r="C225" i="35"/>
  <c r="C209" i="35"/>
  <c r="C346" i="35"/>
  <c r="C241" i="35"/>
  <c r="C282" i="35"/>
  <c r="C310" i="35"/>
  <c r="C157" i="35"/>
  <c r="C218" i="35"/>
  <c r="C351" i="35"/>
  <c r="C23" i="35"/>
  <c r="C97" i="35"/>
  <c r="C242" i="35"/>
  <c r="C108" i="35"/>
  <c r="C314" i="35"/>
  <c r="C74" i="35"/>
  <c r="C166" i="35"/>
  <c r="C211" i="35"/>
  <c r="C62" i="35"/>
  <c r="C353" i="35"/>
  <c r="C216" i="35"/>
  <c r="C156" i="35"/>
  <c r="C337" i="35"/>
  <c r="C168" i="35"/>
  <c r="C336" i="35"/>
  <c r="C335" i="35"/>
  <c r="N50" i="1"/>
  <c r="E248" i="35"/>
  <c r="E217" i="35"/>
  <c r="E159" i="35"/>
  <c r="Z5" i="32"/>
  <c r="M52" i="1"/>
  <c r="F428" i="34"/>
  <c r="F424" i="34"/>
  <c r="E224" i="35"/>
  <c r="D35" i="37"/>
  <c r="D24" i="37"/>
  <c r="D8" i="1"/>
  <c r="E42" i="35"/>
  <c r="E137" i="35"/>
  <c r="E28" i="35"/>
  <c r="E125" i="35"/>
  <c r="E228" i="35"/>
  <c r="D17" i="37"/>
  <c r="E300" i="35"/>
  <c r="D6" i="37"/>
  <c r="M83" i="1"/>
  <c r="E215" i="35"/>
  <c r="E341" i="35"/>
  <c r="E45" i="35"/>
  <c r="E166" i="35"/>
  <c r="E93" i="35"/>
  <c r="E69" i="35"/>
  <c r="E154" i="35"/>
  <c r="E66" i="35"/>
  <c r="E50" i="35"/>
  <c r="E256" i="35"/>
  <c r="E186" i="35"/>
  <c r="E23" i="35"/>
  <c r="E187" i="35"/>
  <c r="E237" i="35"/>
  <c r="E195" i="35"/>
  <c r="E323" i="35"/>
  <c r="E208" i="35"/>
  <c r="E304" i="35"/>
  <c r="E17" i="35"/>
  <c r="E259" i="35"/>
  <c r="E233" i="35"/>
  <c r="E90" i="35"/>
  <c r="E109" i="35"/>
  <c r="E298" i="35"/>
  <c r="E247" i="35"/>
  <c r="E336" i="35"/>
  <c r="E205" i="35"/>
  <c r="E99" i="35"/>
  <c r="E324" i="35"/>
  <c r="L9" i="1"/>
  <c r="E19" i="35"/>
  <c r="E235" i="35"/>
  <c r="E98" i="35"/>
  <c r="E82" i="35"/>
  <c r="E182" i="35"/>
  <c r="E350" i="35"/>
  <c r="E225" i="35"/>
  <c r="D13" i="37"/>
  <c r="E22" i="35"/>
  <c r="E355" i="35"/>
  <c r="E271" i="35"/>
  <c r="E283" i="35"/>
  <c r="E172" i="35"/>
  <c r="E250" i="35"/>
  <c r="E268" i="35"/>
  <c r="E332" i="35"/>
  <c r="E107" i="35"/>
  <c r="E58" i="35"/>
  <c r="E128" i="35"/>
  <c r="E11" i="35"/>
  <c r="E16" i="35"/>
  <c r="E243" i="35"/>
  <c r="E43" i="35"/>
  <c r="E173" i="35"/>
  <c r="E114" i="35"/>
  <c r="E343" i="35"/>
  <c r="E314" i="35"/>
  <c r="E282" i="35"/>
  <c r="D12" i="37"/>
  <c r="E130" i="35"/>
  <c r="E347" i="35"/>
  <c r="E239" i="35"/>
  <c r="E76" i="35"/>
  <c r="E81" i="35"/>
  <c r="E328" i="35"/>
  <c r="E293" i="35"/>
  <c r="D8" i="37"/>
  <c r="E242" i="35"/>
  <c r="E303" i="35"/>
  <c r="E198" i="35"/>
  <c r="E246" i="35"/>
  <c r="E136" i="35"/>
  <c r="E274" i="35"/>
  <c r="E129" i="35"/>
  <c r="E223" i="35"/>
  <c r="E330" i="35"/>
  <c r="D5" i="37"/>
  <c r="E272" i="35"/>
  <c r="E315" i="35"/>
  <c r="E344" i="35"/>
  <c r="E216" i="35"/>
  <c r="E288" i="35"/>
  <c r="E185" i="35"/>
  <c r="E167" i="35"/>
  <c r="E31" i="35"/>
  <c r="E179" i="35"/>
  <c r="E188" i="35"/>
  <c r="E25" i="35"/>
  <c r="E59" i="35"/>
  <c r="D20" i="37"/>
  <c r="E8" i="35"/>
  <c r="E144" i="35"/>
  <c r="E253" i="35"/>
  <c r="E5" i="35"/>
  <c r="E24" i="35"/>
  <c r="E204" i="35"/>
  <c r="E49" i="35"/>
  <c r="E117" i="35"/>
  <c r="E92" i="35"/>
  <c r="E110" i="35"/>
  <c r="E326" i="35"/>
  <c r="E158" i="35"/>
  <c r="E220" i="35"/>
  <c r="E273" i="35"/>
  <c r="D9" i="37"/>
  <c r="E80" i="35"/>
  <c r="E120" i="35"/>
  <c r="E155" i="35"/>
  <c r="E199" i="35"/>
  <c r="D7" i="37"/>
  <c r="E196" i="35"/>
  <c r="E226" i="35"/>
  <c r="D14" i="37"/>
  <c r="E292" i="35"/>
  <c r="E192" i="35"/>
  <c r="E146" i="35"/>
  <c r="E124" i="35"/>
  <c r="E200" i="35"/>
  <c r="E72" i="35"/>
  <c r="E193" i="35"/>
  <c r="E270" i="35"/>
  <c r="E118" i="35"/>
  <c r="E61" i="35"/>
  <c r="E127" i="35"/>
  <c r="D4" i="37"/>
  <c r="E362" i="35"/>
  <c r="E56" i="35"/>
  <c r="E73" i="35"/>
  <c r="E101" i="35"/>
  <c r="F438" i="34"/>
  <c r="F444" i="34"/>
  <c r="E86" i="35"/>
  <c r="E134" i="35"/>
  <c r="E63" i="35"/>
  <c r="E276" i="35"/>
  <c r="E119" i="35"/>
  <c r="E168" i="35"/>
  <c r="E265" i="35"/>
  <c r="E206" i="35"/>
  <c r="E313" i="35"/>
  <c r="E103" i="35"/>
  <c r="E334" i="35"/>
  <c r="E306" i="35"/>
  <c r="D21" i="37"/>
  <c r="E370" i="35"/>
  <c r="D22" i="37"/>
  <c r="E378" i="35"/>
  <c r="E367" i="35"/>
  <c r="E371" i="35"/>
  <c r="E375" i="35"/>
  <c r="D23" i="37"/>
  <c r="E379" i="35"/>
  <c r="E364" i="35"/>
  <c r="E368" i="35"/>
  <c r="E372" i="35"/>
  <c r="E376" i="35"/>
  <c r="E380" i="35"/>
  <c r="E365" i="35"/>
  <c r="E369" i="35"/>
  <c r="E373" i="35"/>
  <c r="E377" i="35"/>
  <c r="E366" i="35"/>
  <c r="E374" i="35"/>
  <c r="E234" i="35"/>
  <c r="N7" i="1"/>
  <c r="E140" i="35"/>
  <c r="E291" i="35"/>
  <c r="D20" i="10"/>
  <c r="E191" i="35"/>
  <c r="E275" i="35"/>
  <c r="E337" i="35"/>
  <c r="E84" i="35"/>
  <c r="E245" i="35"/>
  <c r="E308" i="35"/>
  <c r="E143" i="35"/>
  <c r="E54" i="35"/>
  <c r="E96" i="35"/>
  <c r="E97" i="35"/>
  <c r="E4" i="35"/>
  <c r="D18" i="37"/>
  <c r="E241" i="35"/>
  <c r="E354" i="35"/>
  <c r="E266" i="35"/>
  <c r="E278" i="35"/>
  <c r="E149" i="35"/>
  <c r="E327" i="35"/>
  <c r="E67" i="35"/>
  <c r="E71" i="35"/>
  <c r="E230" i="35"/>
  <c r="E170" i="35"/>
  <c r="E74" i="35"/>
  <c r="E301" i="35"/>
  <c r="E183" i="35"/>
  <c r="E78" i="35"/>
  <c r="E163" i="35"/>
  <c r="E290" i="35"/>
  <c r="E194" i="35"/>
  <c r="E169" i="35"/>
  <c r="E14" i="35"/>
  <c r="E255" i="35"/>
  <c r="E113" i="35"/>
  <c r="E65" i="35"/>
  <c r="E151" i="35"/>
  <c r="E123" i="35"/>
  <c r="E351" i="35"/>
  <c r="E44" i="35"/>
  <c r="E311" i="35"/>
  <c r="E171" i="35"/>
  <c r="D2" i="37"/>
  <c r="E47" i="35"/>
  <c r="E331" i="35"/>
  <c r="E162" i="35"/>
  <c r="E353" i="35"/>
  <c r="D16" i="37"/>
  <c r="E184" i="35"/>
  <c r="E52" i="35"/>
  <c r="E32" i="35"/>
  <c r="E89" i="35"/>
  <c r="E77" i="35"/>
  <c r="E345" i="35"/>
  <c r="D10" i="37"/>
  <c r="E358" i="35"/>
  <c r="E348" i="35"/>
  <c r="E83" i="35"/>
  <c r="E352" i="35"/>
  <c r="E29" i="35"/>
  <c r="E346" i="35"/>
  <c r="E289" i="35"/>
  <c r="E36" i="35"/>
  <c r="E267" i="35"/>
  <c r="E316" i="35"/>
  <c r="E262" i="35"/>
  <c r="E121" i="35"/>
  <c r="E295" i="35"/>
  <c r="E285" i="35"/>
  <c r="E260" i="35"/>
  <c r="E64" i="35"/>
  <c r="E240" i="35"/>
  <c r="E177" i="35"/>
  <c r="E33" i="35"/>
  <c r="E106" i="35"/>
  <c r="E175" i="35"/>
  <c r="E160" i="35"/>
  <c r="E277" i="35"/>
  <c r="D3" i="37"/>
  <c r="E94" i="35"/>
  <c r="E333" i="35"/>
  <c r="E279" i="35"/>
  <c r="E319" i="35"/>
  <c r="E335" i="35"/>
  <c r="E41" i="35"/>
  <c r="E359" i="35"/>
  <c r="E280" i="35"/>
  <c r="E322" i="35"/>
  <c r="E257" i="35"/>
  <c r="E357" i="35"/>
  <c r="E51" i="35"/>
  <c r="E122" i="35"/>
  <c r="E46" i="35"/>
  <c r="E91" i="35"/>
  <c r="E310" i="35"/>
  <c r="E39" i="35"/>
  <c r="E2" i="35"/>
  <c r="E102" i="35"/>
  <c r="E48" i="35"/>
  <c r="E156" i="35"/>
  <c r="D11" i="37"/>
  <c r="E145" i="35"/>
  <c r="E174" i="35"/>
  <c r="E34" i="35"/>
  <c r="E210" i="35"/>
  <c r="E296" i="35"/>
  <c r="E338" i="35"/>
  <c r="E37" i="35"/>
  <c r="E287" i="35"/>
  <c r="E40" i="35"/>
  <c r="E281" i="35"/>
  <c r="E286" i="35"/>
  <c r="E141" i="35"/>
  <c r="E356" i="35"/>
  <c r="E27" i="35"/>
  <c r="E213" i="35"/>
  <c r="E105" i="35"/>
  <c r="E152" i="35"/>
  <c r="E176" i="35"/>
  <c r="E138" i="35"/>
  <c r="E317" i="35"/>
  <c r="E249" i="35"/>
  <c r="E214" i="35"/>
  <c r="D15" i="37"/>
  <c r="E62" i="35"/>
  <c r="E21" i="35"/>
  <c r="E18" i="35"/>
  <c r="E207" i="35"/>
  <c r="E104" i="35"/>
  <c r="E264" i="35"/>
  <c r="E35" i="35"/>
  <c r="E53" i="35"/>
  <c r="E361" i="35"/>
  <c r="E111" i="35"/>
  <c r="E231" i="35"/>
  <c r="E116" i="35"/>
  <c r="E20" i="35"/>
  <c r="E100" i="35"/>
  <c r="E261" i="35"/>
  <c r="E3" i="35"/>
  <c r="E229" i="35"/>
  <c r="E320" i="35"/>
  <c r="E329" i="35"/>
  <c r="E165" i="35"/>
  <c r="E221" i="35"/>
  <c r="E189" i="35"/>
  <c r="E305" i="35"/>
  <c r="E161" i="35"/>
  <c r="E7" i="35"/>
  <c r="E302" i="35"/>
  <c r="E325" i="35"/>
  <c r="E263" i="35"/>
  <c r="E181" i="35"/>
  <c r="E26" i="35"/>
  <c r="E38" i="35"/>
  <c r="E13" i="35"/>
  <c r="E307" i="35"/>
  <c r="E318" i="35"/>
  <c r="D19" i="37"/>
  <c r="E363" i="35"/>
  <c r="E360" i="35"/>
  <c r="E222" i="35"/>
  <c r="E85" i="35"/>
  <c r="E131" i="35"/>
  <c r="E203" i="35"/>
  <c r="E75" i="35"/>
  <c r="E10" i="35"/>
  <c r="E244" i="35"/>
  <c r="E180" i="35"/>
  <c r="E148" i="35"/>
  <c r="E258" i="35"/>
  <c r="E132" i="35"/>
  <c r="E135" i="35"/>
  <c r="E297" i="35"/>
  <c r="E55" i="35"/>
  <c r="E9" i="35"/>
  <c r="E190" i="35"/>
  <c r="E349" i="35"/>
  <c r="E211" i="35"/>
  <c r="E79" i="35"/>
  <c r="E269" i="35"/>
  <c r="E284" i="35"/>
  <c r="E95" i="35"/>
  <c r="E60" i="35"/>
  <c r="E197" i="35"/>
  <c r="E157" i="35"/>
  <c r="E294" i="35"/>
  <c r="E299" i="35"/>
  <c r="E312" i="35"/>
  <c r="E321" i="35"/>
  <c r="E212" i="35"/>
  <c r="E227" i="35"/>
  <c r="E126" i="35"/>
  <c r="E147" i="35"/>
  <c r="E340" i="35"/>
  <c r="E133" i="35"/>
  <c r="E57" i="35"/>
  <c r="E87" i="35"/>
  <c r="E219" i="35"/>
  <c r="E178" i="35"/>
  <c r="E115" i="35"/>
  <c r="E108" i="35"/>
  <c r="E252" i="35"/>
  <c r="E251" i="35"/>
  <c r="E153" i="35"/>
  <c r="E30" i="35"/>
  <c r="E15" i="35"/>
  <c r="E202" i="35"/>
  <c r="E70" i="35"/>
  <c r="E88" i="35"/>
  <c r="E201" i="35"/>
  <c r="E112" i="35"/>
  <c r="E139" i="35"/>
  <c r="E236" i="35"/>
  <c r="E12" i="35"/>
  <c r="E218" i="35"/>
  <c r="E232" i="35"/>
  <c r="E254" i="35"/>
  <c r="E150" i="35"/>
  <c r="E209" i="35"/>
  <c r="E6" i="35"/>
  <c r="E339" i="35"/>
  <c r="E238" i="35"/>
  <c r="E142" i="35"/>
  <c r="E164" i="35"/>
  <c r="E309" i="35"/>
  <c r="E342" i="35"/>
  <c r="C10" i="1"/>
  <c r="D23" i="10"/>
  <c r="D27" i="10"/>
  <c r="C7" i="1"/>
  <c r="M85" i="1"/>
  <c r="C16" i="2"/>
  <c r="N42" i="1"/>
  <c r="N21" i="1"/>
  <c r="N86" i="1"/>
  <c r="D45" i="11"/>
  <c r="M86" i="1"/>
  <c r="D30" i="10"/>
  <c r="D37" i="10"/>
  <c r="D21" i="10"/>
  <c r="D26" i="10"/>
  <c r="D40" i="10"/>
  <c r="D22" i="10"/>
  <c r="D35" i="10"/>
  <c r="D25" i="10"/>
  <c r="D28" i="10"/>
  <c r="D38" i="10"/>
  <c r="D39" i="10"/>
  <c r="D24" i="10"/>
  <c r="D33" i="10"/>
  <c r="D41" i="10"/>
  <c r="D34" i="10"/>
  <c r="D36" i="10"/>
  <c r="D31" i="10"/>
  <c r="D32" i="10"/>
  <c r="M87" i="1"/>
  <c r="C46" i="11"/>
  <c r="O25" i="10"/>
  <c r="Q25" i="10"/>
  <c r="O31" i="10"/>
  <c r="O34" i="10"/>
  <c r="Q31" i="10"/>
  <c r="O37" i="10"/>
  <c r="D50" i="11"/>
  <c r="Q34" i="10"/>
  <c r="Q37" i="10"/>
  <c r="Q41" i="10"/>
  <c r="O41" i="10"/>
  <c r="K39" i="2"/>
  <c r="K127" i="2" s="1"/>
  <c r="F205" i="38"/>
  <c r="F135" i="38"/>
  <c r="F235" i="38"/>
  <c r="H35" i="38"/>
  <c r="F248" i="38"/>
  <c r="H25" i="38"/>
  <c r="F207" i="38"/>
  <c r="F167" i="38"/>
  <c r="F225" i="38"/>
  <c r="F211" i="38"/>
  <c r="F107" i="38"/>
  <c r="F224" i="38"/>
  <c r="F103" i="38"/>
  <c r="F187" i="38"/>
  <c r="F200" i="38"/>
  <c r="F128" i="38"/>
  <c r="F133" i="38"/>
  <c r="F260" i="38"/>
  <c r="F182" i="38"/>
  <c r="F237" i="38"/>
  <c r="H28" i="38"/>
  <c r="F183" i="38"/>
  <c r="F147" i="38"/>
  <c r="F124" i="38"/>
  <c r="F138" i="38"/>
  <c r="F223" i="38"/>
  <c r="F236" i="38"/>
  <c r="F228" i="38"/>
  <c r="F139" i="38"/>
  <c r="H47" i="38"/>
  <c r="F201" i="38"/>
  <c r="F132" i="38"/>
  <c r="F220" i="38"/>
  <c r="F140" i="38"/>
  <c r="F151" i="38"/>
  <c r="F88" i="38"/>
  <c r="F170" i="38"/>
  <c r="F131" i="38"/>
  <c r="F152" i="38"/>
  <c r="H54" i="38"/>
  <c r="F230" i="38"/>
  <c r="F81" i="38"/>
  <c r="F156" i="38"/>
  <c r="F234" i="38"/>
  <c r="F143" i="38"/>
  <c r="F229" i="38"/>
  <c r="F116" i="38"/>
  <c r="H5" i="38"/>
  <c r="F78" i="38"/>
  <c r="F96" i="38"/>
  <c r="F214" i="38"/>
  <c r="H4" i="38"/>
  <c r="F141" i="38"/>
  <c r="F161" i="38"/>
  <c r="F203" i="38"/>
  <c r="H45" i="38"/>
  <c r="F83" i="38"/>
  <c r="H19" i="38"/>
  <c r="F168" i="38"/>
  <c r="F178" i="38"/>
  <c r="F125" i="38"/>
  <c r="F190" i="38"/>
  <c r="F112" i="38"/>
  <c r="F117" i="38"/>
  <c r="F94" i="38"/>
  <c r="F219" i="38"/>
  <c r="F252" i="38"/>
  <c r="H55" i="38"/>
  <c r="F91" i="38"/>
  <c r="H31" i="38"/>
  <c r="H52" i="38"/>
  <c r="H27" i="38"/>
  <c r="F148" i="38"/>
  <c r="F181" i="38"/>
  <c r="F217" i="38"/>
  <c r="H37" i="38"/>
  <c r="F159" i="38"/>
  <c r="H2" i="38"/>
  <c r="F185" i="38"/>
  <c r="H3" i="38"/>
  <c r="F177" i="38"/>
  <c r="F198" i="38"/>
  <c r="F199" i="38"/>
  <c r="H12" i="38"/>
  <c r="F166" i="38"/>
  <c r="H11" i="38"/>
  <c r="F188" i="38"/>
  <c r="F197" i="38"/>
  <c r="F71" i="38"/>
  <c r="H61" i="38"/>
  <c r="H15" i="38"/>
  <c r="F134" i="38"/>
  <c r="F146" i="38"/>
  <c r="F145" i="38"/>
  <c r="F245" i="38"/>
  <c r="F118" i="38"/>
  <c r="F210" i="38"/>
  <c r="F238" i="38"/>
  <c r="H48" i="38"/>
  <c r="F104" i="38"/>
  <c r="F162" i="38"/>
  <c r="H41" i="38"/>
  <c r="F189" i="38"/>
  <c r="F111" i="38"/>
  <c r="F109" i="38"/>
  <c r="F142" i="38"/>
  <c r="F126" i="38"/>
  <c r="F130" i="38"/>
  <c r="F98" i="38"/>
  <c r="F101" i="38"/>
  <c r="F191" i="38"/>
  <c r="F76" i="38"/>
  <c r="F136" i="38"/>
  <c r="F202" i="38"/>
  <c r="F195" i="38"/>
  <c r="F186" i="38"/>
  <c r="H10" i="38"/>
  <c r="H7" i="38"/>
  <c r="F99" i="38"/>
  <c r="F153" i="38"/>
  <c r="H59" i="38"/>
  <c r="F97" i="38"/>
  <c r="F85" i="38"/>
  <c r="F82" i="38"/>
  <c r="F95" i="38"/>
  <c r="F122" i="38"/>
  <c r="F213" i="38"/>
  <c r="F215" i="38"/>
  <c r="F259" i="38"/>
  <c r="H53" i="38"/>
  <c r="F157" i="38"/>
  <c r="F90" i="38"/>
  <c r="F110" i="38"/>
  <c r="F208" i="38"/>
  <c r="H17" i="38"/>
  <c r="H22" i="38"/>
  <c r="H33" i="38"/>
  <c r="H20" i="38"/>
  <c r="F173" i="38"/>
  <c r="H21" i="38"/>
  <c r="H18" i="38"/>
  <c r="F257" i="38"/>
  <c r="F192" i="38"/>
  <c r="F92" i="38"/>
  <c r="F113" i="38"/>
  <c r="H30" i="38"/>
  <c r="F216" i="38"/>
  <c r="F120" i="38"/>
  <c r="F249" i="38"/>
  <c r="F232" i="38"/>
  <c r="F246" i="38"/>
  <c r="H40" i="38"/>
  <c r="F121" i="38"/>
  <c r="H46" i="38"/>
  <c r="F86" i="38"/>
  <c r="F247" i="38"/>
  <c r="H57" i="38"/>
  <c r="H9" i="38"/>
  <c r="F231" i="38"/>
  <c r="H68" i="38"/>
  <c r="H67" i="38"/>
  <c r="F206" i="38"/>
  <c r="F149" i="38"/>
  <c r="F114" i="38"/>
  <c r="F175" i="38"/>
  <c r="F87" i="38"/>
  <c r="F123" i="38"/>
  <c r="F150" i="38"/>
  <c r="F172" i="38"/>
  <c r="F93" i="38"/>
  <c r="F222" i="38"/>
  <c r="F105" i="38"/>
  <c r="H43" i="38"/>
  <c r="F227" i="38"/>
  <c r="F171" i="38"/>
  <c r="F72" i="38"/>
  <c r="H29" i="38"/>
  <c r="F155" i="38"/>
  <c r="F160" i="38"/>
  <c r="F196" i="38"/>
  <c r="F241" i="38"/>
  <c r="F221" i="38"/>
  <c r="F74" i="38"/>
  <c r="F119" i="38"/>
  <c r="H14" i="38"/>
  <c r="F84" i="38"/>
  <c r="F176" i="38"/>
  <c r="H26" i="38"/>
  <c r="F79" i="38"/>
  <c r="F127" i="38"/>
  <c r="F180" i="38"/>
  <c r="F89" i="38"/>
  <c r="F77" i="38"/>
  <c r="H39" i="38"/>
  <c r="F115" i="38"/>
  <c r="H62" i="38"/>
  <c r="F240" i="38"/>
  <c r="F226" i="38"/>
  <c r="F106" i="38"/>
  <c r="F256" i="38"/>
  <c r="F100" i="38"/>
  <c r="F174" i="38"/>
  <c r="F233" i="38"/>
  <c r="F102" i="38"/>
  <c r="F253" i="38"/>
  <c r="H36" i="38"/>
  <c r="F169" i="38"/>
  <c r="H38" i="38"/>
  <c r="F244" i="38"/>
  <c r="H60" i="38"/>
  <c r="F251" i="38"/>
  <c r="H8" i="38"/>
  <c r="F258" i="38"/>
  <c r="F212" i="38"/>
  <c r="F70" i="38"/>
  <c r="H44" i="38"/>
  <c r="H63" i="38"/>
  <c r="F250" i="38"/>
  <c r="F193" i="38"/>
  <c r="H49" i="38"/>
  <c r="F254" i="38"/>
  <c r="F75" i="38"/>
  <c r="F179" i="38"/>
  <c r="F129" i="38"/>
  <c r="F239" i="38"/>
  <c r="F137" i="38"/>
  <c r="H56" i="38"/>
  <c r="F163" i="38"/>
  <c r="F80" i="38"/>
  <c r="F144" i="38"/>
  <c r="H34" i="38"/>
  <c r="F264" i="38"/>
  <c r="F108" i="38"/>
  <c r="F164" i="38"/>
  <c r="F158" i="38"/>
  <c r="F184" i="38"/>
  <c r="F280" i="38"/>
  <c r="F218" i="38"/>
  <c r="H23" i="38"/>
  <c r="H13" i="38"/>
  <c r="F154" i="38"/>
  <c r="F209" i="38"/>
  <c r="H64" i="38"/>
  <c r="H6" i="38"/>
  <c r="F165" i="38"/>
  <c r="H16" i="38"/>
  <c r="H50" i="38"/>
  <c r="F242" i="38"/>
  <c r="F73" i="38"/>
  <c r="F282" i="38"/>
  <c r="H32" i="38"/>
  <c r="H58" i="38"/>
  <c r="F204" i="38"/>
  <c r="F194" i="38"/>
  <c r="F255" i="38"/>
  <c r="H66" i="38"/>
  <c r="H51" i="38"/>
  <c r="F243" i="38"/>
  <c r="H42" i="38"/>
  <c r="H65" i="38"/>
  <c r="H24" i="38"/>
  <c r="O45" i="10" l="1"/>
  <c r="O53" i="10" s="1"/>
  <c r="C51" i="11" s="1"/>
  <c r="C45" i="11"/>
  <c r="K136" i="2"/>
  <c r="C47" i="11" s="1"/>
  <c r="K58" i="2"/>
  <c r="K57" i="2"/>
  <c r="K137" i="2"/>
  <c r="C48" i="11" s="1"/>
  <c r="K70" i="2"/>
  <c r="K126" i="2"/>
  <c r="K128" i="2"/>
  <c r="K69" i="2"/>
  <c r="K21" i="36" l="1"/>
  <c r="K38" i="36"/>
  <c r="M4" i="35"/>
  <c r="D406" i="38"/>
  <c r="K45" i="35"/>
  <c r="D233" i="38"/>
  <c r="M39" i="35"/>
  <c r="F57" i="38"/>
  <c r="H422" i="38"/>
  <c r="G427" i="38"/>
  <c r="E332" i="38"/>
  <c r="N225" i="35"/>
  <c r="N370" i="35"/>
  <c r="E94" i="38"/>
  <c r="N6" i="35"/>
  <c r="M441" i="38"/>
  <c r="E390" i="38"/>
  <c r="G11" i="38"/>
  <c r="P19" i="37"/>
  <c r="D90" i="38"/>
  <c r="D403" i="38"/>
  <c r="E350" i="38"/>
  <c r="O17" i="37"/>
  <c r="M439" i="38"/>
  <c r="D62" i="38"/>
  <c r="M110" i="35"/>
  <c r="O9" i="37"/>
  <c r="Q6" i="37"/>
  <c r="E271" i="38"/>
  <c r="E417" i="38"/>
  <c r="E127" i="38"/>
  <c r="L75" i="35"/>
  <c r="M119" i="35"/>
  <c r="M361" i="35"/>
  <c r="D168" i="38"/>
  <c r="F438" i="38"/>
  <c r="O14" i="37"/>
  <c r="N101" i="35"/>
  <c r="N284" i="35"/>
  <c r="M296" i="35"/>
  <c r="M141" i="35"/>
  <c r="R10" i="37"/>
  <c r="M107" i="35"/>
  <c r="M316" i="35"/>
  <c r="E274" i="38"/>
  <c r="L98" i="35"/>
  <c r="E367" i="38"/>
  <c r="M204" i="35"/>
  <c r="N150" i="35"/>
  <c r="K62" i="35"/>
  <c r="M121" i="35"/>
  <c r="M46" i="35"/>
  <c r="N292" i="35"/>
  <c r="M72" i="35"/>
  <c r="F439" i="38"/>
  <c r="N400" i="35"/>
  <c r="E100" i="38"/>
  <c r="E163" i="38"/>
  <c r="D276" i="38"/>
  <c r="M438" i="35"/>
  <c r="M292" i="35"/>
  <c r="K63" i="35"/>
  <c r="M78" i="35"/>
  <c r="K57" i="35"/>
  <c r="N401" i="35"/>
  <c r="M352" i="35"/>
  <c r="G10" i="38"/>
  <c r="M381" i="35"/>
  <c r="E102" i="38"/>
  <c r="O21" i="37"/>
  <c r="N172" i="35"/>
  <c r="N177" i="35"/>
  <c r="D117" i="38"/>
  <c r="D267" i="38"/>
  <c r="M397" i="35"/>
  <c r="E111" i="38"/>
  <c r="N297" i="35"/>
  <c r="N289" i="35"/>
  <c r="F20" i="38"/>
  <c r="M240" i="35"/>
  <c r="H170" i="1"/>
  <c r="L38" i="35"/>
  <c r="K2" i="35"/>
  <c r="N196" i="35"/>
  <c r="D179" i="38"/>
  <c r="S17" i="37"/>
  <c r="N182" i="35"/>
  <c r="M34" i="35"/>
  <c r="D278" i="38"/>
  <c r="E395" i="38"/>
  <c r="M403" i="35"/>
  <c r="E382" i="38"/>
  <c r="L19" i="35"/>
  <c r="N139" i="35"/>
  <c r="D210" i="38"/>
  <c r="E404" i="38"/>
  <c r="E118" i="38"/>
  <c r="M350" i="35"/>
  <c r="N46" i="35"/>
  <c r="H444" i="38"/>
  <c r="D165" i="38"/>
  <c r="N300" i="35"/>
  <c r="G23" i="38"/>
  <c r="D366" i="38"/>
  <c r="D115" i="38"/>
  <c r="J442" i="38"/>
  <c r="K58" i="35"/>
  <c r="D105" i="38"/>
  <c r="M235" i="35"/>
  <c r="D273" i="38"/>
  <c r="M340" i="35"/>
  <c r="N367" i="35"/>
  <c r="E47" i="38"/>
  <c r="N62" i="35"/>
  <c r="E299" i="38"/>
  <c r="H437" i="38"/>
  <c r="E210" i="38"/>
  <c r="N389" i="35"/>
  <c r="E119" i="38"/>
  <c r="M349" i="35"/>
  <c r="E359" i="38"/>
  <c r="D43" i="38"/>
  <c r="N28" i="35"/>
  <c r="G434" i="38"/>
  <c r="J29" i="37"/>
  <c r="L14" i="35"/>
  <c r="N97" i="35"/>
  <c r="N430" i="35"/>
  <c r="H439" i="38"/>
  <c r="E319" i="38"/>
  <c r="E410" i="38"/>
  <c r="M189" i="35"/>
  <c r="D214" i="38"/>
  <c r="M74" i="35"/>
  <c r="D339" i="38"/>
  <c r="M301" i="35"/>
  <c r="E45" i="38"/>
  <c r="D374" i="38"/>
  <c r="F36" i="38"/>
  <c r="D206" i="38"/>
  <c r="D443" i="38"/>
  <c r="E42" i="38"/>
  <c r="E46" i="38"/>
  <c r="E286" i="38"/>
  <c r="N58" i="35"/>
  <c r="E214" i="38"/>
  <c r="D346" i="38"/>
  <c r="E208" i="38"/>
  <c r="E184" i="38"/>
  <c r="E23" i="38"/>
  <c r="N96" i="35"/>
  <c r="E247" i="38"/>
  <c r="M302" i="35"/>
  <c r="N128" i="35"/>
  <c r="N104" i="35"/>
  <c r="F15" i="38"/>
  <c r="L33" i="35"/>
  <c r="M80" i="35"/>
  <c r="N214" i="35"/>
  <c r="E168" i="38"/>
  <c r="M179" i="35"/>
  <c r="D313" i="38"/>
  <c r="E411" i="38"/>
  <c r="E407" i="38"/>
  <c r="F32" i="38"/>
  <c r="M234" i="35"/>
  <c r="K36" i="35"/>
  <c r="E148" i="38"/>
  <c r="N438" i="35"/>
  <c r="M343" i="35"/>
  <c r="E78" i="38"/>
  <c r="E314" i="38"/>
  <c r="N216" i="35"/>
  <c r="H430" i="38"/>
  <c r="G30" i="38"/>
  <c r="M131" i="35"/>
  <c r="M84" i="35"/>
  <c r="D12" i="38"/>
  <c r="E122" i="38"/>
  <c r="N42" i="35"/>
  <c r="N273" i="35"/>
  <c r="N74" i="35"/>
  <c r="E93" i="38"/>
  <c r="M435" i="35"/>
  <c r="M217" i="35"/>
  <c r="L108" i="35"/>
  <c r="N120" i="35"/>
  <c r="K40" i="35"/>
  <c r="G444" i="38"/>
  <c r="K23" i="37"/>
  <c r="E186" i="38"/>
  <c r="L76" i="35"/>
  <c r="E185" i="38"/>
  <c r="D223" i="38"/>
  <c r="N406" i="35"/>
  <c r="N390" i="35"/>
  <c r="N65" i="35"/>
  <c r="N263" i="35"/>
  <c r="N226" i="35"/>
  <c r="M62" i="35"/>
  <c r="F62" i="38"/>
  <c r="D363" i="38"/>
  <c r="E443" i="38"/>
  <c r="L74" i="35"/>
  <c r="E65" i="38"/>
  <c r="L6" i="37"/>
  <c r="F26" i="38"/>
  <c r="D431" i="38"/>
  <c r="N160" i="35"/>
  <c r="D25" i="38"/>
  <c r="D405" i="38"/>
  <c r="N355" i="35"/>
  <c r="E200" i="38"/>
  <c r="E25" i="38"/>
  <c r="E26" i="38"/>
  <c r="M293" i="35"/>
  <c r="E221" i="38"/>
  <c r="N298" i="35"/>
  <c r="M427" i="35"/>
  <c r="M188" i="35"/>
  <c r="D13" i="38"/>
  <c r="G27" i="38"/>
  <c r="D283" i="38"/>
  <c r="I440" i="38"/>
  <c r="D284" i="38"/>
  <c r="N12" i="35"/>
  <c r="E62" i="38"/>
  <c r="M444" i="35"/>
  <c r="N416" i="35"/>
  <c r="D34" i="38"/>
  <c r="D11" i="38"/>
  <c r="D113" i="38"/>
  <c r="N338" i="35"/>
  <c r="D320" i="38"/>
  <c r="M409" i="35"/>
  <c r="E317" i="38"/>
  <c r="L17" i="37"/>
  <c r="S7" i="37"/>
  <c r="G54" i="38"/>
  <c r="N296" i="35"/>
  <c r="E230" i="38"/>
  <c r="N7" i="37"/>
  <c r="D189" i="38"/>
  <c r="D2" i="38"/>
  <c r="M325" i="35"/>
  <c r="M48" i="35"/>
  <c r="N402" i="35"/>
  <c r="M369" i="35"/>
  <c r="N122" i="35"/>
  <c r="F53" i="38"/>
  <c r="N178" i="35"/>
  <c r="F55" i="38"/>
  <c r="M426" i="35"/>
  <c r="N54" i="35"/>
  <c r="L27" i="35"/>
  <c r="S9" i="37"/>
  <c r="D158" i="38"/>
  <c r="L423" i="38"/>
  <c r="N10" i="37"/>
  <c r="D219" i="38"/>
  <c r="M230" i="35"/>
  <c r="N250" i="35"/>
  <c r="N105" i="35"/>
  <c r="L122" i="35"/>
  <c r="E43" i="38"/>
  <c r="D429" i="38"/>
  <c r="N143" i="35"/>
  <c r="E130" i="38"/>
  <c r="M435" i="38"/>
  <c r="N119" i="35"/>
  <c r="D411" i="38"/>
  <c r="N281" i="35"/>
  <c r="E48" i="38"/>
  <c r="D220" i="38"/>
  <c r="J19" i="37"/>
  <c r="E343" i="38"/>
  <c r="E323" i="38"/>
  <c r="E7" i="38"/>
  <c r="J3" i="37"/>
  <c r="E86" i="38"/>
  <c r="E320" i="38"/>
  <c r="F434" i="38"/>
  <c r="F442" i="38"/>
  <c r="M405" i="35"/>
  <c r="N427" i="35"/>
  <c r="M408" i="35"/>
  <c r="D52" i="38"/>
  <c r="E386" i="38"/>
  <c r="M290" i="35"/>
  <c r="N371" i="35"/>
  <c r="L124" i="35"/>
  <c r="N110" i="35"/>
  <c r="E92" i="38"/>
  <c r="M278" i="35"/>
  <c r="D151" i="38"/>
  <c r="M56" i="35"/>
  <c r="I436" i="38"/>
  <c r="M15" i="37"/>
  <c r="L104" i="35"/>
  <c r="D135" i="38"/>
  <c r="J422" i="38"/>
  <c r="D304" i="38"/>
  <c r="D438" i="38"/>
  <c r="M77" i="35"/>
  <c r="E389" i="38"/>
  <c r="D149" i="38"/>
  <c r="D173" i="38"/>
  <c r="L85" i="35"/>
  <c r="M367" i="35"/>
  <c r="E412" i="38"/>
  <c r="E213" i="38"/>
  <c r="K33" i="35"/>
  <c r="D262" i="38"/>
  <c r="L102" i="35"/>
  <c r="N312" i="35"/>
  <c r="K6" i="35"/>
  <c r="L81" i="35"/>
  <c r="E263" i="38"/>
  <c r="M35" i="35"/>
  <c r="L111" i="35"/>
  <c r="N36" i="35"/>
  <c r="M60" i="35"/>
  <c r="N180" i="35"/>
  <c r="E84" i="38"/>
  <c r="K42" i="35"/>
  <c r="L422" i="38"/>
  <c r="N158" i="35"/>
  <c r="K53" i="35"/>
  <c r="E195" i="38"/>
  <c r="E50" i="38"/>
  <c r="N424" i="35"/>
  <c r="E336" i="38"/>
  <c r="E253" i="38"/>
  <c r="N322" i="35"/>
  <c r="M299" i="35"/>
  <c r="M315" i="35"/>
  <c r="L30" i="35"/>
  <c r="D359" i="38"/>
  <c r="E423" i="38"/>
  <c r="D143" i="38"/>
  <c r="D61" i="38"/>
  <c r="N145" i="35"/>
  <c r="E236" i="38"/>
  <c r="M21" i="37"/>
  <c r="D292" i="38"/>
  <c r="M9" i="35"/>
  <c r="D171" i="38"/>
  <c r="M17" i="35"/>
  <c r="D409" i="38"/>
  <c r="M423" i="35"/>
  <c r="J424" i="38"/>
  <c r="N163" i="35"/>
  <c r="D103" i="38"/>
  <c r="G15" i="38"/>
  <c r="L8" i="35"/>
  <c r="K30" i="35"/>
  <c r="D132" i="38"/>
  <c r="M127" i="35"/>
  <c r="D84" i="38"/>
  <c r="P17" i="37"/>
  <c r="E312" i="38"/>
  <c r="E445" i="38"/>
  <c r="M19" i="37"/>
  <c r="N102" i="35"/>
  <c r="N267" i="35"/>
  <c r="M210" i="35"/>
  <c r="N299" i="35"/>
  <c r="N107" i="35"/>
  <c r="N407" i="35"/>
  <c r="E105" i="38"/>
  <c r="K444" i="38"/>
  <c r="D348" i="38"/>
  <c r="D201" i="38"/>
  <c r="D319" i="38"/>
  <c r="F433" i="38"/>
  <c r="D31" i="38"/>
  <c r="G440" i="38"/>
  <c r="M326" i="35"/>
  <c r="D77" i="38"/>
  <c r="N376" i="35"/>
  <c r="N411" i="35"/>
  <c r="D345" i="38"/>
  <c r="E238" i="38"/>
  <c r="M178" i="35"/>
  <c r="D129" i="38"/>
  <c r="K434" i="38"/>
  <c r="N422" i="35"/>
  <c r="J9" i="37"/>
  <c r="N419" i="35"/>
  <c r="E40" i="38"/>
  <c r="N66" i="35"/>
  <c r="N220" i="35"/>
  <c r="D418" i="38"/>
  <c r="N35" i="37"/>
  <c r="M389" i="35"/>
  <c r="M289" i="35"/>
  <c r="K423" i="38"/>
  <c r="M164" i="35"/>
  <c r="F10" i="38"/>
  <c r="M193" i="35"/>
  <c r="N328" i="35"/>
  <c r="M329" i="35"/>
  <c r="N43" i="35"/>
  <c r="M133" i="35"/>
  <c r="D326" i="38"/>
  <c r="E363" i="38"/>
  <c r="L439" i="38"/>
  <c r="D40" i="38"/>
  <c r="N395" i="35"/>
  <c r="M431" i="35"/>
  <c r="G428" i="38"/>
  <c r="D119" i="38"/>
  <c r="G49" i="38"/>
  <c r="R13" i="37"/>
  <c r="D146" i="38"/>
  <c r="M436" i="35"/>
  <c r="E405" i="38"/>
  <c r="L132" i="35"/>
  <c r="M163" i="35"/>
  <c r="L11" i="37"/>
  <c r="M123" i="35"/>
  <c r="D22" i="38"/>
  <c r="E333" i="38"/>
  <c r="M81" i="35"/>
  <c r="K8" i="35"/>
  <c r="F47" i="38"/>
  <c r="Q14" i="37"/>
  <c r="D427" i="38"/>
  <c r="G17" i="38"/>
  <c r="E158" i="38"/>
  <c r="N108" i="35"/>
  <c r="D74" i="38"/>
  <c r="N83" i="35"/>
  <c r="L18" i="35"/>
  <c r="N57" i="35"/>
  <c r="M63" i="35"/>
  <c r="L428" i="38"/>
  <c r="M182" i="35"/>
  <c r="M3" i="37"/>
  <c r="K428" i="38"/>
  <c r="D265" i="38"/>
  <c r="D381" i="38"/>
  <c r="D73" i="38"/>
  <c r="E318" i="38"/>
  <c r="G45" i="38"/>
  <c r="E435" i="38"/>
  <c r="D325" i="38"/>
  <c r="M114" i="35"/>
  <c r="M438" i="38"/>
  <c r="M159" i="35"/>
  <c r="E212" i="38"/>
  <c r="F445" i="38"/>
  <c r="M71" i="35"/>
  <c r="D440" i="38"/>
  <c r="K441" i="38"/>
  <c r="E80" i="38"/>
  <c r="N286" i="35"/>
  <c r="M248" i="35"/>
  <c r="D175" i="38"/>
  <c r="G28" i="38"/>
  <c r="L427" i="38"/>
  <c r="N11" i="35"/>
  <c r="M313" i="35"/>
  <c r="D180" i="38"/>
  <c r="D70" i="38"/>
  <c r="G62" i="38"/>
  <c r="L19" i="37"/>
  <c r="M391" i="35"/>
  <c r="F35" i="38"/>
  <c r="E6" i="38"/>
  <c r="E429" i="38"/>
  <c r="E300" i="38"/>
  <c r="O3" i="37"/>
  <c r="D251" i="38"/>
  <c r="E108" i="38"/>
  <c r="N335" i="35"/>
  <c r="N115" i="35"/>
  <c r="N336" i="35"/>
  <c r="E77" i="38"/>
  <c r="N323" i="35"/>
  <c r="H441" i="38"/>
  <c r="N417" i="35"/>
  <c r="F429" i="38"/>
  <c r="N53" i="35"/>
  <c r="M86" i="35"/>
  <c r="M113" i="35"/>
  <c r="M112" i="35"/>
  <c r="M237" i="35"/>
  <c r="E115" i="38"/>
  <c r="L128" i="35"/>
  <c r="L54" i="35"/>
  <c r="E31" i="38"/>
  <c r="L7" i="37"/>
  <c r="N239" i="35"/>
  <c r="N301" i="35"/>
  <c r="E270" i="38"/>
  <c r="D78" i="38"/>
  <c r="M423" i="38"/>
  <c r="N403" i="35"/>
  <c r="N260" i="35"/>
  <c r="L117" i="35"/>
  <c r="F50" i="38"/>
  <c r="D202" i="38"/>
  <c r="M274" i="35"/>
  <c r="E66" i="38"/>
  <c r="M128" i="35"/>
  <c r="E304" i="38"/>
  <c r="M375" i="35"/>
  <c r="N242" i="35"/>
  <c r="E420" i="38"/>
  <c r="D41" i="38"/>
  <c r="N208" i="35"/>
  <c r="M229" i="35"/>
  <c r="N41" i="35"/>
  <c r="M388" i="35"/>
  <c r="N81" i="35"/>
  <c r="N45" i="35"/>
  <c r="N361" i="35"/>
  <c r="E268" i="38"/>
  <c r="D309" i="38"/>
  <c r="M19" i="35"/>
  <c r="M66" i="35"/>
  <c r="D3" i="38"/>
  <c r="G7" i="38"/>
  <c r="E125" i="38"/>
  <c r="E306" i="38"/>
  <c r="D424" i="38"/>
  <c r="O16" i="37"/>
  <c r="N3" i="35"/>
  <c r="G56" i="38"/>
  <c r="R19" i="37"/>
  <c r="N183" i="35"/>
  <c r="N308" i="35"/>
  <c r="M216" i="35"/>
  <c r="N85" i="35"/>
  <c r="L442" i="38"/>
  <c r="D412" i="38"/>
  <c r="E219" i="38"/>
  <c r="N399" i="35"/>
  <c r="N60" i="35"/>
  <c r="S3" i="37"/>
  <c r="D38" i="38"/>
  <c r="I421" i="38"/>
  <c r="L434" i="38"/>
  <c r="D368" i="38"/>
  <c r="M244" i="35"/>
  <c r="E8" i="38"/>
  <c r="G421" i="38"/>
  <c r="G44" i="38"/>
  <c r="E72" i="38"/>
  <c r="E116" i="38"/>
  <c r="E293" i="38"/>
  <c r="D432" i="38"/>
  <c r="M73" i="35"/>
  <c r="L14" i="37"/>
  <c r="D53" i="38"/>
  <c r="M337" i="35"/>
  <c r="D126" i="38"/>
  <c r="I437" i="38"/>
  <c r="F21" i="38"/>
  <c r="K431" i="38"/>
  <c r="M287" i="35"/>
  <c r="E114" i="38"/>
  <c r="E283" i="38"/>
  <c r="N356" i="35"/>
  <c r="E124" i="38"/>
  <c r="K34" i="35"/>
  <c r="M298" i="35"/>
  <c r="D67" i="38"/>
  <c r="D152" i="38"/>
  <c r="M40" i="35"/>
  <c r="M399" i="35"/>
  <c r="E322" i="38"/>
  <c r="G66" i="38"/>
  <c r="D23" i="38"/>
  <c r="M222" i="35"/>
  <c r="D266" i="38"/>
  <c r="E103" i="38"/>
  <c r="N193" i="35"/>
  <c r="L5" i="35"/>
  <c r="L424" i="38"/>
  <c r="M387" i="35"/>
  <c r="F30" i="38"/>
  <c r="E13" i="38"/>
  <c r="M341" i="35"/>
  <c r="D92" i="38"/>
  <c r="K13" i="37"/>
  <c r="O13" i="37"/>
  <c r="N19" i="37"/>
  <c r="E267" i="38"/>
  <c r="D163" i="38"/>
  <c r="K54" i="35"/>
  <c r="F68" i="38"/>
  <c r="F64" i="38"/>
  <c r="M51" i="35"/>
  <c r="D236" i="38"/>
  <c r="F4" i="38"/>
  <c r="K17" i="37"/>
  <c r="D184" i="38"/>
  <c r="K21" i="35"/>
  <c r="G441" i="38"/>
  <c r="D349" i="38"/>
  <c r="E384" i="38"/>
  <c r="N415" i="35"/>
  <c r="E83" i="38"/>
  <c r="P23" i="37"/>
  <c r="D299" i="38"/>
  <c r="E354" i="38"/>
  <c r="D166" i="38"/>
  <c r="M286" i="35"/>
  <c r="L431" i="38"/>
  <c r="D120" i="38"/>
  <c r="D68" i="38"/>
  <c r="L34" i="35"/>
  <c r="D248" i="38"/>
  <c r="G58" i="38"/>
  <c r="E313" i="38"/>
  <c r="M209" i="35"/>
  <c r="H434" i="38"/>
  <c r="D169" i="38"/>
  <c r="N170" i="35"/>
  <c r="E272" i="38"/>
  <c r="N366" i="35"/>
  <c r="L77" i="35"/>
  <c r="J28" i="37"/>
  <c r="M103" i="35"/>
  <c r="N148" i="35"/>
  <c r="N236" i="35"/>
  <c r="J27" i="37"/>
  <c r="N421" i="35"/>
  <c r="D204" i="38"/>
  <c r="M143" i="35"/>
  <c r="K64" i="35"/>
  <c r="D17" i="38"/>
  <c r="M26" i="35"/>
  <c r="E187" i="38"/>
  <c r="N437" i="35"/>
  <c r="D75" i="38"/>
  <c r="D430" i="38"/>
  <c r="E44" i="38"/>
  <c r="E421" i="38"/>
  <c r="M176" i="35"/>
  <c r="M362" i="35"/>
  <c r="G38" i="38"/>
  <c r="D109" i="38"/>
  <c r="G431" i="38"/>
  <c r="E20" i="38"/>
  <c r="D286" i="38"/>
  <c r="N283" i="35"/>
  <c r="F425" i="38"/>
  <c r="D196" i="38"/>
  <c r="N179" i="35"/>
  <c r="N117" i="35"/>
  <c r="E132" i="38"/>
  <c r="E128" i="38"/>
  <c r="E255" i="38"/>
  <c r="E282" i="38"/>
  <c r="E383" i="38"/>
  <c r="N18" i="35"/>
  <c r="K25" i="35"/>
  <c r="E264" i="38"/>
  <c r="E24" i="38"/>
  <c r="L67" i="35"/>
  <c r="E67" i="38"/>
  <c r="D33" i="38"/>
  <c r="M65" i="35"/>
  <c r="N90" i="35"/>
  <c r="I428" i="38"/>
  <c r="L71" i="35"/>
  <c r="E27" i="38"/>
  <c r="L45" i="35"/>
  <c r="N321" i="35"/>
  <c r="D195" i="38"/>
  <c r="M220" i="35"/>
  <c r="M120" i="35"/>
  <c r="D335" i="38"/>
  <c r="D382" i="38"/>
  <c r="M41" i="35"/>
  <c r="M149" i="35"/>
  <c r="L64" i="35"/>
  <c r="N14" i="37"/>
  <c r="E135" i="38"/>
  <c r="N16" i="35"/>
  <c r="M432" i="35"/>
  <c r="K38" i="35"/>
  <c r="E73" i="38"/>
  <c r="M221" i="35"/>
  <c r="G55" i="38"/>
  <c r="D327" i="38"/>
  <c r="M363" i="35"/>
  <c r="N405" i="35"/>
  <c r="M262" i="35"/>
  <c r="D162" i="38"/>
  <c r="N141" i="35"/>
  <c r="F432" i="38"/>
  <c r="D249" i="38"/>
  <c r="E192" i="38"/>
  <c r="E85" i="38"/>
  <c r="E416" i="38"/>
  <c r="L429" i="38"/>
  <c r="J432" i="38"/>
  <c r="E129" i="38"/>
  <c r="M281" i="35"/>
  <c r="N348" i="35"/>
  <c r="D141" i="38"/>
  <c r="N2" i="35"/>
  <c r="G16" i="38"/>
  <c r="N22" i="35"/>
  <c r="E217" i="38"/>
  <c r="G33" i="38"/>
  <c r="I422" i="38"/>
  <c r="E49" i="38"/>
  <c r="M284" i="35"/>
  <c r="M224" i="35"/>
  <c r="E51" i="38"/>
  <c r="N159" i="35"/>
  <c r="S5" i="37"/>
  <c r="E53" i="38"/>
  <c r="E375" i="38"/>
  <c r="K18" i="35"/>
  <c r="L100" i="35"/>
  <c r="F16" i="38"/>
  <c r="E74" i="38"/>
  <c r="E398" i="38"/>
  <c r="L129" i="35"/>
  <c r="G41" i="38"/>
  <c r="D176" i="38"/>
  <c r="D250" i="38"/>
  <c r="K3" i="35"/>
  <c r="L445" i="38"/>
  <c r="N431" i="35"/>
  <c r="D124" i="38"/>
  <c r="E126" i="38"/>
  <c r="E138" i="38"/>
  <c r="N33" i="35"/>
  <c r="K19" i="35"/>
  <c r="E222" i="38"/>
  <c r="N55" i="35"/>
  <c r="N365" i="35"/>
  <c r="I425" i="38"/>
  <c r="L59" i="35"/>
  <c r="E203" i="38"/>
  <c r="E30" i="38"/>
  <c r="D383" i="38"/>
  <c r="D416" i="38"/>
  <c r="K3" i="37"/>
  <c r="F45" i="38"/>
  <c r="M441" i="35"/>
  <c r="D398" i="38"/>
  <c r="N303" i="35"/>
  <c r="F27" i="38"/>
  <c r="D82" i="38"/>
  <c r="N181" i="35"/>
  <c r="J423" i="38"/>
  <c r="D255" i="38"/>
  <c r="E117" i="38"/>
  <c r="M139" i="35"/>
  <c r="K7" i="37"/>
  <c r="D332" i="38"/>
  <c r="M346" i="35"/>
  <c r="E291" i="38"/>
  <c r="K37" i="35"/>
  <c r="G13" i="38"/>
  <c r="K442" i="38"/>
  <c r="E180" i="38"/>
  <c r="E206" i="38"/>
  <c r="D415" i="38"/>
  <c r="D148" i="38"/>
  <c r="N56" i="35"/>
  <c r="N93" i="35"/>
  <c r="L131" i="35"/>
  <c r="I427" i="38"/>
  <c r="M171" i="35"/>
  <c r="M331" i="35"/>
  <c r="G37" i="38"/>
  <c r="M185" i="35"/>
  <c r="L443" i="38"/>
  <c r="J436" i="38"/>
  <c r="M199" i="35"/>
  <c r="K5" i="37"/>
  <c r="N351" i="35"/>
  <c r="M272" i="35"/>
  <c r="G425" i="38"/>
  <c r="F422" i="38"/>
  <c r="E176" i="38"/>
  <c r="D211" i="38"/>
  <c r="N68" i="35"/>
  <c r="M215" i="35"/>
  <c r="E147" i="38"/>
  <c r="G35" i="38"/>
  <c r="N169" i="35"/>
  <c r="N184" i="35"/>
  <c r="N82" i="35"/>
  <c r="M255" i="35"/>
  <c r="G65" i="38"/>
  <c r="D95" i="38"/>
  <c r="N171" i="35"/>
  <c r="D279" i="38"/>
  <c r="E361" i="38"/>
  <c r="M67" i="35"/>
  <c r="M328" i="35"/>
  <c r="G430" i="38"/>
  <c r="M322" i="35"/>
  <c r="E37" i="38"/>
  <c r="N205" i="35"/>
  <c r="J433" i="38"/>
  <c r="N133" i="35"/>
  <c r="M306" i="35"/>
  <c r="E403" i="38"/>
  <c r="D86" i="38"/>
  <c r="E438" i="38"/>
  <c r="D228" i="38"/>
  <c r="E392" i="38"/>
  <c r="N319" i="35"/>
  <c r="D384" i="38"/>
  <c r="N337" i="35"/>
  <c r="E436" i="38"/>
  <c r="G52" i="38"/>
  <c r="O11" i="37"/>
  <c r="D87" i="38"/>
  <c r="N363" i="35"/>
  <c r="N109" i="35"/>
  <c r="D6" i="38"/>
  <c r="N176" i="35"/>
  <c r="D294" i="38"/>
  <c r="D417" i="38"/>
  <c r="G51" i="38"/>
  <c r="D154" i="38"/>
  <c r="D334" i="38"/>
  <c r="L113" i="35"/>
  <c r="D16" i="38"/>
  <c r="D217" i="38"/>
  <c r="L15" i="37"/>
  <c r="L126" i="35"/>
  <c r="E59" i="38"/>
  <c r="M69" i="35"/>
  <c r="K39" i="35"/>
  <c r="J17" i="37"/>
  <c r="N332" i="35"/>
  <c r="O7" i="37"/>
  <c r="D305" i="38"/>
  <c r="M256" i="35"/>
  <c r="L3" i="35"/>
  <c r="M17" i="37"/>
  <c r="M196" i="35"/>
  <c r="N315" i="35"/>
  <c r="D216" i="38"/>
  <c r="M390" i="35"/>
  <c r="N114" i="35"/>
  <c r="D182" i="38"/>
  <c r="N127" i="35"/>
  <c r="M191" i="35"/>
  <c r="E249" i="38"/>
  <c r="F58" i="38"/>
  <c r="L432" i="38"/>
  <c r="D420" i="38"/>
  <c r="M105" i="35"/>
  <c r="F2" i="38"/>
  <c r="E68" i="38"/>
  <c r="N385" i="35"/>
  <c r="D344" i="38"/>
  <c r="M211" i="35"/>
  <c r="E308" i="38"/>
  <c r="L20" i="35"/>
  <c r="E265" i="38"/>
  <c r="D4" i="38"/>
  <c r="N201" i="35"/>
  <c r="N318" i="35"/>
  <c r="E60" i="38"/>
  <c r="E38" i="38"/>
  <c r="F51" i="38"/>
  <c r="D410" i="38"/>
  <c r="E171" i="38"/>
  <c r="N5" i="35"/>
  <c r="K9" i="35"/>
  <c r="N388" i="35"/>
  <c r="E428" i="38"/>
  <c r="L82" i="35"/>
  <c r="D395" i="38"/>
  <c r="E110" i="38"/>
  <c r="E21" i="38"/>
  <c r="D133" i="38"/>
  <c r="N331" i="35"/>
  <c r="D401" i="38"/>
  <c r="M239" i="35"/>
  <c r="M59" i="35"/>
  <c r="F5" i="38"/>
  <c r="F41" i="38"/>
  <c r="M207" i="35"/>
  <c r="D160" i="38"/>
  <c r="G57" i="38"/>
  <c r="M115" i="35"/>
  <c r="M356" i="35"/>
  <c r="D97" i="38"/>
  <c r="E218" i="38"/>
  <c r="M205" i="35"/>
  <c r="M53" i="35"/>
  <c r="M109" i="35"/>
  <c r="M213" i="35"/>
  <c r="N44" i="35"/>
  <c r="F23" i="38"/>
  <c r="D433" i="38"/>
  <c r="E69" i="38"/>
  <c r="K15" i="35"/>
  <c r="E347" i="38"/>
  <c r="D128" i="38"/>
  <c r="M11" i="35"/>
  <c r="D59" i="38"/>
  <c r="D337" i="38"/>
  <c r="L127" i="35"/>
  <c r="D268" i="38"/>
  <c r="M94" i="35"/>
  <c r="L36" i="35"/>
  <c r="M383" i="35"/>
  <c r="N307" i="35"/>
  <c r="N219" i="35"/>
  <c r="K28" i="35"/>
  <c r="O5" i="37"/>
  <c r="L73" i="35"/>
  <c r="M233" i="35"/>
  <c r="E90" i="38"/>
  <c r="D270" i="38"/>
  <c r="N136" i="35"/>
  <c r="N294" i="35"/>
  <c r="L90" i="35"/>
  <c r="N247" i="35"/>
  <c r="L41" i="35"/>
  <c r="E39" i="38"/>
  <c r="M425" i="38"/>
  <c r="D93" i="38"/>
  <c r="D200" i="38"/>
  <c r="R16" i="37"/>
  <c r="K15" i="37"/>
  <c r="N186" i="35"/>
  <c r="Q16" i="37"/>
  <c r="R9" i="37"/>
  <c r="N404" i="35"/>
  <c r="F66" i="38"/>
  <c r="E433" i="38"/>
  <c r="D380" i="38"/>
  <c r="N175" i="35"/>
  <c r="F19" i="38"/>
  <c r="L78" i="35"/>
  <c r="F34" i="38"/>
  <c r="L84" i="35"/>
  <c r="D107" i="38"/>
  <c r="M85" i="35"/>
  <c r="M270" i="35"/>
  <c r="K426" i="38"/>
  <c r="D387" i="38"/>
  <c r="J30" i="37"/>
  <c r="R5" i="37"/>
  <c r="N244" i="35"/>
  <c r="M36" i="35"/>
  <c r="I424" i="38"/>
  <c r="M424" i="38"/>
  <c r="D328" i="38"/>
  <c r="D110" i="38"/>
  <c r="N191" i="35"/>
  <c r="M417" i="35"/>
  <c r="Q13" i="37"/>
  <c r="L21" i="35"/>
  <c r="E137" i="38"/>
  <c r="F13" i="38"/>
  <c r="L17" i="35"/>
  <c r="N32" i="35"/>
  <c r="M201" i="35"/>
  <c r="E401" i="38"/>
  <c r="F43" i="38"/>
  <c r="F31" i="38"/>
  <c r="M333" i="35"/>
  <c r="G63" i="38"/>
  <c r="E261" i="38"/>
  <c r="K20" i="35"/>
  <c r="E248" i="38"/>
  <c r="E166" i="38"/>
  <c r="E226" i="38"/>
  <c r="E205" i="38"/>
  <c r="N255" i="35"/>
  <c r="F14" i="38"/>
  <c r="M263" i="35"/>
  <c r="N234" i="35"/>
  <c r="D57" i="38"/>
  <c r="M227" i="35"/>
  <c r="M380" i="35"/>
  <c r="D376" i="38"/>
  <c r="N155" i="35"/>
  <c r="E209" i="38"/>
  <c r="N392" i="35"/>
  <c r="N265" i="35"/>
  <c r="E402" i="38"/>
  <c r="D5" i="38"/>
  <c r="K50" i="35"/>
  <c r="E52" i="38"/>
  <c r="J23" i="37"/>
  <c r="P14" i="37"/>
  <c r="M225" i="35"/>
  <c r="D386" i="38"/>
  <c r="M291" i="35"/>
  <c r="N7" i="35"/>
  <c r="E33" i="38"/>
  <c r="D351" i="38"/>
  <c r="N137" i="35"/>
  <c r="N362" i="35"/>
  <c r="N9" i="37"/>
  <c r="F24" i="38"/>
  <c r="K5" i="35"/>
  <c r="E345" i="38"/>
  <c r="M321" i="35"/>
  <c r="D314" i="38"/>
  <c r="M135" i="35"/>
  <c r="N167" i="35"/>
  <c r="N19" i="35"/>
  <c r="F48" i="38"/>
  <c r="D177" i="38"/>
  <c r="F7" i="38"/>
  <c r="M122" i="35"/>
  <c r="E288" i="38"/>
  <c r="M161" i="35"/>
  <c r="N35" i="35"/>
  <c r="F427" i="38"/>
  <c r="E276" i="38"/>
  <c r="M89" i="35"/>
  <c r="E341" i="38"/>
  <c r="L62" i="35"/>
  <c r="G18" i="38"/>
  <c r="K48" i="35"/>
  <c r="M175" i="35"/>
  <c r="M79" i="35"/>
  <c r="D102" i="38"/>
  <c r="K14" i="35"/>
  <c r="E99" i="38"/>
  <c r="F426" i="38"/>
  <c r="N275" i="35"/>
  <c r="M32" i="35"/>
  <c r="N274" i="35"/>
  <c r="N387" i="35"/>
  <c r="Q23" i="37"/>
  <c r="K433" i="38"/>
  <c r="N39" i="35"/>
  <c r="J25" i="37"/>
  <c r="K60" i="35"/>
  <c r="M24" i="35"/>
  <c r="L436" i="38"/>
  <c r="M236" i="35"/>
  <c r="N382" i="35"/>
  <c r="L21" i="37"/>
  <c r="M327" i="35"/>
  <c r="G5" i="38"/>
  <c r="E14" i="38"/>
  <c r="L437" i="38"/>
  <c r="N276" i="35"/>
  <c r="D100" i="38"/>
  <c r="M9" i="37"/>
  <c r="D80" i="38"/>
  <c r="M153" i="35"/>
  <c r="J430" i="38"/>
  <c r="I431" i="38"/>
  <c r="F11" i="38"/>
  <c r="M246" i="35"/>
  <c r="L40" i="35"/>
  <c r="D296" i="38"/>
  <c r="Q11" i="37"/>
  <c r="L53" i="35"/>
  <c r="E324" i="38"/>
  <c r="N14" i="35"/>
  <c r="M147" i="35"/>
  <c r="D269" i="38"/>
  <c r="D423" i="38"/>
  <c r="E202" i="38"/>
  <c r="L52" i="35"/>
  <c r="K16" i="35"/>
  <c r="L97" i="35"/>
  <c r="F6" i="38"/>
  <c r="D370" i="38"/>
  <c r="E11" i="38"/>
  <c r="L114" i="35"/>
  <c r="K31" i="35"/>
  <c r="N91" i="35"/>
  <c r="D48" i="38"/>
  <c r="N27" i="35"/>
  <c r="M95" i="35"/>
  <c r="M144" i="35"/>
  <c r="D101" i="38"/>
  <c r="E82" i="38"/>
  <c r="M101" i="35"/>
  <c r="N440" i="35"/>
  <c r="R21" i="37"/>
  <c r="F65" i="38"/>
  <c r="N374" i="35"/>
  <c r="E440" i="38"/>
  <c r="D37" i="38"/>
  <c r="E5" i="38"/>
  <c r="N125" i="35"/>
  <c r="H423" i="38"/>
  <c r="N237" i="35"/>
  <c r="M442" i="35"/>
  <c r="F40" i="38"/>
  <c r="M429" i="38"/>
  <c r="M338" i="35"/>
  <c r="E357" i="38"/>
  <c r="D274" i="38"/>
  <c r="E424" i="38"/>
  <c r="F3" i="38"/>
  <c r="K439" i="38"/>
  <c r="R15" i="37"/>
  <c r="M368" i="35"/>
  <c r="N224" i="35"/>
  <c r="D341" i="38"/>
  <c r="M31" i="35"/>
  <c r="N142" i="35"/>
  <c r="D194" i="38"/>
  <c r="D303" i="38"/>
  <c r="M317" i="35"/>
  <c r="E240" i="38"/>
  <c r="D445" i="38"/>
  <c r="N378" i="35"/>
  <c r="L425" i="38"/>
  <c r="N23" i="37"/>
  <c r="F49" i="38"/>
  <c r="M49" i="35"/>
  <c r="I423" i="38"/>
  <c r="L134" i="35"/>
  <c r="N310" i="35"/>
  <c r="L421" i="38"/>
  <c r="L115" i="35"/>
  <c r="K21" i="37"/>
  <c r="N111" i="35"/>
  <c r="E181" i="38"/>
  <c r="N52" i="35"/>
  <c r="M412" i="35"/>
  <c r="F436" i="38"/>
  <c r="M50" i="35"/>
  <c r="M142" i="35"/>
  <c r="N268" i="35"/>
  <c r="D116" i="38"/>
  <c r="D310" i="38"/>
  <c r="F44" i="38"/>
  <c r="K17" i="35"/>
  <c r="N341" i="35"/>
  <c r="N229" i="35"/>
  <c r="N231" i="35"/>
  <c r="M167" i="35"/>
  <c r="D66" i="38"/>
  <c r="E131" i="38"/>
  <c r="M214" i="35"/>
  <c r="E17" i="38"/>
  <c r="J434" i="38"/>
  <c r="M357" i="35"/>
  <c r="N252" i="35"/>
  <c r="N151" i="35"/>
  <c r="N326" i="35"/>
  <c r="D322" i="38"/>
  <c r="L3" i="37"/>
  <c r="N429" i="35"/>
  <c r="E201" i="38"/>
  <c r="M20" i="35"/>
  <c r="E397" i="38"/>
  <c r="M430" i="35"/>
  <c r="K6" i="37"/>
  <c r="N293" i="35"/>
  <c r="H425" i="38"/>
  <c r="M428" i="35"/>
  <c r="R6" i="37"/>
  <c r="G34" i="38"/>
  <c r="H433" i="38"/>
  <c r="M157" i="35"/>
  <c r="M11" i="37"/>
  <c r="D209" i="38"/>
  <c r="M10" i="35"/>
  <c r="K7" i="35"/>
  <c r="D413" i="38"/>
  <c r="D230" i="38"/>
  <c r="M8" i="35"/>
  <c r="E246" i="38"/>
  <c r="E325" i="38"/>
  <c r="G422" i="38"/>
  <c r="N21" i="37"/>
  <c r="P21" i="37"/>
  <c r="E156" i="38"/>
  <c r="N192" i="35"/>
  <c r="N164" i="35"/>
  <c r="Q17" i="37"/>
  <c r="D99" i="38"/>
  <c r="L83" i="35"/>
  <c r="H429" i="38"/>
  <c r="E112" i="38"/>
  <c r="N59" i="35"/>
  <c r="J33" i="37"/>
  <c r="E32" i="38"/>
  <c r="M421" i="38"/>
  <c r="N369" i="35"/>
  <c r="D280" i="38"/>
  <c r="N17" i="35"/>
  <c r="E64" i="38"/>
  <c r="N235" i="35"/>
  <c r="E76" i="38"/>
  <c r="M183" i="35"/>
  <c r="E152" i="38"/>
  <c r="E362" i="38"/>
  <c r="G46" i="38"/>
  <c r="D199" i="38"/>
  <c r="N88" i="35"/>
  <c r="N174" i="35"/>
  <c r="D252" i="38"/>
  <c r="N140" i="35"/>
  <c r="D64" i="38"/>
  <c r="N288" i="35"/>
  <c r="M385" i="35"/>
  <c r="N190" i="35"/>
  <c r="L16" i="35"/>
  <c r="E260" i="38"/>
  <c r="E61" i="38"/>
  <c r="L106" i="35"/>
  <c r="M104" i="35"/>
  <c r="D318" i="38"/>
  <c r="E89" i="38"/>
  <c r="E370" i="38"/>
  <c r="F56" i="38"/>
  <c r="M55" i="35"/>
  <c r="D136" i="38"/>
  <c r="D19" i="38"/>
  <c r="D302" i="38"/>
  <c r="L96" i="35"/>
  <c r="M398" i="35"/>
  <c r="M279" i="35"/>
  <c r="D399" i="38"/>
  <c r="E302" i="38"/>
  <c r="D20" i="38"/>
  <c r="E295" i="38"/>
  <c r="L63" i="35"/>
  <c r="D79" i="38"/>
  <c r="M365" i="35"/>
  <c r="E175" i="38"/>
  <c r="E245" i="38"/>
  <c r="N257" i="35"/>
  <c r="L58" i="35"/>
  <c r="M431" i="38"/>
  <c r="E159" i="38"/>
  <c r="K11" i="37"/>
  <c r="E256" i="38"/>
  <c r="I435" i="38"/>
  <c r="P7" i="37"/>
  <c r="L56" i="35"/>
  <c r="N13" i="35"/>
  <c r="E136" i="38"/>
  <c r="J35" i="37"/>
  <c r="D389" i="38"/>
  <c r="M416" i="35"/>
  <c r="M266" i="35"/>
  <c r="M314" i="35"/>
  <c r="D394" i="38"/>
  <c r="D408" i="38"/>
  <c r="N333" i="35"/>
  <c r="M437" i="35"/>
  <c r="M197" i="35"/>
  <c r="M275" i="35"/>
  <c r="N116" i="35"/>
  <c r="D227" i="38"/>
  <c r="S6" i="37"/>
  <c r="M392" i="35"/>
  <c r="S13" i="37"/>
  <c r="J16" i="37"/>
  <c r="E298" i="38"/>
  <c r="E254" i="38"/>
  <c r="N188" i="35"/>
  <c r="E414" i="38"/>
  <c r="D187" i="38"/>
  <c r="E351" i="38"/>
  <c r="G19" i="38"/>
  <c r="N157" i="35"/>
  <c r="E342" i="38"/>
  <c r="L125" i="35"/>
  <c r="M172" i="35"/>
  <c r="O10" i="37"/>
  <c r="D134" i="38"/>
  <c r="M22" i="35"/>
  <c r="K47" i="35"/>
  <c r="E364" i="38"/>
  <c r="D242" i="38"/>
  <c r="E366" i="38"/>
  <c r="M155" i="35"/>
  <c r="F29" i="38"/>
  <c r="N132" i="35"/>
  <c r="E257" i="38"/>
  <c r="M411" i="35"/>
  <c r="N391" i="35"/>
  <c r="D231" i="38"/>
  <c r="D272" i="38"/>
  <c r="L39" i="35"/>
  <c r="N47" i="35"/>
  <c r="D94" i="38"/>
  <c r="F431" i="38"/>
  <c r="L37" i="35"/>
  <c r="N38" i="35"/>
  <c r="N346" i="35"/>
  <c r="N320" i="35"/>
  <c r="D421" i="38"/>
  <c r="E170" i="38"/>
  <c r="N3" i="37"/>
  <c r="K429" i="38"/>
  <c r="D10" i="38"/>
  <c r="K10" i="37"/>
  <c r="N16" i="37"/>
  <c r="E161" i="38"/>
  <c r="L29" i="35"/>
  <c r="L430" i="38"/>
  <c r="F33" i="38"/>
  <c r="M254" i="35"/>
  <c r="D396" i="38"/>
  <c r="N64" i="35"/>
  <c r="D425" i="38"/>
  <c r="N75" i="35"/>
  <c r="L433" i="38"/>
  <c r="J435" i="38"/>
  <c r="L118" i="35"/>
  <c r="F8" i="38"/>
  <c r="D174" i="38"/>
  <c r="N271" i="35"/>
  <c r="N103" i="35"/>
  <c r="P5" i="37"/>
  <c r="D203" i="38"/>
  <c r="M419" i="35"/>
  <c r="N232" i="35"/>
  <c r="M360" i="35"/>
  <c r="M194" i="35"/>
  <c r="J21" i="37"/>
  <c r="N349" i="35"/>
  <c r="M173" i="35"/>
  <c r="N223" i="35"/>
  <c r="J426" i="38"/>
  <c r="E301" i="38"/>
  <c r="D58" i="38"/>
  <c r="F28" i="38"/>
  <c r="E153" i="38"/>
  <c r="K52" i="35"/>
  <c r="M376" i="35"/>
  <c r="K443" i="38"/>
  <c r="N121" i="35"/>
  <c r="M249" i="35"/>
  <c r="D378" i="38"/>
  <c r="D393" i="38"/>
  <c r="D21" i="38"/>
  <c r="K9" i="37"/>
  <c r="L50" i="35"/>
  <c r="F444" i="38"/>
  <c r="D237" i="38"/>
  <c r="E285" i="38"/>
  <c r="E251" i="38"/>
  <c r="N4" i="35"/>
  <c r="N443" i="35"/>
  <c r="N269" i="35"/>
  <c r="L70" i="35"/>
  <c r="N29" i="35"/>
  <c r="N17" i="37"/>
  <c r="M242" i="35"/>
  <c r="E91" i="38"/>
  <c r="N37" i="35"/>
  <c r="L4" i="35"/>
  <c r="E190" i="38"/>
  <c r="R23" i="37"/>
  <c r="N25" i="35"/>
  <c r="L35" i="35"/>
  <c r="G436" i="38"/>
  <c r="D434" i="38"/>
  <c r="N425" i="35"/>
  <c r="M354" i="35"/>
  <c r="P16" i="37"/>
  <c r="M273" i="35"/>
  <c r="L10" i="37"/>
  <c r="D32" i="38"/>
  <c r="E339" i="38"/>
  <c r="M358" i="35"/>
  <c r="N138" i="35"/>
  <c r="M374" i="35"/>
  <c r="H431" i="38"/>
  <c r="M156" i="35"/>
  <c r="N92" i="35"/>
  <c r="L9" i="37"/>
  <c r="E258" i="38"/>
  <c r="M334" i="35"/>
  <c r="M5" i="35"/>
  <c r="N432" i="35"/>
  <c r="F37" i="38"/>
  <c r="M232" i="35"/>
  <c r="J11" i="37"/>
  <c r="G20" i="38"/>
  <c r="N24" i="35"/>
  <c r="N313" i="35"/>
  <c r="I443" i="38"/>
  <c r="G61" i="38"/>
  <c r="N434" i="35"/>
  <c r="N31" i="35"/>
  <c r="L107" i="35"/>
  <c r="K49" i="35"/>
  <c r="S23" i="37"/>
  <c r="D400" i="38"/>
  <c r="M158" i="35"/>
  <c r="D243" i="38"/>
  <c r="N218" i="35"/>
  <c r="F424" i="38"/>
  <c r="K23" i="35"/>
  <c r="M312" i="35"/>
  <c r="K10" i="35"/>
  <c r="E234" i="38"/>
  <c r="N353" i="35"/>
  <c r="E394" i="38"/>
  <c r="M116" i="35"/>
  <c r="M395" i="35"/>
  <c r="G435" i="38"/>
  <c r="D375" i="38"/>
  <c r="N258" i="35"/>
  <c r="N302" i="35"/>
  <c r="I434" i="38"/>
  <c r="M280" i="35"/>
  <c r="Q21" i="37"/>
  <c r="M130" i="35"/>
  <c r="N189" i="35"/>
  <c r="D108" i="38"/>
  <c r="D300" i="38"/>
  <c r="M18" i="35"/>
  <c r="K55" i="35"/>
  <c r="M198" i="35"/>
  <c r="N249" i="35"/>
  <c r="E387" i="38"/>
  <c r="M160" i="35"/>
  <c r="G426" i="38"/>
  <c r="N123" i="35"/>
  <c r="K435" i="38"/>
  <c r="Q10" i="37"/>
  <c r="G424" i="38"/>
  <c r="M100" i="35"/>
  <c r="E252" i="38"/>
  <c r="N350" i="35"/>
  <c r="E269" i="38"/>
  <c r="K427" i="38"/>
  <c r="E160" i="38"/>
  <c r="L23" i="35"/>
  <c r="M428" i="38"/>
  <c r="E348" i="38"/>
  <c r="F435" i="38"/>
  <c r="E196" i="38"/>
  <c r="F38" i="38"/>
  <c r="L65" i="35"/>
  <c r="M190" i="35"/>
  <c r="E149" i="38"/>
  <c r="L105" i="35"/>
  <c r="M170" i="35"/>
  <c r="N147" i="35"/>
  <c r="E418" i="38"/>
  <c r="L46" i="35"/>
  <c r="E415" i="38"/>
  <c r="N61" i="35"/>
  <c r="M192" i="35"/>
  <c r="M250" i="35"/>
  <c r="P35" i="37"/>
  <c r="J443" i="38"/>
  <c r="D246" i="38"/>
  <c r="N287" i="35"/>
  <c r="N426" i="35"/>
  <c r="G64" i="38"/>
  <c r="M7" i="35"/>
  <c r="E34" i="38"/>
  <c r="N161" i="35"/>
  <c r="N243" i="35"/>
  <c r="M223" i="35"/>
  <c r="D207" i="38"/>
  <c r="M162" i="35"/>
  <c r="D114" i="38"/>
  <c r="N314" i="35"/>
  <c r="M154" i="35"/>
  <c r="N396" i="35"/>
  <c r="K32" i="35"/>
  <c r="G443" i="38"/>
  <c r="M305" i="35"/>
  <c r="L13" i="35"/>
  <c r="N280" i="35"/>
  <c r="D253" i="38"/>
  <c r="G423" i="38"/>
  <c r="G36" i="38"/>
  <c r="M23" i="37"/>
  <c r="M382" i="35"/>
  <c r="M422" i="35"/>
  <c r="N80" i="35"/>
  <c r="D356" i="38"/>
  <c r="E18" i="38"/>
  <c r="F67" i="38"/>
  <c r="M99" i="35"/>
  <c r="M348" i="35"/>
  <c r="I445" i="38"/>
  <c r="K430" i="38"/>
  <c r="N354" i="35"/>
  <c r="D240" i="38"/>
  <c r="N428" i="35"/>
  <c r="S10" i="37"/>
  <c r="E329" i="38"/>
  <c r="K35" i="37"/>
  <c r="D364" i="38"/>
  <c r="L116" i="35"/>
  <c r="M118" i="35"/>
  <c r="D301" i="38"/>
  <c r="E182" i="38"/>
  <c r="M90" i="35"/>
  <c r="L11" i="35"/>
  <c r="E54" i="38"/>
  <c r="M206" i="35"/>
  <c r="M27" i="35"/>
  <c r="N209" i="35"/>
  <c r="M396" i="35"/>
  <c r="M203" i="35"/>
  <c r="E71" i="38"/>
  <c r="M129" i="35"/>
  <c r="D14" i="38"/>
  <c r="D226" i="38"/>
  <c r="E334" i="38"/>
  <c r="M324" i="35"/>
  <c r="F22" i="38"/>
  <c r="E419" i="38"/>
  <c r="E310" i="38"/>
  <c r="D436" i="38"/>
  <c r="E162" i="38"/>
  <c r="E372" i="38"/>
  <c r="E154" i="38"/>
  <c r="N383" i="35"/>
  <c r="M241" i="35"/>
  <c r="L13" i="37"/>
  <c r="M433" i="38"/>
  <c r="D263" i="38"/>
  <c r="N340" i="35"/>
  <c r="E179" i="38"/>
  <c r="M353" i="35"/>
  <c r="M364" i="35"/>
  <c r="M28" i="35"/>
  <c r="D44" i="38"/>
  <c r="D312" i="38"/>
  <c r="N317" i="35"/>
  <c r="M283" i="35"/>
  <c r="D261" i="38"/>
  <c r="M285" i="35"/>
  <c r="D260" i="38"/>
  <c r="M421" i="35"/>
  <c r="E143" i="38"/>
  <c r="E164" i="38"/>
  <c r="E56" i="38"/>
  <c r="R17" i="37"/>
  <c r="N414" i="35"/>
  <c r="J440" i="38"/>
  <c r="N166" i="35"/>
  <c r="E63" i="38"/>
  <c r="D178" i="38"/>
  <c r="M111" i="35"/>
  <c r="D360" i="38"/>
  <c r="M410" i="35"/>
  <c r="E315" i="38"/>
  <c r="F423" i="38"/>
  <c r="P6" i="37"/>
  <c r="D155" i="38"/>
  <c r="E371" i="38"/>
  <c r="D96" i="38"/>
  <c r="M7" i="37"/>
  <c r="N173" i="35"/>
  <c r="E444" i="38"/>
  <c r="D185" i="38"/>
  <c r="M264" i="35"/>
  <c r="E133" i="38"/>
  <c r="G432" i="38"/>
  <c r="H438" i="38"/>
  <c r="H436" i="38"/>
  <c r="D444" i="38"/>
  <c r="N339" i="35"/>
  <c r="D372" i="38"/>
  <c r="L16" i="37"/>
  <c r="D213" i="38"/>
  <c r="L25" i="35"/>
  <c r="N198" i="35"/>
  <c r="J439" i="38"/>
  <c r="E292" i="38"/>
  <c r="E406" i="38"/>
  <c r="E101" i="38"/>
  <c r="M372" i="35"/>
  <c r="D18" i="38"/>
  <c r="G29" i="38"/>
  <c r="D122" i="38"/>
  <c r="D281" i="38"/>
  <c r="N343" i="35"/>
  <c r="E165" i="38"/>
  <c r="E346" i="38"/>
  <c r="D354" i="38"/>
  <c r="F54" i="38"/>
  <c r="O23" i="37"/>
  <c r="N67" i="35"/>
  <c r="E277" i="38"/>
  <c r="N325" i="35"/>
  <c r="M93" i="35"/>
  <c r="I441" i="38"/>
  <c r="L44" i="35"/>
  <c r="M430" i="38"/>
  <c r="M425" i="35"/>
  <c r="M426" i="38"/>
  <c r="E139" i="38"/>
  <c r="L51" i="35"/>
  <c r="M413" i="35"/>
  <c r="N278" i="35"/>
  <c r="N358" i="35"/>
  <c r="K61" i="35"/>
  <c r="E237" i="38"/>
  <c r="D288" i="38"/>
  <c r="D140" i="38"/>
  <c r="N311" i="35"/>
  <c r="M252" i="35"/>
  <c r="F60" i="38"/>
  <c r="D254" i="38"/>
  <c r="L57" i="35"/>
  <c r="G26" i="38"/>
  <c r="N413" i="35"/>
  <c r="N48" i="35"/>
  <c r="M443" i="38"/>
  <c r="E231" i="38"/>
  <c r="E391" i="38"/>
  <c r="D259" i="38"/>
  <c r="E29" i="38"/>
  <c r="N345" i="35"/>
  <c r="E355" i="38"/>
  <c r="M253" i="35"/>
  <c r="N262" i="35"/>
  <c r="G4" i="38"/>
  <c r="H428" i="38"/>
  <c r="J428" i="38"/>
  <c r="E373" i="38"/>
  <c r="M261" i="35"/>
  <c r="M138" i="35"/>
  <c r="M265" i="35"/>
  <c r="K424" i="38"/>
  <c r="F440" i="38"/>
  <c r="N185" i="35"/>
  <c r="D164" i="38"/>
  <c r="N100" i="35"/>
  <c r="O19" i="37"/>
  <c r="K422" i="38"/>
  <c r="M259" i="35"/>
  <c r="L72" i="35"/>
  <c r="N316" i="35"/>
  <c r="M5" i="37"/>
  <c r="N72" i="35"/>
  <c r="E379" i="38"/>
  <c r="N357" i="35"/>
  <c r="D229" i="38"/>
  <c r="E41" i="38"/>
  <c r="L441" i="38"/>
  <c r="E88" i="38"/>
  <c r="F421" i="38"/>
  <c r="N279" i="35"/>
  <c r="N15" i="37"/>
  <c r="K24" i="35"/>
  <c r="H435" i="38"/>
  <c r="E340" i="38"/>
  <c r="D435" i="38"/>
  <c r="M384" i="35"/>
  <c r="K35" i="35"/>
  <c r="L87" i="35"/>
  <c r="E358" i="38"/>
  <c r="K46" i="35"/>
  <c r="M434" i="38"/>
  <c r="N194" i="35"/>
  <c r="E250" i="38"/>
  <c r="D342" i="38"/>
  <c r="E393" i="38"/>
  <c r="G3" i="38"/>
  <c r="N98" i="35"/>
  <c r="N270" i="35"/>
  <c r="D51" i="38"/>
  <c r="J6" i="37"/>
  <c r="M14" i="37"/>
  <c r="N309" i="35"/>
  <c r="K421" i="38"/>
  <c r="O15" i="37"/>
  <c r="E150" i="38"/>
  <c r="D125" i="38"/>
  <c r="E328" i="38"/>
  <c r="G438" i="38"/>
  <c r="N8" i="35"/>
  <c r="G43" i="38"/>
  <c r="N162" i="35"/>
  <c r="D24" i="38"/>
  <c r="E287" i="38"/>
  <c r="N217" i="35"/>
  <c r="N149" i="35"/>
  <c r="K19" i="37"/>
  <c r="D290" i="38"/>
  <c r="Q19" i="37"/>
  <c r="H427" i="38"/>
  <c r="N372" i="35"/>
  <c r="D9" i="38"/>
  <c r="E215" i="38"/>
  <c r="N233" i="35"/>
  <c r="E241" i="38"/>
  <c r="K22" i="35"/>
  <c r="N50" i="35"/>
  <c r="M12" i="35"/>
  <c r="M136" i="35"/>
  <c r="E235" i="38"/>
  <c r="E155" i="38"/>
  <c r="N256" i="35"/>
  <c r="D340" i="38"/>
  <c r="E157" i="38"/>
  <c r="M97" i="35"/>
  <c r="S15" i="37"/>
  <c r="E365" i="38"/>
  <c r="J7" i="37"/>
  <c r="D321" i="38"/>
  <c r="D27" i="38"/>
  <c r="F437" i="38"/>
  <c r="L119" i="35"/>
  <c r="E211" i="38"/>
  <c r="M318" i="35"/>
  <c r="E70" i="38"/>
  <c r="D123" i="38"/>
  <c r="I430" i="38"/>
  <c r="E95" i="38"/>
  <c r="E75" i="38"/>
  <c r="D426" i="38"/>
  <c r="D324" i="38"/>
  <c r="F443" i="38"/>
  <c r="K425" i="38"/>
  <c r="F441" i="38"/>
  <c r="H442" i="38"/>
  <c r="R7" i="37"/>
  <c r="G68" i="38"/>
  <c r="E242" i="38"/>
  <c r="D414" i="38"/>
  <c r="N330" i="35"/>
  <c r="D308" i="38"/>
  <c r="D232" i="38"/>
  <c r="D297" i="38"/>
  <c r="N240" i="35"/>
  <c r="Q5" i="37"/>
  <c r="M137" i="35"/>
  <c r="G2" i="38"/>
  <c r="S14" i="37"/>
  <c r="D362" i="38"/>
  <c r="E400" i="38"/>
  <c r="L24" i="35"/>
  <c r="E58" i="38"/>
  <c r="N6" i="37"/>
  <c r="E174" i="38"/>
  <c r="M218" i="35"/>
  <c r="E275" i="38"/>
  <c r="E216" i="38"/>
  <c r="D428" i="38"/>
  <c r="P15" i="37"/>
  <c r="D388" i="38"/>
  <c r="E172" i="38"/>
  <c r="L92" i="35"/>
  <c r="M440" i="38"/>
  <c r="D241" i="38"/>
  <c r="M437" i="38"/>
  <c r="L112" i="35"/>
  <c r="E167" i="38"/>
  <c r="M335" i="35"/>
  <c r="M433" i="35"/>
  <c r="N30" i="35"/>
  <c r="M427" i="38"/>
  <c r="D139" i="38"/>
  <c r="D371" i="38"/>
  <c r="Q3" i="37"/>
  <c r="D235" i="38"/>
  <c r="M152" i="35"/>
  <c r="D45" i="38"/>
  <c r="E408" i="38"/>
  <c r="D218" i="38"/>
  <c r="L101" i="35"/>
  <c r="E368" i="38"/>
  <c r="M70" i="35"/>
  <c r="N408" i="35"/>
  <c r="L103" i="35"/>
  <c r="N210" i="35"/>
  <c r="N211" i="35"/>
  <c r="N418" i="35"/>
  <c r="M13" i="35"/>
  <c r="D106" i="38"/>
  <c r="P3" i="37"/>
  <c r="E396" i="38"/>
  <c r="E35" i="38"/>
  <c r="M21" i="35"/>
  <c r="N409" i="35"/>
  <c r="K29" i="35"/>
  <c r="D352" i="38"/>
  <c r="D369" i="38"/>
  <c r="E422" i="38"/>
  <c r="E97" i="38"/>
  <c r="E194" i="38"/>
  <c r="G9" i="38"/>
  <c r="N295" i="35"/>
  <c r="K16" i="37"/>
  <c r="N444" i="35"/>
  <c r="J421" i="38"/>
  <c r="L35" i="37"/>
  <c r="J14" i="37"/>
  <c r="D147" i="38"/>
  <c r="D323" i="38"/>
  <c r="E220" i="38"/>
  <c r="N305" i="35"/>
  <c r="E307" i="38"/>
  <c r="M414" i="35"/>
  <c r="M181" i="35"/>
  <c r="L99" i="35"/>
  <c r="N124" i="35"/>
  <c r="L69" i="35"/>
  <c r="E279" i="38"/>
  <c r="N202" i="35"/>
  <c r="M226" i="35"/>
  <c r="M319" i="35"/>
  <c r="N435" i="35"/>
  <c r="D275" i="38"/>
  <c r="E409" i="38"/>
  <c r="J32" i="37"/>
  <c r="M75" i="35"/>
  <c r="N78" i="35"/>
  <c r="M401" i="35"/>
  <c r="K41" i="35"/>
  <c r="O35" i="37"/>
  <c r="M16" i="35"/>
  <c r="N420" i="35"/>
  <c r="M228" i="35"/>
  <c r="D442" i="38"/>
  <c r="E188" i="38"/>
  <c r="L23" i="37"/>
  <c r="L32" i="35"/>
  <c r="D377" i="38"/>
  <c r="J5" i="37"/>
  <c r="E378" i="38"/>
  <c r="M420" i="35"/>
  <c r="N251" i="35"/>
  <c r="M432" i="38"/>
  <c r="G437" i="38"/>
  <c r="E330" i="38"/>
  <c r="M82" i="35"/>
  <c r="D121" i="38"/>
  <c r="E151" i="38"/>
  <c r="M323" i="35"/>
  <c r="D145" i="38"/>
  <c r="L31" i="35"/>
  <c r="E441" i="38"/>
  <c r="E316" i="38"/>
  <c r="N254" i="35"/>
  <c r="D343" i="38"/>
  <c r="E113" i="38"/>
  <c r="E207" i="38"/>
  <c r="E426" i="38"/>
  <c r="D316" i="38"/>
  <c r="L43" i="35"/>
  <c r="M92" i="35"/>
  <c r="E189" i="38"/>
  <c r="N135" i="35"/>
  <c r="N266" i="35"/>
  <c r="M351" i="35"/>
  <c r="M6" i="37"/>
  <c r="N364" i="35"/>
  <c r="D390" i="38"/>
  <c r="M288" i="35"/>
  <c r="M269" i="35"/>
  <c r="M98" i="35"/>
  <c r="J429" i="38"/>
  <c r="E229" i="38"/>
  <c r="M407" i="35"/>
  <c r="N106" i="35"/>
  <c r="M439" i="35"/>
  <c r="N134" i="35"/>
  <c r="M342" i="35"/>
  <c r="E227" i="38"/>
  <c r="I433" i="38"/>
  <c r="D153" i="38"/>
  <c r="N394" i="35"/>
  <c r="D367" i="38"/>
  <c r="M320" i="35"/>
  <c r="D287" i="38"/>
  <c r="N381" i="35"/>
  <c r="N264" i="35"/>
  <c r="M64" i="35"/>
  <c r="L109" i="35"/>
  <c r="N397" i="35"/>
  <c r="G47" i="38"/>
  <c r="N87" i="35"/>
  <c r="D379" i="38"/>
  <c r="F61" i="38"/>
  <c r="E296" i="38"/>
  <c r="M23" i="35"/>
  <c r="E356" i="38"/>
  <c r="M418" i="35"/>
  <c r="L130" i="35"/>
  <c r="D402" i="38"/>
  <c r="E169" i="38"/>
  <c r="N207" i="35"/>
  <c r="M54" i="35"/>
  <c r="I438" i="38"/>
  <c r="F428" i="38"/>
  <c r="M125" i="35"/>
  <c r="L93" i="35"/>
  <c r="M37" i="35"/>
  <c r="N441" i="35"/>
  <c r="E81" i="38"/>
  <c r="N246" i="35"/>
  <c r="E109" i="38"/>
  <c r="N359" i="35"/>
  <c r="N94" i="35"/>
  <c r="D144" i="38"/>
  <c r="M10" i="37"/>
  <c r="N221" i="35"/>
  <c r="M146" i="35"/>
  <c r="D347" i="38"/>
  <c r="N379" i="35"/>
  <c r="D55" i="38"/>
  <c r="D111" i="38"/>
  <c r="L9" i="35"/>
  <c r="D36" i="38"/>
  <c r="F63" i="38"/>
  <c r="N199" i="35"/>
  <c r="M106" i="35"/>
  <c r="D159" i="38"/>
  <c r="N5" i="37"/>
  <c r="N21" i="35"/>
  <c r="N76" i="35"/>
  <c r="N129" i="35"/>
  <c r="M202" i="35"/>
  <c r="D60" i="38"/>
  <c r="M177" i="35"/>
  <c r="M25" i="35"/>
  <c r="N168" i="35"/>
  <c r="E439" i="38"/>
  <c r="M440" i="35"/>
  <c r="L133" i="35"/>
  <c r="K65" i="35"/>
  <c r="D205" i="38"/>
  <c r="L89" i="35"/>
  <c r="E376" i="38"/>
  <c r="M195" i="35"/>
  <c r="M271" i="35"/>
  <c r="G8" i="38"/>
  <c r="E337" i="38"/>
  <c r="D331" i="38"/>
  <c r="L88" i="35"/>
  <c r="L66" i="35"/>
  <c r="M336" i="35"/>
  <c r="D422" i="38"/>
  <c r="M61" i="35"/>
  <c r="G24" i="38"/>
  <c r="D373" i="38"/>
  <c r="M434" i="35"/>
  <c r="N63" i="35"/>
  <c r="D306" i="38"/>
  <c r="M247" i="35"/>
  <c r="D271" i="38"/>
  <c r="E278" i="38"/>
  <c r="M180" i="35"/>
  <c r="M309" i="35"/>
  <c r="D49" i="38"/>
  <c r="D197" i="38"/>
  <c r="M88" i="35"/>
  <c r="M429" i="35"/>
  <c r="L444" i="38"/>
  <c r="R14" i="37"/>
  <c r="N206" i="35"/>
  <c r="L86" i="35"/>
  <c r="M371" i="35"/>
  <c r="G48" i="38"/>
  <c r="F59" i="38"/>
  <c r="E434" i="38"/>
  <c r="M165" i="35"/>
  <c r="L121" i="35"/>
  <c r="M373" i="35"/>
  <c r="E142" i="38"/>
  <c r="M43" i="35"/>
  <c r="D361" i="38"/>
  <c r="D30" i="38"/>
  <c r="E331" i="38"/>
  <c r="M339" i="35"/>
  <c r="N291" i="35"/>
  <c r="N20" i="35"/>
  <c r="M29" i="35"/>
  <c r="E380" i="38"/>
  <c r="D338" i="38"/>
  <c r="K12" i="35"/>
  <c r="E228" i="38"/>
  <c r="E134" i="38"/>
  <c r="K11" i="35"/>
  <c r="E204" i="38"/>
  <c r="G6" i="38"/>
  <c r="N285" i="35"/>
  <c r="D28" i="38"/>
  <c r="G53" i="38"/>
  <c r="G25" i="38"/>
  <c r="D150" i="38"/>
  <c r="J444" i="38"/>
  <c r="N248" i="35"/>
  <c r="M347" i="35"/>
  <c r="N344" i="35"/>
  <c r="L120" i="35"/>
  <c r="E2" i="38"/>
  <c r="N112" i="35"/>
  <c r="D65" i="38"/>
  <c r="D181" i="38"/>
  <c r="D186" i="38"/>
  <c r="K432" i="38"/>
  <c r="N154" i="35"/>
  <c r="E199" i="38"/>
  <c r="D439" i="38"/>
  <c r="D285" i="38"/>
  <c r="M436" i="38"/>
  <c r="L94" i="35"/>
  <c r="J15" i="37"/>
  <c r="D89" i="38"/>
  <c r="N10" i="35"/>
  <c r="O6" i="37"/>
  <c r="N227" i="35"/>
  <c r="N113" i="35"/>
  <c r="K14" i="37"/>
  <c r="D385" i="38"/>
  <c r="N368" i="35"/>
  <c r="N77" i="35"/>
  <c r="E10" i="38"/>
  <c r="E427" i="38"/>
  <c r="E280" i="38"/>
  <c r="D15" i="38"/>
  <c r="N144" i="35"/>
  <c r="M424" i="35"/>
  <c r="E87" i="38"/>
  <c r="M260" i="35"/>
  <c r="D404" i="38"/>
  <c r="N398" i="35"/>
  <c r="L22" i="35"/>
  <c r="J438" i="38"/>
  <c r="J425" i="38"/>
  <c r="H432" i="38"/>
  <c r="E338" i="38"/>
  <c r="H440" i="38"/>
  <c r="D193" i="38"/>
  <c r="N433" i="35"/>
  <c r="D208" i="38"/>
  <c r="K56" i="35"/>
  <c r="M304" i="35"/>
  <c r="D419" i="38"/>
  <c r="E224" i="38"/>
  <c r="M393" i="35"/>
  <c r="M186" i="35"/>
  <c r="K43" i="35"/>
  <c r="N393" i="35"/>
  <c r="D258" i="38"/>
  <c r="E22" i="38"/>
  <c r="Q9" i="37"/>
  <c r="D392" i="38"/>
  <c r="N26" i="35"/>
  <c r="F42" i="38"/>
  <c r="M344" i="35"/>
  <c r="G39" i="38"/>
  <c r="I444" i="38"/>
  <c r="D47" i="38"/>
  <c r="M208" i="35"/>
  <c r="J441" i="38"/>
  <c r="E28" i="38"/>
  <c r="E96" i="38"/>
  <c r="I426" i="38"/>
  <c r="M13" i="37"/>
  <c r="K26" i="35"/>
  <c r="M44" i="35"/>
  <c r="D54" i="38"/>
  <c r="E294" i="38"/>
  <c r="J34" i="37"/>
  <c r="D256" i="38"/>
  <c r="E413" i="38"/>
  <c r="E381" i="38"/>
  <c r="E281" i="38"/>
  <c r="M267" i="35"/>
  <c r="E369" i="38"/>
  <c r="M124" i="35"/>
  <c r="M58" i="35"/>
  <c r="N146" i="35"/>
  <c r="N203" i="35"/>
  <c r="E360" i="38"/>
  <c r="D112" i="38"/>
  <c r="D131" i="38"/>
  <c r="N324" i="35"/>
  <c r="I439" i="38"/>
  <c r="K44" i="35"/>
  <c r="M3" i="35"/>
  <c r="L15" i="35"/>
  <c r="L55" i="35"/>
  <c r="N49" i="35"/>
  <c r="E146" i="38"/>
  <c r="E243" i="38"/>
  <c r="D42" i="38"/>
  <c r="D172" i="38"/>
  <c r="E107" i="38"/>
  <c r="D222" i="38"/>
  <c r="M445" i="38"/>
  <c r="M444" i="38"/>
  <c r="N442" i="35"/>
  <c r="J431" i="38"/>
  <c r="E259" i="38"/>
  <c r="M243" i="35"/>
  <c r="S21" i="37"/>
  <c r="D225" i="38"/>
  <c r="L438" i="38"/>
  <c r="D353" i="38"/>
  <c r="F46" i="38"/>
  <c r="S19" i="37"/>
  <c r="M87" i="35"/>
  <c r="D315" i="38"/>
  <c r="N13" i="37"/>
  <c r="D311" i="38"/>
  <c r="D282" i="38"/>
  <c r="D35" i="38"/>
  <c r="E273" i="38"/>
  <c r="D56" i="38"/>
  <c r="D215" i="38"/>
  <c r="M238" i="35"/>
  <c r="D192" i="38"/>
  <c r="E19" i="38"/>
  <c r="E437" i="38"/>
  <c r="M83" i="35"/>
  <c r="L5" i="37"/>
  <c r="G445" i="38"/>
  <c r="N228" i="35"/>
  <c r="N334" i="35"/>
  <c r="E173" i="38"/>
  <c r="M126" i="35"/>
  <c r="H421" i="38"/>
  <c r="N259" i="35"/>
  <c r="D50" i="38"/>
  <c r="K436" i="38"/>
  <c r="L79" i="35"/>
  <c r="D224" i="38"/>
  <c r="D26" i="38"/>
  <c r="N439" i="35"/>
  <c r="F39" i="38"/>
  <c r="N73" i="35"/>
  <c r="E177" i="38"/>
  <c r="L47" i="35"/>
  <c r="E335" i="38"/>
  <c r="N11" i="37"/>
  <c r="N327" i="35"/>
  <c r="M295" i="35"/>
  <c r="N222" i="35"/>
  <c r="E289" i="38"/>
  <c r="N347" i="35"/>
  <c r="E266" i="38"/>
  <c r="L110" i="35"/>
  <c r="G40" i="38"/>
  <c r="M311" i="35"/>
  <c r="D358" i="38"/>
  <c r="M219" i="35"/>
  <c r="M15" i="35"/>
  <c r="M276" i="35"/>
  <c r="L26" i="35"/>
  <c r="N200" i="35"/>
  <c r="D355" i="38"/>
  <c r="N215" i="35"/>
  <c r="K66" i="35"/>
  <c r="K51" i="35"/>
  <c r="E311" i="38"/>
  <c r="E57" i="38"/>
  <c r="D71" i="38"/>
  <c r="E183" i="38"/>
  <c r="E98" i="38"/>
  <c r="G439" i="38"/>
  <c r="M52" i="35"/>
  <c r="D391" i="38"/>
  <c r="M2" i="35"/>
  <c r="M166" i="35"/>
  <c r="L61" i="35"/>
  <c r="H426" i="38"/>
  <c r="N131" i="35"/>
  <c r="N241" i="35"/>
  <c r="D46" i="38"/>
  <c r="I432" i="38"/>
  <c r="E262" i="38"/>
  <c r="D138" i="38"/>
  <c r="L95" i="35"/>
  <c r="N156" i="35"/>
  <c r="Q15" i="37"/>
  <c r="E344" i="38"/>
  <c r="G59" i="38"/>
  <c r="E15" i="38"/>
  <c r="D170" i="38"/>
  <c r="M42" i="35"/>
  <c r="K59" i="35"/>
  <c r="N23" i="35"/>
  <c r="I429" i="38"/>
  <c r="N272" i="35"/>
  <c r="D29" i="38"/>
  <c r="E145" i="38"/>
  <c r="L440" i="38"/>
  <c r="M168" i="35"/>
  <c r="G21" i="38"/>
  <c r="N245" i="35"/>
  <c r="D245" i="38"/>
  <c r="L2" i="35"/>
  <c r="N212" i="35"/>
  <c r="F430" i="38"/>
  <c r="N71" i="35"/>
  <c r="D397" i="38"/>
  <c r="N380" i="35"/>
  <c r="N386" i="35"/>
  <c r="N204" i="35"/>
  <c r="H445" i="38"/>
  <c r="G433" i="38"/>
  <c r="D247" i="38"/>
  <c r="D330" i="38"/>
  <c r="E120" i="38"/>
  <c r="L80" i="35"/>
  <c r="N79" i="35"/>
  <c r="S11" i="37"/>
  <c r="E377" i="38"/>
  <c r="D307" i="38"/>
  <c r="D333" i="38"/>
  <c r="L68" i="35"/>
  <c r="N51" i="35"/>
  <c r="F18" i="38"/>
  <c r="M310" i="35"/>
  <c r="F12" i="38"/>
  <c r="M145" i="35"/>
  <c r="M231" i="35"/>
  <c r="N282" i="35"/>
  <c r="D98" i="38"/>
  <c r="I442" i="38"/>
  <c r="L60" i="35"/>
  <c r="D127" i="38"/>
  <c r="E197" i="38"/>
  <c r="M370" i="35"/>
  <c r="N197" i="35"/>
  <c r="M140" i="35"/>
  <c r="E284" i="38"/>
  <c r="N253" i="35"/>
  <c r="E425" i="38"/>
  <c r="N329" i="35"/>
  <c r="D167" i="38"/>
  <c r="L6" i="35"/>
  <c r="E352" i="38"/>
  <c r="E4" i="38"/>
  <c r="E193" i="38"/>
  <c r="M377" i="35"/>
  <c r="K437" i="38"/>
  <c r="D234" i="38"/>
  <c r="D407" i="38"/>
  <c r="E353" i="38"/>
  <c r="D81" i="38"/>
  <c r="E432" i="38"/>
  <c r="E191" i="38"/>
  <c r="N89" i="35"/>
  <c r="D39" i="38"/>
  <c r="M386" i="35"/>
  <c r="D350" i="38"/>
  <c r="M38" i="35"/>
  <c r="M16" i="37"/>
  <c r="N84" i="35"/>
  <c r="E321" i="38"/>
  <c r="G442" i="38"/>
  <c r="L10" i="35"/>
  <c r="M378" i="35"/>
  <c r="N34" i="35"/>
  <c r="N277" i="35"/>
  <c r="D289" i="38"/>
  <c r="D365" i="38"/>
  <c r="M132" i="35"/>
  <c r="E123" i="38"/>
  <c r="E233" i="38"/>
  <c r="F52" i="38"/>
  <c r="N153" i="35"/>
  <c r="D130" i="38"/>
  <c r="D277" i="38"/>
  <c r="L426" i="38"/>
  <c r="N360" i="35"/>
  <c r="M96" i="35"/>
  <c r="L49" i="35"/>
  <c r="D183" i="38"/>
  <c r="E327" i="38"/>
  <c r="D88" i="38"/>
  <c r="M47" i="35"/>
  <c r="E309" i="38"/>
  <c r="N126" i="35"/>
  <c r="E55" i="38"/>
  <c r="N352" i="35"/>
  <c r="M14" i="35"/>
  <c r="N230" i="35"/>
  <c r="K67" i="35"/>
  <c r="N436" i="35"/>
  <c r="E239" i="38"/>
  <c r="J10" i="37"/>
  <c r="N130" i="35"/>
  <c r="N261" i="35"/>
  <c r="F25" i="38"/>
  <c r="M307" i="35"/>
  <c r="E16" i="38"/>
  <c r="D295" i="38"/>
  <c r="M404" i="35"/>
  <c r="L435" i="38"/>
  <c r="J13" i="37"/>
  <c r="M35" i="37"/>
  <c r="D161" i="38"/>
  <c r="N195" i="35"/>
  <c r="M366" i="35"/>
  <c r="M282" i="35"/>
  <c r="M102" i="35"/>
  <c r="L91" i="35"/>
  <c r="N304" i="35"/>
  <c r="M394" i="35"/>
  <c r="M212" i="35"/>
  <c r="E140" i="38"/>
  <c r="E297" i="38"/>
  <c r="M148" i="35"/>
  <c r="M151" i="35"/>
  <c r="M442" i="38"/>
  <c r="E106" i="38"/>
  <c r="P9" i="37"/>
  <c r="D239" i="38"/>
  <c r="N15" i="35"/>
  <c r="N152" i="35"/>
  <c r="M245" i="35"/>
  <c r="K445" i="38"/>
  <c r="G67" i="38"/>
  <c r="G42" i="38"/>
  <c r="M422" i="38"/>
  <c r="D85" i="38"/>
  <c r="D7" i="38"/>
  <c r="M174" i="35"/>
  <c r="Q35" i="37"/>
  <c r="E349" i="38"/>
  <c r="D104" i="38"/>
  <c r="K27" i="35"/>
  <c r="R11" i="37"/>
  <c r="D293" i="38"/>
  <c r="D298" i="38"/>
  <c r="M6" i="35"/>
  <c r="D63" i="38"/>
  <c r="E442" i="38"/>
  <c r="D317" i="38"/>
  <c r="D191" i="38"/>
  <c r="E431" i="38"/>
  <c r="D238" i="38"/>
  <c r="D336" i="38"/>
  <c r="M108" i="35"/>
  <c r="E3" i="38"/>
  <c r="M297" i="35"/>
  <c r="E121" i="38"/>
  <c r="S16" i="37"/>
  <c r="M443" i="35"/>
  <c r="K4" i="35"/>
  <c r="M187" i="35"/>
  <c r="M30" i="35"/>
  <c r="M134" i="35"/>
  <c r="E141" i="38"/>
  <c r="E79" i="38"/>
  <c r="D264" i="38"/>
  <c r="M76" i="35"/>
  <c r="H424" i="38"/>
  <c r="M332" i="35"/>
  <c r="E144" i="38"/>
  <c r="N342" i="35"/>
  <c r="H443" i="38"/>
  <c r="M268" i="35"/>
  <c r="L12" i="35"/>
  <c r="M303" i="35"/>
  <c r="M200" i="35"/>
  <c r="L28" i="35"/>
  <c r="E303" i="38"/>
  <c r="J31" i="37"/>
  <c r="K440" i="38"/>
  <c r="M57" i="35"/>
  <c r="N375" i="35"/>
  <c r="F9" i="38"/>
  <c r="M330" i="35"/>
  <c r="J445" i="38"/>
  <c r="E104" i="38"/>
  <c r="D157" i="38"/>
  <c r="R35" i="37"/>
  <c r="F17" i="38"/>
  <c r="N86" i="35"/>
  <c r="D221" i="38"/>
  <c r="D212" i="38"/>
  <c r="D190" i="38"/>
  <c r="E374" i="38"/>
  <c r="M91" i="35"/>
  <c r="E305" i="38"/>
  <c r="D188" i="38"/>
  <c r="P10" i="37"/>
  <c r="L42" i="35"/>
  <c r="M45" i="35"/>
  <c r="D441" i="38"/>
  <c r="D291" i="38"/>
  <c r="N70" i="35"/>
  <c r="E388" i="38"/>
  <c r="M169" i="35"/>
  <c r="N306" i="35"/>
  <c r="M150" i="35"/>
  <c r="D357" i="38"/>
  <c r="N238" i="35"/>
  <c r="N95" i="35"/>
  <c r="M258" i="35"/>
  <c r="N118" i="35"/>
  <c r="J26" i="37"/>
  <c r="E399" i="38"/>
  <c r="M184" i="35"/>
  <c r="N410" i="35"/>
  <c r="G32" i="38"/>
  <c r="M415" i="35"/>
  <c r="R3" i="37"/>
  <c r="G12" i="38"/>
  <c r="M379" i="35"/>
  <c r="J427" i="38"/>
  <c r="M400" i="35"/>
  <c r="G14" i="38"/>
  <c r="L48" i="35"/>
  <c r="M251" i="35"/>
  <c r="M117" i="35"/>
  <c r="E430" i="38"/>
  <c r="E326" i="38"/>
  <c r="N40" i="35"/>
  <c r="N384" i="35"/>
  <c r="K13" i="35"/>
  <c r="M294" i="35"/>
  <c r="N213" i="35"/>
  <c r="E290" i="38"/>
  <c r="E225" i="38"/>
  <c r="P11" i="37"/>
  <c r="D8" i="38"/>
  <c r="Q7" i="37"/>
  <c r="D72" i="38"/>
  <c r="N412" i="35"/>
  <c r="S35" i="37"/>
  <c r="E178" i="38"/>
  <c r="E12" i="38"/>
  <c r="D329" i="38"/>
  <c r="M406" i="35"/>
  <c r="E232" i="38"/>
  <c r="D142" i="38"/>
  <c r="P13" i="37"/>
  <c r="D137" i="38"/>
  <c r="N423" i="35"/>
  <c r="N187" i="35"/>
  <c r="D257" i="38"/>
  <c r="D156" i="38"/>
  <c r="G60" i="38"/>
  <c r="M33" i="35"/>
  <c r="G50" i="38"/>
  <c r="M300" i="35"/>
  <c r="M345" i="35"/>
  <c r="D76" i="38"/>
  <c r="L7" i="35"/>
  <c r="D91" i="38"/>
  <c r="M359" i="35"/>
  <c r="M355" i="35"/>
  <c r="E9" i="38"/>
  <c r="D244" i="38"/>
  <c r="G22" i="38"/>
  <c r="E223" i="38"/>
  <c r="D198" i="38"/>
  <c r="N69" i="35"/>
  <c r="N377" i="35"/>
  <c r="D83" i="38"/>
  <c r="D437" i="38"/>
  <c r="E198" i="38"/>
  <c r="M68" i="35"/>
  <c r="N373" i="35"/>
  <c r="L123" i="35"/>
  <c r="N9" i="35"/>
  <c r="G31" i="38"/>
  <c r="D118" i="38"/>
  <c r="M257" i="35"/>
  <c r="J437" i="38"/>
  <c r="N290" i="35"/>
  <c r="N99" i="35"/>
  <c r="M402" i="35"/>
  <c r="D69" i="38"/>
  <c r="M308" i="35"/>
  <c r="N165" i="35"/>
  <c r="E36" i="38"/>
  <c r="M277" i="35"/>
  <c r="E244" i="38"/>
  <c r="K438" i="38"/>
  <c r="G429" i="38"/>
  <c r="E385" i="38"/>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<sst xmlns="http://schemas.openxmlformats.org/spreadsheetml/2006/main" count="4764" uniqueCount="3062">
  <si>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</si>
  <si>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</si>
  <si>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</si>
  <si>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</si>
  <si>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</si>
  <si>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</si>
  <si>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</si>
  <si>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</si>
  <si>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</si>
  <si>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</si>
  <si>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</si>
  <si>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</si>
  <si>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</si>
  <si>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</si>
  <si>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</si>
  <si>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</si>
  <si>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</si>
  <si>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</si>
  <si>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</si>
  <si>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</si>
  <si>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</si>
  <si>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</si>
  <si>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</si>
  <si>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</si>
  <si>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</si>
  <si>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</si>
  <si>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</si>
  <si>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</si>
  <si>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</si>
  <si>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</si>
  <si>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</si>
  <si>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</si>
  <si>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</si>
  <si>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</si>
  <si>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</si>
  <si>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</si>
  <si>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</si>
  <si>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</si>
  <si>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</si>
  <si>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</si>
  <si>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</si>
  <si>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</si>
  <si>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</si>
  <si>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</si>
  <si>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</si>
  <si>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</si>
  <si>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</si>
  <si>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</si>
  <si>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</si>
  <si>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</si>
  <si>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</si>
  <si>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</si>
  <si>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</si>
  <si>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</si>
  <si>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</si>
  <si>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</si>
  <si>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</si>
  <si>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</si>
  <si>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</si>
  <si>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</si>
  <si>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</si>
  <si>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</si>
  <si>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</si>
  <si>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</si>
  <si>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</si>
  <si>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</si>
  <si>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</si>
  <si>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</si>
  <si>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</si>
  <si>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</si>
  <si>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</si>
  <si>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</si>
  <si>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</si>
  <si>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</si>
  <si>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</si>
  <si>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</si>
  <si>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</si>
  <si>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</si>
  <si>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</si>
  <si>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</si>
  <si>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</si>
  <si>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</si>
  <si>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</si>
  <si>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</si>
  <si>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</si>
  <si>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</si>
  <si>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</si>
  <si>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</si>
  <si>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</si>
  <si>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</si>
  <si>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</si>
  <si>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</si>
  <si>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</si>
  <si>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</si>
  <si>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</si>
  <si>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</si>
  <si>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</si>
  <si>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</si>
  <si>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</si>
  <si>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</si>
  <si>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</si>
  <si>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</si>
  <si>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</si>
  <si>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</si>
  <si>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</si>
  <si>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</si>
  <si>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</si>
  <si>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</si>
  <si>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</si>
  <si>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</si>
  <si>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</si>
  <si>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</si>
  <si>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</si>
  <si>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</si>
  <si>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</si>
  <si>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</si>
  <si>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</si>
  <si>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</si>
  <si>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</si>
  <si>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</si>
  <si>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</si>
  <si>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</si>
  <si>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</si>
  <si>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</si>
  <si>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</si>
  <si>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</si>
  <si>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</si>
  <si>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</si>
  <si>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</si>
  <si>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</si>
  <si>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</si>
  <si>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</si>
  <si>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</si>
  <si>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</si>
  <si>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</si>
  <si>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</si>
  <si>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</si>
  <si>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</si>
  <si>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</si>
  <si>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</si>
  <si>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</si>
  <si>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</si>
  <si>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</si>
  <si>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</si>
  <si>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</si>
  <si>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</si>
  <si>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</si>
  <si>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</si>
  <si>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</si>
  <si>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</si>
  <si>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</si>
  <si>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</si>
  <si>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</si>
  <si>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</si>
  <si>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</si>
  <si>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</si>
  <si>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</si>
  <si>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</si>
  <si>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</si>
  <si>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</si>
  <si>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</si>
  <si>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</si>
  <si>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</si>
  <si>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</si>
  <si>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</si>
  <si>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</si>
  <si>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</si>
  <si>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</si>
  <si>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</si>
  <si>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</si>
  <si>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</si>
  <si>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</si>
  <si>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</si>
  <si>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</si>
  <si>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</si>
  <si>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</si>
  <si>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</si>
  <si>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</si>
  <si>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</si>
  <si>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</si>
  <si>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</si>
  <si>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</si>
  <si>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</si>
  <si>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</si>
  <si>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</si>
  <si>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</si>
  <si>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</si>
  <si>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</si>
  <si>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</si>
  <si>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</si>
  <si>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</si>
  <si>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</si>
  <si>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</si>
  <si>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</si>
  <si>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</si>
  <si>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</si>
  <si>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</si>
  <si>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</si>
  <si>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</si>
  <si>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</si>
  <si>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</si>
  <si>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</si>
  <si>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</si>
  <si>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</si>
  <si>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</si>
  <si>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</si>
  <si>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</si>
  <si>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</si>
  <si>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</si>
  <si>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</si>
  <si>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</si>
  <si>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</si>
  <si>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</si>
  <si>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</si>
  <si>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</si>
  <si>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</si>
  <si>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</si>
  <si>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</si>
  <si>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</si>
  <si>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</si>
  <si>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</si>
  <si>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</si>
  <si>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</si>
  <si>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</si>
  <si>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</si>
  <si>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</si>
  <si>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</si>
  <si>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</si>
  <si>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</si>
  <si>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</si>
  <si>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</si>
  <si>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</si>
  <si>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</si>
  <si>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</si>
  <si>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</si>
  <si>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</si>
  <si>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</si>
  <si>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</si>
  <si>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</si>
  <si>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</si>
  <si>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</si>
  <si>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</si>
  <si>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</si>
  <si>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</si>
  <si>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</si>
  <si>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</si>
  <si>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</si>
  <si>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</si>
  <si>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</si>
  <si>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</si>
  <si>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</si>
  <si>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</si>
  <si>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</si>
  <si>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</si>
  <si>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</si>
  <si>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</si>
  <si>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</si>
  <si>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</si>
  <si>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</si>
  <si>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</si>
  <si>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</si>
  <si>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</si>
  <si>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</si>
  <si>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</si>
  <si>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</si>
  <si>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</si>
  <si>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</si>
  <si>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</si>
  <si>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</si>
  <si>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</si>
  <si>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</si>
  <si>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</si>
  <si>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</si>
  <si>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</si>
  <si>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</si>
  <si>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</si>
  <si>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</si>
  <si>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</si>
  <si>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</si>
  <si>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</si>
  <si>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</si>
  <si>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</si>
  <si>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</si>
  <si>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</si>
  <si>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</si>
  <si>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</si>
  <si>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</si>
  <si>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</si>
  <si>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</si>
  <si>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</si>
  <si>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</si>
  <si>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</si>
  <si>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</si>
  <si>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</si>
  <si>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</si>
  <si>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</si>
  <si>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</si>
  <si>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</si>
  <si>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</si>
  <si>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</si>
  <si>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</si>
  <si>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</si>
  <si>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</si>
  <si>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</si>
  <si>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</si>
  <si>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</si>
  <si>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</si>
  <si>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</si>
  <si>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</si>
  <si>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</si>
  <si>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</si>
  <si>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</si>
  <si>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</si>
  <si>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</si>
  <si>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</si>
  <si>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</si>
  <si>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</si>
  <si>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</si>
  <si>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</si>
  <si>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</si>
  <si>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</si>
  <si>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</si>
  <si>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</si>
  <si>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</si>
  <si>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</si>
  <si>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</si>
  <si>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</si>
  <si>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</si>
  <si>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</si>
  <si>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</si>
  <si>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</si>
  <si>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</si>
  <si>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</si>
  <si>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</si>
  <si>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</si>
  <si>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</si>
  <si>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</si>
  <si>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</si>
  <si>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</si>
  <si>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</si>
  <si>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</si>
  <si>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</si>
  <si>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</si>
  <si>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</si>
  <si>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</si>
  <si>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</si>
  <si>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</si>
  <si>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</si>
  <si>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</si>
  <si>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Od toga: prihodi od učešća u dobiti (dividendi)</t>
  </si>
  <si>
    <t>TROŠKOVI MATERIJALA</t>
  </si>
  <si>
    <t>Od toga: troškovi goriva i energije</t>
  </si>
  <si>
    <t>TROŠKOVI ZARADA, NAKNADA ZARADA I OSTALIH LIČNIH RASHODA</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</si>
  <si>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</si>
  <si>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</si>
  <si>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</si>
  <si>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</si>
  <si>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612</t>
  </si>
  <si>
    <t>dio 611</t>
  </si>
  <si>
    <t>dio 660</t>
  </si>
  <si>
    <t>dio 670</t>
  </si>
  <si>
    <t>dio 532</t>
  </si>
  <si>
    <t>dio 539</t>
  </si>
  <si>
    <t>dio 555</t>
  </si>
  <si>
    <t>part 612</t>
  </si>
  <si>
    <t>part 611</t>
  </si>
  <si>
    <t>part 650</t>
  </si>
  <si>
    <t>part 660</t>
  </si>
  <si>
    <t>part 670</t>
  </si>
  <si>
    <t>part 532</t>
  </si>
  <si>
    <t>part 539</t>
  </si>
  <si>
    <t>part 550</t>
  </si>
  <si>
    <t>part 555</t>
  </si>
  <si>
    <t>a) Income from premiums, subsidies, grants, vacation allowances, compensations and tax returns</t>
  </si>
  <si>
    <t>Od toga: prihodi po osnovu subvencija na proizvode (subvencije koje se mogu prikazati po jedinici proizvoda, npr. vozna karta, brašno, hljeb, mlijeko i dr.)</t>
  </si>
  <si>
    <t>Of which: income from product subsidies (subsidies that could be displayed per product unit, e.g. traveler ticket, flour, bread, milk, etc.)</t>
  </si>
  <si>
    <t>b) Prihod od zakupnina</t>
  </si>
  <si>
    <t>b) Income from rent</t>
  </si>
  <si>
    <t>c) Income from donations</t>
  </si>
  <si>
    <t>d) Income from membership fees</t>
  </si>
  <si>
    <t>e) Income from bonuses and license rights</t>
  </si>
  <si>
    <t>f) Income from dedicated funding sources (budgets, funds, etc.)</t>
  </si>
  <si>
    <t>g) Other operating incomes from other sources</t>
  </si>
  <si>
    <t>FINANCIAL AND OTHER INCOME</t>
  </si>
  <si>
    <t>Of which: income from share in profit (dividends)</t>
  </si>
  <si>
    <t>Gains from sale of real-estate, plant and equipment</t>
  </si>
  <si>
    <t xml:space="preserve">MATERIAL EXPENSES </t>
  </si>
  <si>
    <t>Of which: fuel and energy expenses</t>
  </si>
  <si>
    <t xml:space="preserve">WAGES, SALARIES, EMPLOYEE BENEFITS  AND OTHER PERSONAL EXPENSES  </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</si>
  <si>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</si>
  <si>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</si>
  <si>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</si>
  <si>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</si>
  <si>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</si>
  <si>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</si>
  <si>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</si>
  <si>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</si>
  <si>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</si>
  <si>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 xml:space="preserve"> Calculated (invoiced) value added tax (cumulative turnover of account)</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</si>
  <si>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</si>
  <si>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</si>
  <si>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</si>
  <si>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</si>
  <si>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</si>
  <si>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</si>
  <si>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</si>
  <si>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</si>
  <si>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</si>
  <si>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</si>
  <si>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</si>
  <si>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</si>
  <si>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</si>
  <si>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</si>
  <si>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</si>
  <si>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</si>
  <si>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</si>
  <si>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</si>
  <si>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</si>
  <si>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</si>
  <si>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</si>
  <si>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</si>
  <si>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</si>
  <si>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</si>
  <si>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</si>
  <si>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</si>
  <si>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</si>
  <si>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</si>
  <si>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</si>
  <si>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</si>
  <si>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</si>
  <si>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</si>
  <si>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</si>
  <si>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</si>
  <si>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</si>
  <si>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</si>
  <si>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</si>
  <si>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</si>
  <si>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</si>
  <si>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</si>
  <si>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</si>
  <si>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</si>
  <si>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</si>
  <si>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</si>
  <si>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</si>
  <si>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</si>
  <si>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</si>
  <si>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</si>
  <si>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</si>
  <si>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</si>
  <si>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</si>
  <si>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</si>
  <si>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</si>
  <si>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</si>
  <si>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</si>
  <si>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</si>
  <si>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</si>
  <si>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</si>
  <si>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</si>
  <si>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</si>
  <si>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</si>
  <si>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</si>
  <si>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</si>
  <si>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</si>
  <si>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</si>
  <si>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</si>
  <si>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</si>
  <si>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</si>
  <si>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</si>
  <si>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</si>
  <si>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</si>
  <si>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</si>
  <si>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</si>
  <si>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</si>
  <si>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</si>
  <si>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</si>
  <si>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</si>
  <si>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</si>
  <si>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</si>
  <si>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</si>
  <si>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</si>
  <si>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</si>
  <si>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</si>
  <si>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</si>
  <si>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</si>
  <si>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</si>
  <si>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</si>
  <si>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</si>
  <si>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</si>
  <si>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</si>
  <si>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</si>
  <si>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</si>
  <si>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</si>
  <si>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</si>
  <si>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</si>
  <si>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</si>
  <si>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</si>
  <si>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</si>
  <si>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</si>
  <si>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</si>
  <si>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</si>
  <si>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</si>
  <si>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</si>
  <si>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</si>
  <si>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</si>
  <si>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</si>
  <si>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</si>
  <si>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</si>
  <si>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</si>
  <si>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</si>
  <si>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</si>
  <si>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</si>
  <si>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</si>
  <si>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</si>
  <si>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Izvještaj o ostalim dobicima i gubicima perioda</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</si>
  <si>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</si>
  <si>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</si>
  <si>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</si>
  <si>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</si>
  <si>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</si>
  <si>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</si>
  <si>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</si>
  <si>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</si>
  <si>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</si>
  <si>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</si>
  <si>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</si>
  <si>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</si>
  <si>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</si>
  <si>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</si>
  <si>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</si>
  <si>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</si>
  <si>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</si>
  <si>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</si>
  <si>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</si>
  <si>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</si>
  <si>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</si>
  <si>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</si>
  <si>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</si>
  <si>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</si>
  <si>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</si>
  <si>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</si>
  <si>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</si>
  <si>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</si>
  <si>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</si>
  <si>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</si>
  <si>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</si>
  <si>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</si>
  <si>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</si>
  <si>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</si>
  <si>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</si>
  <si>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</si>
  <si>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</si>
  <si>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</si>
  <si>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</si>
  <si>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</si>
  <si>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</si>
  <si>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</si>
  <si>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</si>
  <si>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</si>
  <si>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</si>
  <si>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</si>
  <si>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</si>
  <si>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</si>
  <si>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</si>
  <si>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</si>
  <si>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</si>
  <si>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</si>
  <si>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</si>
  <si>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Prihodi od prodaje učinaka u Republici Srpskoj i prihodi od prodaje učinaka povezanim pravnim licima u RS</t>
  </si>
  <si>
    <t>Приходи од продаје учинака у Републици Српској и приходи од продаје учинака повезаним правним лицима у РС</t>
  </si>
  <si>
    <t>Income from sales of products in RS and income from sales of merchandise goods to related legal entities in RS</t>
  </si>
  <si>
    <t>Prihodi od prodaje učinaka u Federaciji BiH i prihodi od prodaje učinaka povezanim pravnim licima u FBiH</t>
  </si>
  <si>
    <t>Приходи од продаје учинака у Федерацији БиХ и приходи од продаје учинака повезаним правним лицима у ФБиХ</t>
  </si>
  <si>
    <t>Income from sales of products in FBiH and income from sales of merchandise goods to related legal entities in FBiH</t>
  </si>
  <si>
    <t>Prihodi od prodaje učinaka u Brčko Distriktu BiH i prihodi od prodaje učinaka povezanim pravnim licima u BD</t>
  </si>
  <si>
    <t>Приходи од продаје учинака у Брчко Дистрикту БиХ и приходи од продаје учинака повезаним правним лицима у БД</t>
  </si>
  <si>
    <t>Income from sales of products in BD and income from sales of merchandise goods to related legal entities in BD</t>
  </si>
  <si>
    <t>Prihodi od prodaje usluga u Republici Srpskoj</t>
  </si>
  <si>
    <t>Приходи од продаје услуга у Републици Српској</t>
  </si>
  <si>
    <t>Income from sales of services in RS</t>
  </si>
  <si>
    <t>Prihodi od prodaje usluga u Federaciji BiH</t>
  </si>
  <si>
    <t>Приходи од продаје услуга у Федерацији БиХ</t>
  </si>
  <si>
    <t>Income from sales of services in FBiH</t>
  </si>
  <si>
    <t>Prihodi od prodaje usluga u Brčko Distriktu BiH</t>
  </si>
  <si>
    <t>Приходи од продаје услуга у Брчко Дистрикту БиХ</t>
  </si>
  <si>
    <t>Income from sales of services in BD</t>
  </si>
  <si>
    <t>a) Prihodi od premija, subvencija, dotacija, regresa, podsticaja i slično</t>
  </si>
  <si>
    <t>а) Приходи од премија, субвенција, дотација, регреса, подстицаја и слично</t>
  </si>
  <si>
    <t>Од тога: приходи по основу субвенција на производе (субвенције које се могу приказати по јединици производа, нпр. возна карта, брашно, хљеб, млијеко и др.)</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</si>
  <si>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</si>
  <si>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</si>
  <si>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</si>
  <si>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</si>
  <si>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</si>
  <si>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е) Остали пословни приходи по другим основима</t>
  </si>
  <si>
    <t>ФИНАНСИЈСКИ И ОСТАЛИ ПРИХОДИ</t>
  </si>
  <si>
    <t>Од тога: приходи од учешћа у добити (дивиденди)</t>
  </si>
  <si>
    <t>Dobici po osnovu prodaje nekretnina, postrojenja i opreme</t>
  </si>
  <si>
    <t>Добици по основу продаје некретнина, постројења и опреме</t>
  </si>
  <si>
    <t>ТРОШКОВИ МАТЕРИЈАЛА</t>
  </si>
  <si>
    <t>Од тога: трошкови горива и енергије</t>
  </si>
  <si>
    <t>ТРОШКОВИ ЗАРАДА, НАКНАДА ЗАРАДА И ОСТАЛИХ ЛИЧНИХ РАСХОДА</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</si>
  <si>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</si>
  <si>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</si>
  <si>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</si>
  <si>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</si>
  <si>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</si>
  <si>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</si>
  <si>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</si>
  <si>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</si>
  <si>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</si>
  <si>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</si>
  <si>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</si>
  <si>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</si>
  <si>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</si>
  <si>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</si>
  <si>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</si>
  <si>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</si>
  <si>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</si>
  <si>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</si>
  <si>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</si>
  <si>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</si>
  <si>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</si>
  <si>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</si>
  <si>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</si>
  <si>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</si>
  <si>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</si>
  <si>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</si>
  <si>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</si>
  <si>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</si>
  <si>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</si>
  <si>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</si>
  <si>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</si>
  <si>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</si>
  <si>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</si>
  <si>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</si>
  <si>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</si>
  <si>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</si>
  <si>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</si>
  <si>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</si>
  <si>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</si>
  <si>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</si>
  <si>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</si>
  <si>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</si>
  <si>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</si>
  <si>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</si>
  <si>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</si>
  <si>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</si>
  <si>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</si>
  <si>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</si>
  <si>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</si>
  <si>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</si>
  <si>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</si>
  <si>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</si>
  <si>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</si>
  <si>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</si>
  <si>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</si>
  <si>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</si>
  <si>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</si>
  <si>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</si>
  <si>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</si>
  <si>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</si>
  <si>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</si>
  <si>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</si>
  <si>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</si>
  <si>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</si>
  <si>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</si>
  <si>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</si>
  <si>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</si>
  <si>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</si>
  <si>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</si>
  <si>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</si>
  <si>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</si>
  <si>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</si>
  <si>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</si>
  <si>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</si>
  <si>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</si>
  <si>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</si>
  <si>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</si>
  <si>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</si>
  <si>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</si>
  <si>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</si>
  <si>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</si>
  <si>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</si>
  <si>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</si>
  <si>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</si>
  <si>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</si>
  <si>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</si>
  <si>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</si>
  <si>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</si>
  <si>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</si>
  <si>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</si>
  <si>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</si>
  <si>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</si>
  <si>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</si>
  <si>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</si>
  <si>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</si>
  <si>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</si>
  <si>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</si>
  <si>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</si>
  <si>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</si>
  <si>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</si>
  <si>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</si>
  <si>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</si>
  <si>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</si>
  <si>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</si>
  <si>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</si>
  <si>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</si>
  <si>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</si>
  <si>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</si>
  <si>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</si>
  <si>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</si>
  <si>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</si>
  <si>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</si>
  <si>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</si>
  <si>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</si>
  <si>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</si>
  <si>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</si>
  <si>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</si>
  <si>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</si>
  <si>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</si>
  <si>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</si>
  <si>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601, dio 600</t>
  </si>
  <si>
    <t>601, дио 600</t>
  </si>
  <si>
    <t>601, part 600</t>
  </si>
  <si>
    <t>602, dio 600</t>
  </si>
  <si>
    <t>602, дио 600</t>
  </si>
  <si>
    <t>602, part 600</t>
  </si>
  <si>
    <t>603, dio 600</t>
  </si>
  <si>
    <t>603, дио 600</t>
  </si>
  <si>
    <t>603, part 600</t>
  </si>
  <si>
    <t>611, dio 610</t>
  </si>
  <si>
    <t>611, дио 610</t>
  </si>
  <si>
    <t>611, part 610</t>
  </si>
  <si>
    <t>612, dio 610</t>
  </si>
  <si>
    <t>612, дио 610</t>
  </si>
  <si>
    <t>612, part 610</t>
  </si>
  <si>
    <t>613, dio 610</t>
  </si>
  <si>
    <t>613, дио 610</t>
  </si>
  <si>
    <t>613, part 610</t>
  </si>
  <si>
    <t>дио 611</t>
  </si>
  <si>
    <t>дио 612</t>
  </si>
  <si>
    <t>dio 613</t>
  </si>
  <si>
    <t>дио 613</t>
  </si>
  <si>
    <t>part 613</t>
  </si>
  <si>
    <t>дио 650</t>
  </si>
  <si>
    <t>66 + 67</t>
  </si>
  <si>
    <t>дио 660</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</si>
  <si>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</si>
  <si>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</si>
  <si>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</si>
  <si>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</si>
  <si>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</si>
  <si>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</si>
  <si>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</si>
  <si>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</si>
  <si>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</si>
  <si>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</si>
  <si>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</si>
  <si>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</si>
  <si>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</si>
  <si>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</si>
  <si>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</si>
  <si>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</si>
  <si>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</si>
  <si>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</si>
  <si>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</si>
  <si>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</si>
  <si>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</si>
  <si>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</si>
  <si>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</si>
  <si>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</si>
  <si>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</si>
  <si>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</si>
  <si>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</si>
  <si>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</si>
  <si>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</si>
  <si>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</si>
  <si>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</si>
  <si>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</si>
  <si>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</si>
  <si>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</si>
  <si>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</si>
  <si>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</si>
  <si>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</si>
  <si>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</si>
  <si>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</si>
  <si>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</si>
  <si>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</si>
  <si>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</si>
  <si>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</si>
  <si>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</si>
  <si>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</si>
  <si>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</si>
  <si>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</si>
  <si>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</si>
  <si>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</si>
  <si>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</si>
  <si>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</si>
  <si>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</si>
  <si>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</si>
  <si>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</si>
  <si>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</si>
  <si>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dio 61</t>
  </si>
  <si>
    <t>522 + 523</t>
  </si>
  <si>
    <t>nema konta</t>
  </si>
  <si>
    <t>part 61</t>
  </si>
  <si>
    <t>дио 61</t>
  </si>
  <si>
    <t>Prihodi od prodaje proizvoda</t>
  </si>
  <si>
    <t>Prihodi od prodaje usluga</t>
  </si>
  <si>
    <t>OSTALI POSLOVNI PRIHODI (620 + 623 + 624 + 625 + 626 + 627 + 628)</t>
  </si>
  <si>
    <t>Prihodi po osnovu ugovorene zaštite od rizika koji ne ispunjavaju uslove da se iskažu u okviru revalorizacionih rezervi</t>
  </si>
  <si>
    <t>Troškovi bruto naknada članovima upravnog, nadzornog, odbora za reviziju i dr.</t>
  </si>
  <si>
    <t>TROŠKOVI PROIZVODNIH USLUGA (640 + 641 + 642 + 643 + 644 + 645 + 646 + 647)</t>
  </si>
  <si>
    <t>NEMATERIJALNI TROŠKOVI (650 + 653 + 654 + 655 + 656 + 657 + 658 + 659)</t>
  </si>
  <si>
    <t>a) Troškovi neproizvodnih usluga</t>
  </si>
  <si>
    <t>Od toga: troškovi stručnog obrazovanja i usavršavanja zaposlenih</t>
  </si>
  <si>
    <t>b) Troškovi reprezentacije</t>
  </si>
  <si>
    <t>v) Troškovi premije osiguranja</t>
  </si>
  <si>
    <t>g) Troškovi platnog prometa</t>
  </si>
  <si>
    <t>d) Troškovi članarina</t>
  </si>
  <si>
    <t>đ) Troškovi poreza na proizvode, carine, boravišne takse, porez na igre na sreću i sl.</t>
  </si>
  <si>
    <t>ž) Ostali nematerijalni troškovi</t>
  </si>
  <si>
    <t>e) Troškovi poreza na proizvodnju: na imovinu, na zemljište, za korišćenje voda i šuma, za protivpožarnu zaštitu i sl.</t>
  </si>
  <si>
    <t>1</t>
  </si>
  <si>
    <t>Income from sales of products</t>
  </si>
  <si>
    <t>Income from sales of services</t>
  </si>
  <si>
    <t>a) Non-productive services expense</t>
  </si>
  <si>
    <t>b) Representation expense</t>
  </si>
  <si>
    <t>c) Insurance premium expanse</t>
  </si>
  <si>
    <t>d) Money transfer expense</t>
  </si>
  <si>
    <t>e) Membership fee expanse</t>
  </si>
  <si>
    <t>f) Taxes on products, duties, residential tax, gambling tax, etc.</t>
  </si>
  <si>
    <t>g) Taxes on production: property and land taxes, taxes for water and forest, fire protection, etc.</t>
  </si>
  <si>
    <t>h) Other non-material expenses</t>
  </si>
  <si>
    <t>нема конта</t>
  </si>
  <si>
    <t>Приходи од продаје услуга</t>
  </si>
  <si>
    <t>Приходи од продаје производа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</si>
  <si>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</si>
  <si>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</si>
  <si>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а) Трошкови непроизводних услуга</t>
  </si>
  <si>
    <t>б) Трошкови репрезентације</t>
  </si>
  <si>
    <t>в) Трошкови премије осигурања</t>
  </si>
  <si>
    <t>г) Трошкови платног промета</t>
  </si>
  <si>
    <t>д) Трошкови чланарина</t>
  </si>
  <si>
    <t>ђ) Трошкови пореза на производе, царине, боравишне таксе, порез на игре на срећу и сл.</t>
  </si>
  <si>
    <t>е) Трошкови пореза на производњу: на имовину, на земљиште, за коришћење вода и шума, за противпожарну заштиту и сл.</t>
  </si>
  <si>
    <t>ж) Остали нематеријални трошкови</t>
  </si>
  <si>
    <t>Gross salaries to the members of the Management, Supervisory, the Board of Auditors and others.</t>
  </si>
  <si>
    <t>Od toga: prihodi po osnovu subvencija na proizvodnju (na zapošljavanje, platu, kamatnu stopu, za smanjenje zagađenja i dr.)</t>
  </si>
  <si>
    <t>Од тога: приходи по основу субвенција на производњу (на запошљавање, плату, каматну стопу, за смањење загађења и др.)</t>
  </si>
  <si>
    <t>Of which: income from subsidies given for production (hiring, salary, interest rate, reduction of pollution, etc.)</t>
  </si>
  <si>
    <t>309</t>
  </si>
  <si>
    <t>35</t>
  </si>
  <si>
    <t>Pozitivne promjene, odnosno korekcije, se unose kao pozitivni brojevi (osnovni kapital, dobitak period, pozitivne korekcije).</t>
  </si>
  <si>
    <t>Obveznici koji u izvještajnom periodu nisu ostvarili ostale dobitke i gubitke, odnosno dobitke i gubitke utvrđene direktno u kapitalu nisu obavezni da prezentuju Izvještaj o ostalim dobicima i gubicima u periodu.</t>
  </si>
  <si>
    <t>U Aneksu popunjavaju se kolone 4 i 5, dok se zbirovi automatski računaju.</t>
  </si>
  <si>
    <t>Ukoliko prilikom popunjavanja tabela imate bilo kakva pitanja budite slobodni da kontaktirate Sektor za poslovne operacije:</t>
  </si>
  <si>
    <t>ОСТАЛИ ПОСЛОВНИ ПРИХОДИ (620 + 623 + 624 + 625 + 626 + 627 + 628)</t>
  </si>
  <si>
    <t>OTHER OPERATING INCOME (620 + 623 + 624 + 625 + 626 + 627 + 628)</t>
  </si>
  <si>
    <t>ТРОШКОВИ ПРОИЗВОДНИХ УСЛУГА (640 + 641 + 642 + 643 + 644 + 645 + 646 + 647)</t>
  </si>
  <si>
    <t>SERVICE EXPENSES (640 + 641 + 642 + 643 + 644 + 645 + 646 + 647)</t>
  </si>
  <si>
    <t>НЕМАТЕРИЈАЛНИ ТРОШКОВИ (650 + 653 + 654 + 655 + 656 + 657 + 658 + 659)</t>
  </si>
  <si>
    <t>NON-MATERIAL EXPENSES (650 + 653 + 654 + 655 + 656 + 657 + 658 + 659)</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</si>
  <si>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</si>
  <si>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</si>
  <si>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</si>
  <si>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</si>
  <si>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</si>
  <si>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</si>
  <si>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</si>
  <si>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</si>
  <si>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</si>
  <si>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</si>
  <si>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</si>
  <si>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</si>
  <si>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</si>
  <si>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</si>
  <si>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</si>
  <si>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</si>
  <si>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</si>
  <si>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</si>
  <si>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</si>
  <si>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</si>
  <si>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</si>
  <si>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</si>
  <si>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</si>
  <si>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</si>
  <si>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</si>
  <si>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</si>
  <si>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</si>
  <si>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</si>
  <si>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</si>
  <si>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</si>
  <si>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</si>
  <si>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</si>
  <si>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</si>
  <si>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</si>
  <si>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</si>
  <si>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</si>
  <si>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</si>
  <si>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</si>
  <si>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</si>
  <si>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</si>
  <si>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</si>
  <si>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</si>
  <si>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</si>
  <si>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</si>
  <si>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</si>
  <si>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</si>
  <si>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</si>
  <si>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</si>
  <si>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</si>
  <si>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</si>
  <si>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</si>
  <si>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</si>
  <si>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</si>
  <si>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</si>
  <si>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</si>
  <si>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</si>
  <si>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</si>
  <si>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</si>
  <si>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</si>
  <si>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</si>
  <si>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</si>
  <si>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</si>
  <si>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</si>
  <si>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</si>
  <si>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</si>
  <si>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</si>
  <si>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</si>
  <si>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</si>
  <si>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</si>
  <si>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</si>
  <si>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</si>
  <si>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</si>
  <si>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</si>
  <si>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</si>
  <si>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</si>
  <si>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</si>
  <si>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</si>
  <si>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</si>
  <si>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</si>
  <si>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</si>
  <si>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</si>
  <si>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</si>
  <si>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</si>
  <si>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</si>
  <si>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</si>
  <si>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</si>
  <si>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</si>
  <si>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</si>
  <si>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</si>
  <si>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</si>
  <si>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</si>
  <si>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</si>
  <si>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</si>
  <si>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</si>
  <si>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</si>
  <si>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</si>
  <si>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</si>
  <si>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</si>
  <si>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</si>
  <si>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</si>
  <si>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</si>
  <si>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</si>
  <si>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</si>
  <si>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</si>
  <si>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</si>
  <si>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</si>
  <si>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</si>
  <si>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</si>
  <si>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</si>
  <si>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</si>
  <si>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</si>
  <si>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</si>
  <si>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</si>
  <si>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</si>
  <si>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</si>
  <si>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</si>
  <si>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</si>
  <si>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</si>
  <si>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</si>
  <si>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</si>
  <si>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</si>
  <si>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</si>
  <si>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</si>
  <si>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</si>
  <si>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</si>
  <si>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</si>
  <si>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</si>
  <si>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</si>
  <si>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</si>
  <si>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</si>
  <si>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</si>
  <si>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</si>
  <si>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</si>
  <si>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</si>
  <si>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</si>
  <si>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</si>
  <si>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</si>
  <si>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</si>
  <si>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</si>
  <si>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</si>
  <si>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</si>
  <si>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</si>
  <si>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</si>
  <si>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</si>
  <si>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</si>
  <si>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</si>
  <si>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</si>
  <si>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</si>
  <si>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</si>
  <si>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</si>
  <si>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</si>
  <si>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</si>
  <si>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</si>
  <si>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</si>
  <si>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</si>
  <si>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</si>
  <si>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</si>
  <si>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</si>
  <si>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</si>
  <si>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</si>
  <si>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</si>
  <si>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</si>
  <si>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</si>
  <si>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</si>
  <si>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</si>
  <si>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460 до 468</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</si>
  <si>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</si>
  <si>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</si>
  <si>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</si>
  <si>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</si>
  <si>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</si>
  <si>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</si>
  <si>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</si>
  <si>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</si>
  <si>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</si>
  <si>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</si>
  <si>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</si>
  <si>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</si>
  <si>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</si>
  <si>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</si>
  <si>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</si>
  <si>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</si>
  <si>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</si>
  <si>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</si>
  <si>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</si>
  <si>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</si>
  <si>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</si>
  <si>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</si>
  <si>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</si>
  <si>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</si>
  <si>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</si>
  <si>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</si>
  <si>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</si>
  <si>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</si>
  <si>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</si>
  <si>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</si>
  <si>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</si>
  <si>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</si>
  <si>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</si>
  <si>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</si>
  <si>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</si>
  <si>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</si>
  <si>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</si>
  <si>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</si>
  <si>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</si>
  <si>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</si>
  <si>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</si>
  <si>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</si>
  <si>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</si>
  <si>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</si>
  <si>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</si>
  <si>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</si>
  <si>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</si>
  <si>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</si>
  <si>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</si>
  <si>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</si>
  <si>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</si>
  <si>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</si>
  <si>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</si>
  <si>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</si>
  <si>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</si>
  <si>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</si>
  <si>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</si>
  <si>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</si>
  <si>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</si>
  <si>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</si>
  <si>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</si>
  <si>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</si>
  <si>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</si>
  <si>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</si>
  <si>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</si>
  <si>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</si>
  <si>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</si>
  <si>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</si>
  <si>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</si>
  <si>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</si>
  <si>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</si>
  <si>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</si>
  <si>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</si>
  <si>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</si>
  <si>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</si>
  <si>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</si>
  <si>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</si>
  <si>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</si>
  <si>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</si>
  <si>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</si>
  <si>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</si>
  <si>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</si>
  <si>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</si>
  <si>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</si>
  <si>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</si>
  <si>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</si>
  <si>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</si>
  <si>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</si>
  <si>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</si>
  <si>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</si>
  <si>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</si>
  <si>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</si>
  <si>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</si>
  <si>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</si>
  <si>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</si>
  <si>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</si>
  <si>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</si>
  <si>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</si>
  <si>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</si>
  <si>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</si>
  <si>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</si>
  <si>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</si>
  <si>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</si>
  <si>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</si>
  <si>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</si>
  <si>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</si>
  <si>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</si>
  <si>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</si>
  <si>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</si>
  <si>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</si>
  <si>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</si>
  <si>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</si>
  <si>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</si>
  <si>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</si>
  <si>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</si>
  <si>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</si>
  <si>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</si>
  <si>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</si>
  <si>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</si>
  <si>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</si>
  <si>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</si>
  <si>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</si>
  <si>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</si>
  <si>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</si>
  <si>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</si>
  <si>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</si>
  <si>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</si>
  <si>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</si>
  <si>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</si>
  <si>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</si>
  <si>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</si>
  <si>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6. Avansi i nekretnine, postrojenja i opremu u pripremi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</si>
  <si>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</si>
  <si>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</si>
  <si>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</si>
  <si>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</si>
  <si>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</si>
  <si>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</si>
  <si>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</si>
  <si>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</si>
  <si>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</si>
  <si>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</si>
  <si>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</si>
  <si>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</si>
  <si>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</si>
  <si>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</si>
  <si>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</si>
  <si>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</si>
  <si>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</si>
  <si>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</si>
  <si>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</si>
  <si>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</si>
  <si>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</si>
  <si>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</si>
  <si>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</si>
  <si>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</si>
  <si>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</si>
  <si>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</si>
  <si>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</si>
  <si>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</si>
  <si>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</si>
  <si>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</si>
  <si>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</si>
  <si>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</si>
  <si>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</si>
  <si>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</si>
  <si>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</si>
  <si>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</si>
  <si>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</si>
  <si>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</si>
  <si>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</si>
  <si>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</si>
  <si>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</si>
  <si>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</si>
  <si>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</si>
  <si>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</si>
  <si>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</si>
  <si>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</si>
  <si>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</si>
  <si>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</si>
  <si>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</si>
  <si>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</si>
  <si>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</si>
  <si>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</si>
  <si>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</si>
  <si>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</si>
  <si>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</si>
  <si>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</si>
  <si>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</si>
  <si>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</si>
  <si>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</si>
  <si>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</si>
  <si>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</si>
  <si>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</si>
  <si>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</si>
  <si>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</si>
  <si>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</si>
  <si>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</si>
  <si>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</si>
  <si>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</si>
  <si>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</si>
  <si>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</si>
  <si>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</si>
  <si>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</si>
  <si>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</si>
  <si>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</si>
  <si>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</si>
  <si>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</si>
  <si>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</si>
  <si>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</si>
  <si>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</si>
  <si>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</si>
  <si>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</si>
  <si>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</si>
  <si>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</si>
  <si>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</si>
  <si>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</si>
  <si>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</si>
  <si>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</si>
  <si>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</si>
  <si>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</si>
  <si>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</si>
  <si>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</si>
  <si>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</si>
  <si>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</si>
  <si>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</si>
  <si>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</si>
  <si>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</si>
  <si>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</si>
  <si>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</si>
  <si>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</si>
  <si>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</si>
  <si>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</si>
  <si>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</si>
  <si>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</si>
  <si>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</si>
  <si>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</si>
  <si>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</si>
  <si>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</si>
  <si>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</si>
  <si>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</si>
  <si>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</si>
  <si>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</si>
  <si>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</si>
  <si>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582, 682</t>
  </si>
  <si>
    <t>583, 683</t>
  </si>
  <si>
    <t>588, дио 589, 688, дио 689</t>
  </si>
  <si>
    <t>584, 684</t>
  </si>
  <si>
    <t>586, 686</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</si>
  <si>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</si>
  <si>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</si>
  <si>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</si>
  <si>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</si>
  <si>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</si>
  <si>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</si>
  <si>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</si>
  <si>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</si>
  <si>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</si>
  <si>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</si>
  <si>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</si>
  <si>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</si>
  <si>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</si>
  <si>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</si>
  <si>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</si>
  <si>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</si>
  <si>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</si>
  <si>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</si>
  <si>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</si>
  <si>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</si>
  <si>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</si>
  <si>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</si>
  <si>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</si>
  <si>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</si>
  <si>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</si>
  <si>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</si>
  <si>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</si>
  <si>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</si>
  <si>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</si>
  <si>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</si>
  <si>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</si>
  <si>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</si>
  <si>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</si>
  <si>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</si>
  <si>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</si>
  <si>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</si>
  <si>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</si>
  <si>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</si>
  <si>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</si>
  <si>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</si>
  <si>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</si>
  <si>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</si>
  <si>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</si>
  <si>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</si>
  <si>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</si>
  <si>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</si>
  <si>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</si>
  <si>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</si>
  <si>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</si>
  <si>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</si>
  <si>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</si>
  <si>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</si>
  <si>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</si>
  <si>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</si>
  <si>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</si>
  <si>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</si>
  <si>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</si>
  <si>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</si>
  <si>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</si>
  <si>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</si>
  <si>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</si>
  <si>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</si>
  <si>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</si>
  <si>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</si>
  <si>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</si>
  <si>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</si>
  <si>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</si>
  <si>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</si>
  <si>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</si>
  <si>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</si>
  <si>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</si>
  <si>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</si>
  <si>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</si>
  <si>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</si>
  <si>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</si>
  <si>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</si>
  <si>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</si>
  <si>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</si>
  <si>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</si>
  <si>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</si>
  <si>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</si>
  <si>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</si>
  <si>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</si>
  <si>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</si>
  <si>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</si>
  <si>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</si>
  <si>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</si>
  <si>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</si>
  <si>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</si>
  <si>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</si>
  <si>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</si>
  <si>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</si>
  <si>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</si>
  <si>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</si>
  <si>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</si>
  <si>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</si>
  <si>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</si>
  <si>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</si>
  <si>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</si>
  <si>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</si>
  <si>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</si>
  <si>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</si>
  <si>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</si>
  <si>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</si>
  <si>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</si>
  <si>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</si>
  <si>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</si>
  <si>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</si>
  <si>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</si>
  <si>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</si>
  <si>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</si>
  <si>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</si>
  <si>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</si>
  <si>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</si>
  <si>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</si>
  <si>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</si>
  <si>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</si>
  <si>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</si>
  <si>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</si>
  <si>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</si>
  <si>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</si>
  <si>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</si>
  <si>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</si>
  <si>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</si>
  <si>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</si>
  <si>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</si>
  <si>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</si>
  <si>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</si>
  <si>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</si>
  <si>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</si>
  <si>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</si>
  <si>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dio 689, dio 589neto prikaz</t>
  </si>
  <si>
    <t>58</t>
  </si>
  <si>
    <t>588, dio 589, 688, dio 689</t>
  </si>
  <si>
    <t>587, 687 neto prikaz</t>
  </si>
  <si>
    <t>dio 589, dio 689neto prikaz</t>
  </si>
  <si>
    <t>690 i 691</t>
  </si>
  <si>
    <t>590 i 591</t>
  </si>
  <si>
    <t>721</t>
  </si>
  <si>
    <t>722</t>
  </si>
  <si>
    <t>724</t>
  </si>
  <si>
    <t>723</t>
  </si>
  <si>
    <t>725</t>
  </si>
  <si>
    <t>726</t>
  </si>
  <si>
    <t>Дана:</t>
  </si>
  <si>
    <t>Dana:</t>
  </si>
  <si>
    <t>1. Ставке које могу бити рекласификоване у биланс успјеха (±402+403±404±405-406+407)</t>
  </si>
  <si>
    <t>2.  Ставке које неће бити рекласификоване у биланс успјеха (± 409± 410 ± 411 ± 412 ± 413 ± 414)</t>
  </si>
  <si>
    <t>Дио укупне добити/губитка који припада већинским власницима</t>
  </si>
  <si>
    <t>1. Stavke koje mogu biti reklasifikovane u bilans uspjeha (±402+403±404±405-406+407)</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</si>
  <si>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</si>
  <si>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</si>
  <si>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</si>
  <si>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</si>
  <si>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</si>
  <si>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</si>
  <si>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</si>
  <si>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</si>
  <si>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</si>
  <si>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</si>
  <si>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</si>
  <si>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</si>
  <si>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</si>
  <si>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</si>
  <si>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</si>
  <si>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</si>
  <si>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</si>
  <si>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</si>
  <si>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</si>
  <si>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</si>
  <si>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</si>
  <si>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</si>
  <si>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</si>
  <si>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</si>
  <si>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</si>
  <si>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</si>
  <si>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</si>
  <si>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</si>
  <si>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</si>
  <si>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</si>
  <si>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</si>
  <si>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</si>
  <si>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</si>
  <si>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</si>
  <si>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</si>
  <si>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</si>
  <si>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</si>
  <si>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</si>
  <si>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</si>
  <si>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</si>
  <si>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</si>
  <si>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</si>
  <si>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</si>
  <si>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</si>
  <si>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</si>
  <si>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</si>
  <si>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</si>
  <si>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</si>
  <si>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</si>
  <si>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</si>
  <si>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</si>
  <si>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</si>
  <si>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</si>
  <si>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</si>
  <si>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</si>
  <si>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</si>
  <si>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</si>
  <si>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</si>
  <si>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</si>
  <si>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</si>
  <si>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</si>
  <si>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</si>
  <si>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</si>
  <si>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</si>
  <si>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</si>
  <si>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</si>
  <si>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</si>
  <si>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</si>
  <si>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</si>
  <si>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</si>
  <si>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</si>
  <si>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</si>
  <si>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</si>
  <si>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</si>
  <si>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</si>
  <si>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</si>
  <si>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</si>
  <si>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</si>
  <si>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</si>
  <si>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</si>
  <si>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</si>
  <si>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</si>
  <si>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</si>
  <si>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</si>
  <si>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</si>
  <si>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</si>
  <si>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</si>
  <si>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</si>
  <si>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</si>
  <si>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</si>
  <si>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</si>
  <si>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</si>
  <si>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</si>
  <si>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</si>
  <si>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</si>
  <si>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</si>
  <si>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</si>
  <si>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</si>
  <si>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</si>
  <si>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</si>
  <si>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</si>
  <si>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</si>
  <si>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</si>
  <si>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</si>
  <si>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</si>
  <si>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</si>
  <si>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</si>
  <si>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</si>
  <si>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</si>
  <si>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</si>
  <si>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</si>
  <si>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</si>
  <si>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</si>
  <si>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</si>
  <si>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</si>
  <si>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</si>
  <si>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</si>
  <si>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</si>
  <si>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</si>
  <si>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</si>
  <si>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</si>
  <si>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</si>
  <si>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исплата зарада, накнада зарада и осталих личних расхода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</si>
  <si>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</si>
  <si>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</si>
  <si>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</si>
  <si>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</si>
  <si>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</si>
  <si>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</si>
  <si>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</si>
  <si>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</si>
  <si>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</si>
  <si>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</si>
  <si>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</si>
  <si>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</si>
  <si>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</si>
  <si>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</si>
  <si>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</si>
  <si>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</si>
  <si>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</si>
  <si>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</si>
  <si>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</si>
  <si>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</si>
  <si>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</si>
  <si>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</si>
  <si>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</si>
  <si>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</si>
  <si>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</si>
  <si>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</si>
  <si>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</si>
  <si>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isplata zarada, naknada zarada i ostalih ličnih rashoda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</si>
  <si>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</si>
  <si>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</si>
  <si>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</si>
  <si>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</si>
  <si>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</si>
  <si>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</si>
  <si>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</si>
  <si>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</si>
  <si>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</si>
  <si>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</si>
  <si>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</si>
  <si>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</si>
  <si>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</si>
  <si>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</si>
  <si>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</si>
  <si>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</si>
  <si>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</si>
  <si>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</si>
  <si>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</si>
  <si>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</si>
  <si>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</si>
  <si>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</si>
  <si>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</si>
  <si>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</si>
  <si>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</si>
  <si>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</si>
  <si>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</si>
  <si>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</si>
  <si>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</si>
  <si>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</si>
  <si>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</si>
  <si>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</si>
  <si>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</si>
  <si>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</si>
  <si>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</si>
  <si>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</si>
  <si>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</si>
  <si>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</si>
  <si>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</si>
  <si>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</si>
  <si>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</si>
  <si>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</si>
  <si>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</si>
  <si>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</si>
  <si>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</si>
  <si>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</si>
  <si>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</si>
  <si>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</si>
  <si>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</si>
  <si>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</si>
  <si>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</si>
  <si>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</si>
  <si>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</si>
  <si>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</si>
  <si>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</si>
  <si>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</si>
  <si>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</si>
  <si>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</si>
  <si>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</si>
  <si>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</si>
  <si>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</si>
  <si>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</si>
  <si>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</si>
  <si>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</si>
  <si>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</si>
  <si>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</si>
  <si>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</si>
  <si>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</si>
  <si>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</si>
  <si>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</si>
  <si>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</si>
  <si>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</si>
  <si>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</si>
  <si>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</si>
  <si>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</si>
  <si>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</si>
  <si>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</si>
  <si>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</si>
  <si>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</si>
  <si>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</si>
  <si>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</si>
  <si>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</si>
  <si>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</si>
  <si>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</si>
  <si>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</si>
  <si>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</si>
  <si>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</si>
  <si>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</si>
  <si>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</si>
  <si>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</si>
  <si>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</si>
  <si>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</si>
  <si>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</si>
  <si>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</si>
  <si>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</si>
  <si>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</si>
  <si>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</si>
  <si>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</si>
  <si>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</si>
  <si>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</si>
  <si>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</si>
  <si>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</si>
  <si>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</si>
  <si>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</si>
  <si>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</si>
  <si>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</si>
  <si>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</si>
  <si>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</si>
  <si>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</si>
  <si>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</si>
  <si>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</si>
  <si>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</si>
  <si>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</si>
  <si>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</si>
  <si>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</si>
  <si>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</si>
  <si>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</si>
  <si>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</si>
  <si>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</si>
  <si>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</si>
  <si>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</si>
  <si>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</si>
  <si>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</si>
  <si>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</si>
  <si>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</si>
  <si>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</si>
  <si>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</si>
  <si>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</si>
  <si>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</si>
  <si>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</si>
  <si>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</si>
  <si>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Revalorizacione rezerve za finansijska sredstva vrednovana po fer vrijednosti krozu ostali ukupni rezultat</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</si>
  <si>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</si>
  <si>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</si>
  <si>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</si>
  <si>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</si>
  <si>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</si>
  <si>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</si>
  <si>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</si>
  <si>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</si>
  <si>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</si>
  <si>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</si>
  <si>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</si>
  <si>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</si>
  <si>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</si>
  <si>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15. Efekti ispravke grešaka</t>
  </si>
  <si>
    <t>17. Dobit/(gubitak) za godinu</t>
  </si>
  <si>
    <t>18. Ostali ukupni rezultatat</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</si>
  <si>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</si>
  <si>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</si>
  <si>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</si>
  <si>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</si>
  <si>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</si>
  <si>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</si>
  <si>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</si>
  <si>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</si>
  <si>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</si>
  <si>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</si>
  <si>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</si>
  <si>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</si>
  <si>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</si>
  <si>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</si>
  <si>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</si>
  <si>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</si>
  <si>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</si>
  <si>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</si>
  <si>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</si>
  <si>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UDJELI KOJI NEMAJU KONTROLU (MANJINSKI INTERES)</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</si>
  <si>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</si>
  <si>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</si>
  <si>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</si>
  <si>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</si>
  <si>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</si>
  <si>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</si>
  <si>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</si>
  <si>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</si>
  <si>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</si>
  <si>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15. Ефекти исправке грешака</t>
  </si>
  <si>
    <t>17. Добит/(губитак) за годину</t>
  </si>
  <si>
    <t>18. Остали укупни резултатат</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</si>
  <si>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</si>
  <si>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</si>
  <si>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</si>
  <si>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</si>
  <si>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</si>
  <si>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</si>
  <si>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</si>
  <si>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</si>
  <si>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</si>
  <si>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</si>
  <si>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</si>
  <si>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</si>
  <si>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</si>
  <si>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</si>
  <si>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</si>
  <si>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</si>
  <si>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</si>
  <si>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</si>
  <si>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</si>
  <si>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</si>
  <si>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</si>
  <si>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</si>
  <si>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</si>
  <si>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</si>
  <si>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</si>
  <si>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</si>
  <si>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</si>
  <si>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</si>
  <si>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</si>
  <si>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</si>
  <si>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</si>
  <si>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</si>
  <si>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</si>
  <si>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</si>
  <si>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</si>
  <si>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</si>
  <si>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</si>
  <si>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</si>
  <si>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</si>
  <si>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</si>
  <si>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</si>
  <si>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</si>
  <si>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</si>
  <si>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</si>
  <si>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</si>
  <si>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</si>
  <si>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</si>
  <si>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</si>
  <si>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</si>
  <si>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</si>
  <si>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</si>
  <si>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</si>
  <si>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</si>
  <si>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</si>
  <si>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</si>
  <si>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</si>
  <si>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</si>
  <si>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</si>
  <si>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</si>
  <si>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</si>
  <si>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</si>
  <si>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</si>
  <si>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</si>
  <si>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</si>
  <si>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</si>
  <si>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</si>
  <si>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</si>
  <si>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</si>
  <si>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</si>
  <si>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</si>
  <si>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</si>
  <si>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</si>
  <si>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</si>
  <si>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</si>
  <si>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</si>
  <si>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</si>
  <si>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</si>
  <si>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</si>
  <si>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</si>
  <si>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</si>
  <si>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</si>
  <si>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</si>
  <si>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</si>
  <si>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</si>
  <si>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</si>
  <si>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</si>
  <si>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</si>
  <si>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</si>
  <si>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</si>
  <si>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</si>
  <si>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</si>
  <si>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</si>
  <si>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</si>
  <si>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</si>
  <si>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</si>
  <si>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</si>
  <si>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</si>
  <si>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</si>
  <si>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</si>
  <si>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</si>
  <si>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</si>
  <si>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</si>
  <si>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</si>
  <si>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</si>
  <si>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</si>
  <si>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</si>
  <si>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</si>
  <si>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</si>
  <si>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</si>
  <si>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</si>
  <si>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</si>
  <si>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</si>
  <si>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</si>
  <si>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</si>
  <si>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</si>
  <si>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</si>
  <si>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</si>
  <si>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</si>
  <si>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</si>
  <si>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</si>
  <si>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</si>
  <si>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</si>
  <si>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</si>
  <si>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</si>
  <si>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</si>
  <si>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</si>
  <si>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</si>
  <si>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</si>
  <si>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</si>
  <si>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</si>
  <si>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</si>
  <si>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</si>
  <si>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</si>
  <si>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</si>
  <si>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</si>
  <si>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</si>
  <si>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</si>
  <si>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</si>
  <si>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</si>
  <si>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</si>
  <si>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</si>
  <si>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</si>
  <si>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</si>
  <si>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</si>
  <si>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</si>
  <si>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</si>
  <si>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</si>
  <si>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</si>
  <si>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</si>
  <si>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</si>
  <si>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</si>
  <si>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</si>
  <si>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</si>
  <si>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</si>
  <si>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</si>
  <si>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</si>
  <si>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</si>
  <si>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</si>
  <si>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</si>
  <si>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</si>
  <si>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</si>
  <si>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</si>
  <si>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</si>
  <si>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</si>
  <si>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</si>
  <si>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</si>
  <si>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</si>
  <si>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</si>
  <si>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</si>
  <si>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</si>
  <si>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</si>
  <si>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</si>
  <si>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</si>
  <si>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</si>
  <si>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</si>
  <si>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</si>
  <si>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460 to 468</t>
  </si>
  <si>
    <t>49, except 496</t>
  </si>
  <si>
    <t>dio 33</t>
  </si>
  <si>
    <t>340 или 342</t>
  </si>
  <si>
    <t>341 или 343</t>
  </si>
  <si>
    <t>dio 40</t>
  </si>
  <si>
    <t>401, 402, 403, dio 409</t>
  </si>
  <si>
    <t>dio 409, 410, 419</t>
  </si>
  <si>
    <t>421 do 424</t>
  </si>
  <si>
    <t>425 i 426</t>
  </si>
  <si>
    <t>460 do 468</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</si>
  <si>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</si>
  <si>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</si>
  <si>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</si>
  <si>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</si>
  <si>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</si>
  <si>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</si>
  <si>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</si>
  <si>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</si>
  <si>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</si>
  <si>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</si>
  <si>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</si>
  <si>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</si>
  <si>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</si>
  <si>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</si>
  <si>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</si>
  <si>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</si>
  <si>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</si>
  <si>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</si>
  <si>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</si>
  <si>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</si>
  <si>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</si>
  <si>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</si>
  <si>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</si>
  <si>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</si>
  <si>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</si>
  <si>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</si>
  <si>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</si>
  <si>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</si>
  <si>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</si>
  <si>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</si>
  <si>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</si>
  <si>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</si>
  <si>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</si>
  <si>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</si>
  <si>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</si>
  <si>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</si>
  <si>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</si>
  <si>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</si>
  <si>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</si>
  <si>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</si>
  <si>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</si>
  <si>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</si>
  <si>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</si>
  <si>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</si>
  <si>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</si>
  <si>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</si>
  <si>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</si>
  <si>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</si>
  <si>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</si>
  <si>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</si>
  <si>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</si>
  <si>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</si>
  <si>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</si>
  <si>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</si>
  <si>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</si>
  <si>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</si>
  <si>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</si>
  <si>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</si>
  <si>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</si>
  <si>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</si>
  <si>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</si>
  <si>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</si>
  <si>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</si>
  <si>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</si>
  <si>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</si>
  <si>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</si>
  <si>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</si>
  <si>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</si>
  <si>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</si>
  <si>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</si>
  <si>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</si>
  <si>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</si>
  <si>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</si>
  <si>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</si>
  <si>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</si>
  <si>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</si>
  <si>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</si>
  <si>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</si>
  <si>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</si>
  <si>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</si>
  <si>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</si>
  <si>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</si>
  <si>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</si>
  <si>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</si>
  <si>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</si>
  <si>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</si>
  <si>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</si>
  <si>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</si>
  <si>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</si>
  <si>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</si>
  <si>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</si>
  <si>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</si>
  <si>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</si>
  <si>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</si>
  <si>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</si>
  <si>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</si>
  <si>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</si>
  <si>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</si>
  <si>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</si>
  <si>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</si>
  <si>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</si>
  <si>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</si>
  <si>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</si>
  <si>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</si>
  <si>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</si>
  <si>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</si>
  <si>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</si>
  <si>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</si>
  <si>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</si>
  <si>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</si>
  <si>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</si>
  <si>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</si>
  <si>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</si>
  <si>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</si>
  <si>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</si>
  <si>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</si>
  <si>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</si>
  <si>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</si>
  <si>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</si>
  <si>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</si>
  <si>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</si>
  <si>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</si>
  <si>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</si>
  <si>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</si>
  <si>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</si>
  <si>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</si>
  <si>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</si>
  <si>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</si>
  <si>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 Items that can be reclassified in the income statement (±402+403±404±405-406+407)</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</si>
  <si>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</si>
  <si>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</si>
  <si>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</si>
  <si>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</si>
  <si>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</si>
  <si>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</si>
  <si>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</si>
  <si>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</si>
  <si>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</si>
  <si>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</si>
  <si>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</si>
  <si>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</si>
  <si>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</si>
  <si>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</si>
  <si>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</si>
  <si>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</si>
  <si>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</si>
  <si>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</si>
  <si>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</si>
  <si>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</si>
  <si>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</si>
  <si>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</si>
  <si>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</si>
  <si>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</si>
  <si>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</si>
  <si>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</si>
  <si>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</si>
  <si>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</si>
  <si>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</si>
  <si>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</si>
  <si>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</si>
  <si>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</si>
  <si>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</si>
  <si>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</si>
  <si>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</si>
  <si>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</si>
  <si>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</si>
  <si>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</si>
  <si>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</si>
  <si>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</si>
  <si>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</si>
  <si>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</si>
  <si>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</si>
  <si>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</si>
  <si>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</si>
  <si>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</si>
  <si>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</si>
  <si>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</si>
  <si>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</si>
  <si>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</si>
  <si>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</si>
  <si>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</si>
  <si>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</si>
  <si>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</si>
  <si>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</si>
  <si>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</si>
  <si>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</si>
  <si>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</si>
  <si>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</si>
  <si>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</si>
  <si>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</si>
  <si>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</si>
  <si>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</si>
  <si>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</si>
  <si>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</si>
  <si>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</si>
  <si>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</si>
  <si>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</si>
  <si>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</si>
  <si>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</si>
  <si>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</si>
  <si>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</si>
  <si>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</si>
  <si>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</si>
  <si>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</si>
  <si>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</si>
  <si>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</si>
  <si>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</si>
  <si>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</si>
  <si>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</si>
  <si>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</si>
  <si>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</si>
  <si>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</si>
  <si>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</si>
  <si>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</si>
  <si>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</si>
  <si>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</si>
  <si>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</si>
  <si>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</si>
  <si>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</si>
  <si>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</si>
  <si>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</si>
  <si>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</si>
  <si>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</si>
  <si>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</si>
  <si>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</si>
  <si>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</si>
  <si>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</si>
  <si>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</si>
  <si>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</si>
  <si>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</si>
  <si>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</si>
  <si>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</si>
  <si>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</si>
  <si>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</si>
  <si>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</si>
  <si>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</si>
  <si>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</si>
  <si>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</si>
  <si>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</si>
  <si>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</si>
  <si>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</si>
  <si>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</si>
  <si>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</si>
  <si>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</si>
  <si>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</si>
  <si>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</si>
  <si>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</si>
  <si>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</si>
  <si>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</si>
  <si>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</si>
  <si>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</si>
  <si>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</si>
  <si>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</si>
  <si>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</si>
  <si>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</si>
  <si>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</si>
  <si>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</si>
  <si>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</si>
  <si>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</si>
  <si>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</si>
  <si>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</si>
  <si>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</si>
  <si>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</si>
  <si>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</si>
  <si>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</si>
  <si>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</si>
  <si>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</si>
  <si>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</si>
  <si>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</si>
  <si>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</si>
  <si>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</si>
  <si>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</si>
  <si>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</si>
  <si>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</si>
  <si>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</si>
  <si>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</si>
  <si>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</si>
  <si>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</si>
  <si>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</si>
  <si>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</si>
  <si>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</si>
  <si>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</si>
  <si>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</si>
  <si>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</si>
  <si>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</si>
  <si>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</si>
  <si>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</si>
  <si>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</si>
  <si>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</si>
  <si>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</si>
  <si>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</si>
  <si>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</si>
  <si>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</si>
  <si>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</si>
  <si>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</si>
  <si>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</si>
  <si>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</si>
  <si>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</si>
  <si>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</si>
  <si>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</si>
  <si>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</si>
  <si>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</si>
  <si>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</si>
  <si>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</si>
  <si>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</si>
  <si>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</si>
  <si>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</si>
  <si>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</si>
  <si>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</si>
  <si>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</si>
  <si>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</si>
  <si>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</si>
  <si>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</si>
  <si>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</si>
  <si>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</si>
  <si>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</si>
  <si>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</si>
  <si>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</si>
  <si>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</si>
  <si>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</si>
  <si>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</si>
  <si>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</si>
  <si>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</si>
  <si>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</si>
  <si>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</si>
  <si>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</si>
  <si>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</si>
  <si>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</si>
  <si>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</si>
  <si>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</si>
  <si>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</si>
  <si>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</si>
  <si>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</si>
  <si>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</si>
  <si>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</si>
  <si>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</si>
  <si>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</si>
  <si>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</si>
  <si>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</si>
  <si>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</si>
  <si>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</si>
  <si>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</si>
  <si>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</si>
  <si>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</si>
  <si>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</si>
  <si>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</si>
  <si>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</si>
  <si>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</si>
  <si>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</si>
  <si>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</si>
  <si>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</si>
  <si>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</si>
  <si>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</si>
  <si>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</si>
  <si>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</si>
  <si>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</si>
  <si>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</si>
  <si>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</si>
  <si>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</si>
  <si>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</si>
  <si>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</si>
  <si>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</si>
  <si>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</si>
  <si>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</si>
  <si>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</si>
  <si>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</si>
  <si>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</si>
  <si>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</si>
  <si>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</si>
  <si>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</si>
  <si>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</si>
  <si>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</si>
  <si>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</si>
  <si>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</si>
  <si>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</si>
  <si>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</si>
  <si>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</si>
  <si>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</si>
  <si>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</si>
  <si>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</si>
  <si>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</si>
  <si>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</si>
  <si>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</si>
  <si>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</si>
  <si>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</si>
  <si>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</si>
  <si>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</si>
  <si>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</si>
  <si>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</si>
  <si>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</si>
  <si>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</si>
  <si>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</si>
  <si>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</si>
  <si>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</si>
  <si>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</si>
  <si>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</si>
  <si>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</si>
  <si>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</si>
  <si>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</si>
  <si>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</si>
  <si>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</si>
  <si>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</si>
  <si>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</si>
  <si>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</si>
  <si>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</si>
  <si>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</si>
  <si>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</si>
  <si>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</si>
  <si>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Ревалоризационе резерве за финансијска средства вреднована по фер вриједности крозу остали укупни резултат</t>
  </si>
  <si>
    <t>Остале ревалоризационе резерве</t>
  </si>
  <si>
    <t>Акумулирана нераспоређена добит/(непокривени губитак)</t>
  </si>
  <si>
    <t>УДЈЕЛИ КОЈИ НЕМАЈУ КОНТРОЛУ (МАЊИНСКИ ИНТЕРЕС)</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</si>
  <si>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</si>
  <si>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</si>
  <si>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</si>
  <si>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</si>
  <si>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</si>
  <si>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</si>
  <si>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</si>
  <si>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</si>
  <si>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</si>
  <si>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</si>
  <si>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</si>
  <si>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</si>
  <si>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</si>
  <si>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</si>
  <si>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</si>
  <si>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</si>
  <si>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</si>
  <si>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</si>
  <si>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</si>
  <si>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</si>
  <si>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</si>
  <si>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</si>
  <si>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</si>
  <si>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</si>
  <si>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</si>
  <si>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</si>
  <si>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</si>
  <si>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</si>
  <si>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</si>
  <si>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</si>
  <si>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</si>
  <si>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</si>
  <si>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</si>
  <si>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</si>
  <si>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</si>
  <si>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</si>
  <si>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</si>
  <si>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</si>
  <si>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</si>
  <si>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</si>
  <si>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</si>
  <si>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</si>
  <si>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</si>
  <si>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</si>
  <si>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</si>
  <si>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</si>
  <si>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</si>
  <si>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</si>
  <si>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</si>
  <si>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</si>
  <si>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</si>
  <si>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</si>
  <si>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</si>
  <si>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</si>
  <si>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</si>
  <si>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</si>
  <si>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</si>
  <si>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</si>
  <si>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</si>
  <si>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</si>
  <si>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</si>
  <si>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</si>
  <si>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</si>
  <si>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</si>
  <si>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</si>
  <si>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</si>
  <si>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</si>
  <si>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</si>
  <si>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</si>
  <si>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</si>
  <si>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</si>
  <si>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</si>
  <si>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</si>
  <si>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</si>
  <si>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</si>
  <si>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</si>
  <si>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</si>
  <si>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</si>
  <si>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</si>
  <si>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</si>
  <si>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</si>
  <si>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</si>
  <si>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</si>
  <si>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</si>
  <si>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</si>
  <si>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</si>
  <si>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</si>
  <si>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</si>
  <si>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</si>
  <si>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</si>
  <si>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</si>
  <si>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</si>
  <si>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</si>
  <si>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</si>
  <si>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</si>
  <si>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</si>
  <si>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</si>
  <si>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</si>
  <si>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</si>
  <si>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</si>
  <si>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</si>
  <si>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</si>
  <si>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</si>
  <si>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</si>
  <si>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</si>
  <si>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</si>
  <si>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</si>
  <si>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</si>
  <si>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</si>
  <si>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</si>
  <si>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</si>
  <si>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</si>
  <si>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</si>
  <si>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</si>
  <si>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</si>
  <si>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</si>
  <si>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</si>
  <si>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</si>
  <si>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</si>
  <si>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</si>
  <si>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</si>
  <si>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</si>
  <si>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</si>
  <si>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</si>
  <si>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</si>
  <si>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</si>
  <si>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</si>
  <si>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</si>
  <si>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</si>
  <si>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</si>
  <si>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</si>
  <si>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</si>
  <si>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</si>
  <si>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</si>
  <si>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</si>
  <si>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</si>
  <si>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</si>
  <si>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</si>
  <si>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</si>
  <si>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</si>
  <si>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</si>
  <si>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</si>
  <si>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</si>
  <si>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</si>
  <si>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</si>
  <si>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</si>
  <si>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</si>
  <si>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</si>
  <si>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</si>
  <si>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</si>
  <si>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</si>
  <si>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</si>
  <si>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</si>
  <si>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</si>
  <si>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</si>
  <si>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</si>
  <si>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</si>
  <si>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</si>
  <si>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</si>
  <si>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</si>
  <si>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</si>
  <si>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</si>
  <si>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</si>
  <si>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</si>
  <si>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</si>
  <si>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</si>
  <si>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</si>
  <si>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</si>
  <si>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</si>
  <si>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</si>
  <si>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</si>
  <si>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</si>
  <si>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</si>
  <si>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</si>
  <si>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</si>
  <si>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</si>
  <si>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</si>
  <si>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</si>
  <si>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</si>
  <si>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</si>
  <si>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</si>
  <si>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</si>
  <si>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</si>
  <si>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</si>
  <si>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</si>
  <si>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</si>
  <si>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</si>
  <si>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</si>
  <si>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</si>
  <si>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</si>
  <si>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</si>
  <si>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</si>
  <si>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</si>
  <si>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</si>
  <si>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</si>
  <si>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</si>
  <si>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</si>
  <si>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</si>
  <si>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</si>
  <si>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</si>
  <si>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</si>
  <si>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</si>
  <si>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</si>
  <si>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</si>
  <si>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</si>
  <si>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</si>
  <si>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</si>
  <si>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</si>
  <si>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</si>
  <si>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</si>
  <si>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</si>
  <si>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</si>
  <si>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</si>
  <si>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</si>
  <si>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</si>
  <si>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</si>
  <si>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</si>
  <si>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</si>
  <si>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</si>
  <si>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</si>
  <si>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</si>
  <si>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</si>
  <si>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</si>
  <si>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</si>
  <si>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Ako je AOP 101 (kolona 5) &gt; 0, onda je AOP 925 (kolona 8) = AOP 101 (kolona 5).</t>
  </si>
  <si>
    <t>ld</t>
  </si>
  <si>
    <t>061, dio 069</t>
  </si>
  <si>
    <t>061, part 069</t>
  </si>
  <si>
    <t>29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</si>
  <si>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</si>
  <si>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</si>
  <si>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</si>
  <si>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</si>
  <si>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</si>
  <si>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</si>
  <si>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</si>
  <si>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</si>
  <si>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</si>
  <si>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</si>
  <si>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</si>
  <si>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</si>
  <si>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</si>
  <si>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</si>
  <si>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</si>
  <si>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</si>
  <si>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</si>
  <si>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</si>
  <si>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</si>
  <si>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</si>
  <si>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</si>
  <si>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</si>
  <si>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</si>
  <si>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</si>
  <si>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</si>
  <si>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</si>
  <si>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</si>
  <si>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</si>
  <si>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</si>
  <si>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</si>
  <si>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</si>
  <si>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</si>
  <si>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</si>
  <si>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</si>
  <si>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</si>
  <si>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 xml:space="preserve">18. Other total result </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</si>
  <si>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</si>
  <si>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</si>
  <si>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</si>
  <si>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</si>
  <si>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</si>
  <si>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</si>
  <si>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</si>
  <si>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</si>
  <si>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</si>
  <si>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</si>
  <si>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</si>
  <si>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</si>
  <si>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</si>
  <si>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</si>
  <si>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</si>
  <si>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</si>
  <si>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</si>
  <si>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</si>
  <si>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</si>
  <si>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</si>
  <si>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</si>
  <si>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</si>
  <si>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</si>
  <si>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</si>
  <si>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</si>
  <si>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</si>
  <si>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</si>
  <si>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</si>
  <si>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</si>
  <si>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</si>
  <si>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</si>
  <si>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</si>
  <si>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</si>
  <si>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</si>
  <si>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</si>
  <si>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</si>
  <si>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</si>
  <si>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</si>
  <si>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</si>
  <si>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</si>
  <si>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</si>
  <si>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</si>
  <si>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</si>
  <si>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</si>
  <si>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</si>
  <si>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</si>
  <si>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</si>
  <si>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</si>
  <si>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</si>
  <si>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</si>
  <si>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</si>
  <si>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</si>
  <si>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</si>
  <si>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</si>
  <si>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</si>
  <si>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</si>
  <si>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</si>
  <si>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</si>
  <si>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</si>
  <si>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</si>
  <si>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</si>
  <si>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</si>
  <si>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</si>
  <si>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</si>
  <si>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</si>
  <si>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</si>
  <si>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</si>
  <si>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</si>
  <si>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</si>
  <si>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</si>
  <si>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</si>
  <si>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</si>
  <si>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</si>
  <si>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</si>
  <si>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</si>
  <si>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</si>
  <si>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</si>
  <si>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</si>
  <si>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</si>
  <si>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</si>
  <si>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</si>
  <si>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</si>
  <si>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</si>
  <si>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</si>
  <si>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</si>
  <si>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</si>
  <si>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</si>
  <si>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</si>
  <si>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</si>
  <si>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</si>
  <si>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</si>
  <si>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</si>
  <si>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</si>
  <si>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</si>
  <si>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</si>
  <si>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</si>
  <si>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</si>
  <si>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</si>
  <si>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</si>
  <si>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</si>
  <si>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</si>
  <si>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</si>
  <si>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</si>
  <si>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</si>
  <si>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</si>
  <si>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</si>
  <si>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</si>
  <si>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</si>
  <si>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Доходы от продажи услуг в Федерации БиГ</t>
  </si>
  <si>
    <t>Доходы от продажи услуг в Округе Брчко</t>
  </si>
  <si>
    <t>ПРОЧИЕ ОПЕРАЦИОННЫЕ ДОХОДЫ (620 + 623 + 624 + 625 + 626 + 627 + 628)</t>
  </si>
  <si>
    <t>а) Доходы от премий, субсидий, дотаций, 13-ой заработной платы, стимуляций и прочего</t>
  </si>
  <si>
    <t xml:space="preserve"> В том числе: доходы от субсидий на продукцию (субсидии, которые могут отображаться по единице продукции, например, проездной билет, мука, хлеб, молоко и т.д.)</t>
  </si>
  <si>
    <t xml:space="preserve"> Доходы от субсидий на производство (на трудоустройство, заработную плату, процентные ставки, на уменьшение загрязнения и т.д.)</t>
  </si>
  <si>
    <t>б) Доходы от аренды</t>
  </si>
  <si>
    <t>в) Доходы от дотаций</t>
  </si>
  <si>
    <t>г) Доход от членских взносов</t>
  </si>
  <si>
    <t>д) Доход от тантьем и лицензионных прав</t>
  </si>
  <si>
    <t>е) Доходы от целевых источников финансирования (из бюджета, фондов и т.п.)</t>
  </si>
  <si>
    <t>ж) Прочие операционные доходы по иным основаниям</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</si>
  <si>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</si>
  <si>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</si>
  <si>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</si>
  <si>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Доходы на основании договоренной защиты от рисков, которые не выполняют условия для отражения в рамках переоценочных</t>
  </si>
  <si>
    <t>РАСХОДЫ НА МАТЕРИАЛ</t>
  </si>
  <si>
    <t>В том числе: расходы на топливо и электроэнергию</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</si>
  <si>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</si>
  <si>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</si>
  <si>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</si>
  <si>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</si>
  <si>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РАСХОДЫ НА ПРОИЗВОДСТВЕННЫЕ УСЛУГИ (640+641+642+643+644+645+646+647)</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</si>
  <si>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</si>
  <si>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</si>
  <si>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</si>
  <si>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</si>
  <si>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</si>
  <si>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</si>
  <si>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</si>
  <si>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</si>
  <si>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</si>
  <si>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НЕМАТЕРИАЛЬНЫЕ РАСХОДЫ (650 + 653 + 654 + 655 + 656 + 657 + 658 + 659)</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</si>
  <si>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</si>
  <si>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</si>
  <si>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</si>
  <si>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</si>
  <si>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</si>
  <si>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</si>
  <si>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Расходы по налогам на продукцию, тамож. расходы, жилищный налог, налог на лотерею и т.п.</t>
  </si>
  <si>
    <t>Расходы по налогам на производство: на имущество, землю, использование леса, воды, противопожарную защиту и т.п.</t>
  </si>
  <si>
    <t>201, часть 200</t>
  </si>
  <si>
    <t>202, часть 200</t>
  </si>
  <si>
    <t>203, часть 200</t>
  </si>
  <si>
    <t>432, часть 431</t>
  </si>
  <si>
    <t>433, часть 431</t>
  </si>
  <si>
    <t>434, часть 431</t>
  </si>
  <si>
    <t>601, часть 600</t>
  </si>
  <si>
    <t>602, часть 600</t>
  </si>
  <si>
    <t>603, часть 600</t>
  </si>
  <si>
    <t xml:space="preserve"> часть 61</t>
  </si>
  <si>
    <t>611, часть 610</t>
  </si>
  <si>
    <t>612, часть 610</t>
  </si>
  <si>
    <t>613, часть 610</t>
  </si>
  <si>
    <t>часть 611</t>
  </si>
  <si>
    <t>часть 612</t>
  </si>
  <si>
    <t>часть 613</t>
  </si>
  <si>
    <t>часть 650</t>
  </si>
  <si>
    <t>часть 660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</si>
  <si>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</si>
  <si>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</si>
  <si>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</si>
  <si>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</si>
  <si>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</si>
  <si>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</si>
  <si>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</si>
  <si>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</si>
  <si>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</si>
  <si>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</si>
  <si>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</si>
  <si>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</si>
  <si>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</si>
  <si>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</si>
  <si>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</si>
  <si>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</si>
  <si>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</si>
  <si>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</si>
  <si>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</si>
  <si>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</si>
  <si>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</si>
  <si>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</si>
  <si>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</si>
  <si>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</si>
  <si>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</si>
  <si>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</si>
  <si>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</si>
  <si>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</si>
  <si>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</si>
  <si>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</si>
  <si>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</si>
  <si>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</si>
  <si>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</si>
  <si>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</si>
  <si>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</si>
  <si>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</si>
  <si>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</si>
  <si>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</si>
  <si>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2. Concessions, patents, licenses and similar rights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</si>
  <si>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</si>
  <si>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</si>
  <si>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</si>
  <si>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</si>
  <si>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</si>
  <si>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</si>
  <si>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</si>
  <si>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</si>
  <si>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</si>
  <si>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</si>
  <si>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</si>
  <si>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</si>
  <si>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</si>
  <si>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</si>
  <si>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</si>
  <si>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</si>
  <si>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</si>
  <si>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</si>
  <si>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</si>
  <si>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</si>
  <si>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</si>
  <si>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</si>
  <si>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</si>
  <si>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</si>
  <si>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</si>
  <si>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</si>
  <si>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</si>
  <si>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</si>
  <si>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</si>
  <si>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</si>
  <si>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</si>
  <si>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</si>
  <si>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</si>
  <si>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</si>
  <si>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c) Prihod od donacija</t>
  </si>
  <si>
    <t>d) Prihod od članarina</t>
  </si>
  <si>
    <t>e) Prihod od tantijema i licencnih prava</t>
  </si>
  <si>
    <t>f) Prihod iz namjenskih izvora finansiranja (iz budžeta, fondova i dr.)</t>
  </si>
  <si>
    <t>g) Ostali poslovni prihodi po drugim osnovima</t>
  </si>
  <si>
    <t>Приходи по основу уговорене заштите од ризика који не испуњавају услове да се искажу у оквиру ревалоризационих резерви</t>
  </si>
  <si>
    <t>Income from contractually agreed risk protection that do not meet the requirements to be reported within revaluation reserves</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</si>
  <si>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</si>
  <si>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</si>
  <si>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</si>
  <si>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</si>
  <si>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</si>
  <si>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</si>
  <si>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</si>
  <si>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</si>
  <si>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</si>
  <si>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</si>
  <si>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</si>
  <si>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</si>
  <si>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</si>
  <si>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</si>
  <si>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</si>
  <si>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</si>
  <si>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</si>
  <si>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</si>
  <si>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</si>
  <si>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</si>
  <si>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</si>
  <si>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</si>
  <si>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</si>
  <si>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</si>
  <si>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</si>
  <si>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</si>
  <si>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</si>
  <si>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</si>
  <si>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</si>
  <si>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</si>
  <si>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</si>
  <si>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</si>
  <si>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</si>
  <si>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</si>
  <si>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</si>
  <si>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</si>
  <si>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</si>
  <si>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</si>
  <si>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</si>
  <si>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</si>
  <si>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</si>
  <si>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</si>
  <si>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</si>
  <si>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</si>
  <si>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</si>
  <si>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</si>
  <si>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</si>
  <si>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</si>
  <si>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</si>
  <si>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</si>
  <si>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</si>
  <si>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</si>
  <si>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</si>
  <si>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E. OSTALI DOBICI I GUBICI I OSTALI PRIHODI I DOBICI (252 do 260)</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</si>
  <si>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</si>
  <si>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</si>
  <si>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</si>
  <si>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</si>
  <si>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</si>
  <si>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</si>
  <si>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</si>
  <si>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</si>
  <si>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</si>
  <si>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</si>
  <si>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</si>
  <si>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</si>
  <si>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</si>
  <si>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</si>
  <si>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</si>
  <si>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</si>
  <si>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</si>
  <si>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</si>
  <si>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</si>
  <si>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</si>
  <si>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</si>
  <si>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</si>
  <si>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</si>
  <si>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</si>
  <si>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</si>
  <si>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</si>
  <si>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</si>
  <si>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</si>
  <si>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</si>
  <si>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</si>
  <si>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</si>
  <si>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</si>
  <si>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</si>
  <si>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</si>
  <si>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</si>
  <si>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</si>
  <si>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</si>
  <si>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</si>
  <si>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</si>
  <si>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</si>
  <si>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</si>
  <si>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</si>
  <si>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</si>
  <si>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</si>
  <si>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</si>
  <si>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</si>
  <si>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</si>
  <si>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</si>
  <si>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</si>
  <si>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</si>
  <si>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</si>
  <si>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</si>
  <si>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</si>
  <si>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</si>
  <si>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</si>
  <si>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</si>
  <si>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</si>
  <si>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</si>
  <si>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</si>
  <si>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</si>
  <si>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</si>
  <si>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</si>
  <si>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</si>
  <si>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</si>
  <si>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</si>
  <si>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</si>
  <si>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</si>
  <si>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</si>
  <si>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</si>
  <si>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</si>
  <si>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</si>
  <si>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</si>
  <si>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</si>
  <si>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</si>
  <si>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</si>
  <si>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</si>
  <si>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</si>
  <si>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</si>
  <si>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</si>
  <si>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</si>
  <si>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</si>
  <si>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</si>
  <si>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</si>
  <si>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</si>
  <si>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</si>
  <si>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</si>
  <si>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</si>
  <si>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</si>
  <si>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</si>
  <si>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</si>
  <si>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</si>
  <si>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</si>
  <si>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</si>
  <si>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</si>
  <si>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</si>
  <si>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</si>
  <si>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</si>
  <si>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</si>
  <si>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</si>
  <si>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</si>
  <si>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</si>
  <si>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</si>
  <si>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</si>
  <si>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</si>
  <si>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</si>
  <si>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</si>
  <si>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</si>
  <si>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</si>
  <si>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</si>
  <si>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</si>
  <si>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</si>
  <si>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</si>
  <si>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</si>
  <si>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</si>
  <si>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</si>
  <si>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</si>
  <si>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Dok APIF to ne omogući možete ručno unijeti pozicije iz Promjena na kapitalu u FIA aplikaciju.</t>
  </si>
  <si>
    <t>Napomena: Trenutno APIF ne podržava automatski import pozicija iz Promjena na kapitalu.</t>
  </si>
  <si>
    <t>Ostale bilanse možete unijeti u FIA aplikaciju prema gore opisanoj proceduri.</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</si>
  <si>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</si>
  <si>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</si>
  <si>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</si>
  <si>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</si>
  <si>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</si>
  <si>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</si>
  <si>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</si>
  <si>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</si>
  <si>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</si>
  <si>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Ako je AOP 101 (kolona 6) &gt; 0, onda je AOP 913 (kolona 8) = AOP 101 (kolona 6).</t>
  </si>
  <si>
    <t>PALE</t>
  </si>
  <si>
    <t>Palama</t>
  </si>
  <si>
    <t>Slobodan Butulija</t>
  </si>
  <si>
    <t>Aco Stanišić ma.ecc.</t>
  </si>
  <si>
    <t>Nikole Tesle 12</t>
  </si>
  <si>
    <t>edbpale.com</t>
  </si>
  <si>
    <t>uprava@edbpale.com</t>
  </si>
  <si>
    <t>ODS ELEKTRODISTRIBUCIJA AD PALE</t>
  </si>
  <si>
    <t>SR-0005/26</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</si>
</sst>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46" x14ac:knownFonts="1">
    <font>
      <sz val="10"/>
      <name val="Calibri"/>
      <family val="2"/>
    </font>
    <font>
      <sz val="11"/>
      <color theme="1"/>
      <name val="Calibri"/>
      <family val="2"/>
      <scheme val="minor"/>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59">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7" fillId="0" borderId="0" applyFill="0" applyBorder="0">
      <alignment horizontal="center" vertical="center"/>
      <protection hidden="1"/>
    </xf>
    <xf numFmtId="0" fontId="12" fillId="6" borderId="54" applyNumberFormat="0" applyAlignment="0" applyProtection="0"/>
    <xf numFmtId="0" fontId="13" fillId="7" borderId="0" applyNumberFormat="0" applyBorder="0" applyAlignment="0" applyProtection="0"/>
    <xf numFmtId="169" fontId="7" fillId="0" borderId="0" applyFill="0" applyBorder="0">
      <alignment horizontal="center" vertical="center" wrapText="1"/>
      <protection hidden="1"/>
    </xf>
    <xf numFmtId="0" fontId="14" fillId="0" borderId="0" applyNumberFormat="0" applyFill="0" applyBorder="0" applyAlignment="0" applyProtection="0"/>
    <xf numFmtId="0" fontId="15" fillId="8" borderId="2">
      <alignment horizontal="center" vertical="center"/>
      <protection locked="0"/>
    </xf>
    <xf numFmtId="170" fontId="8" fillId="8" borderId="3">
      <alignment horizontal="left" indent="1"/>
      <protection locked="0"/>
    </xf>
    <xf numFmtId="0" fontId="15" fillId="8" borderId="4">
      <alignment horizontal="left" vertical="center"/>
      <protection locked="0"/>
    </xf>
    <xf numFmtId="49" fontId="7" fillId="0" borderId="4" applyFill="0">
      <alignment horizontal="left" indent="1"/>
      <protection hidden="1"/>
    </xf>
    <xf numFmtId="0" fontId="7" fillId="0" borderId="4" applyFill="0">
      <alignment horizontal="left" indent="1"/>
      <protection hidden="1"/>
    </xf>
    <xf numFmtId="49" fontId="7" fillId="9" borderId="5">
      <alignment horizontal="left" indent="1"/>
      <protection locked="0"/>
    </xf>
    <xf numFmtId="0" fontId="25" fillId="13" borderId="54" applyNumberFormat="0" applyAlignment="0" applyProtection="0"/>
    <xf numFmtId="164" fontId="7" fillId="0" borderId="0" applyFont="0" applyFill="0" applyBorder="0" applyAlignment="0" applyProtection="0"/>
  </cellStyleXfs>
  <cellXfs count="809">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6" fillId="3" borderId="6" xfId="0" applyFont="1" applyFill="1" applyBorder="1" applyAlignment="1" applyProtection="1">
      <alignment horizontal="center" vertical="center"/>
      <protection hidden="1"/>
    </xf>
    <xf numFmtId="0" fontId="16" fillId="3" borderId="6" xfId="0" applyFont="1" applyFill="1" applyBorder="1" applyAlignment="1" applyProtection="1">
      <alignment horizontal="center" vertical="center" wrapText="1"/>
      <protection hidden="1"/>
    </xf>
    <xf numFmtId="0" fontId="16" fillId="3" borderId="7" xfId="0" applyFont="1" applyFill="1" applyBorder="1" applyAlignment="1" applyProtection="1">
      <alignment horizontal="center"/>
      <protection hidden="1"/>
    </xf>
    <xf numFmtId="0" fontId="16" fillId="3" borderId="6" xfId="0" applyFont="1" applyFill="1" applyBorder="1" applyAlignment="1" applyProtection="1">
      <alignment horizontal="center"/>
      <protection hidden="1"/>
    </xf>
    <xf numFmtId="0" fontId="16"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6" fillId="4" borderId="9" xfId="0" applyNumberFormat="1" applyFont="1" applyFill="1" applyBorder="1" applyAlignment="1" applyProtection="1">
      <alignment horizontal="right" vertical="center"/>
      <protection hidden="1"/>
    </xf>
    <xf numFmtId="3" fontId="6" fillId="4" borderId="1" xfId="0" applyNumberFormat="1" applyFont="1" applyFill="1" applyBorder="1" applyAlignment="1" applyProtection="1">
      <alignment horizontal="right" vertical="center"/>
      <protection hidden="1"/>
    </xf>
    <xf numFmtId="3" fontId="6" fillId="0" borderId="1" xfId="0" applyNumberFormat="1" applyFont="1" applyBorder="1" applyAlignment="1" applyProtection="1">
      <alignment horizontal="right" vertical="center"/>
      <protection hidden="1"/>
    </xf>
    <xf numFmtId="3" fontId="6" fillId="0" borderId="10" xfId="0" applyNumberFormat="1" applyFont="1" applyBorder="1" applyAlignment="1" applyProtection="1">
      <alignment horizontal="right" vertical="center"/>
      <protection hidden="1"/>
    </xf>
    <xf numFmtId="3" fontId="6" fillId="4" borderId="10" xfId="0" applyNumberFormat="1" applyFont="1" applyFill="1" applyBorder="1" applyAlignment="1" applyProtection="1">
      <alignment horizontal="right" vertical="center"/>
      <protection hidden="1"/>
    </xf>
    <xf numFmtId="3" fontId="6" fillId="0" borderId="11" xfId="0" applyNumberFormat="1" applyFont="1" applyBorder="1" applyAlignment="1" applyProtection="1">
      <alignment horizontal="right" vertical="center"/>
      <protection hidden="1"/>
    </xf>
    <xf numFmtId="0" fontId="13"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0" fillId="0" borderId="0" xfId="0" applyFont="1" applyProtection="1">
      <protection hidden="1"/>
    </xf>
    <xf numFmtId="0" fontId="16" fillId="3" borderId="55" xfId="0" applyFont="1" applyFill="1" applyBorder="1" applyAlignment="1" applyProtection="1">
      <alignment horizontal="center" vertical="center" wrapText="1"/>
      <protection hidden="1"/>
    </xf>
    <xf numFmtId="0" fontId="16"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6" fillId="0" borderId="13" xfId="0" applyNumberFormat="1" applyFont="1" applyBorder="1" applyAlignment="1" applyProtection="1">
      <alignment horizontal="right" vertical="center"/>
      <protection hidden="1"/>
    </xf>
    <xf numFmtId="3" fontId="6" fillId="0" borderId="15" xfId="0" applyNumberFormat="1" applyFont="1" applyBorder="1" applyAlignment="1" applyProtection="1">
      <alignment horizontal="right" vertical="center"/>
      <protection hidden="1"/>
    </xf>
    <xf numFmtId="3" fontId="6" fillId="4" borderId="13" xfId="0" applyNumberFormat="1" applyFont="1" applyFill="1" applyBorder="1" applyAlignment="1" applyProtection="1">
      <alignment horizontal="right" vertical="center"/>
      <protection hidden="1"/>
    </xf>
    <xf numFmtId="3" fontId="6" fillId="4" borderId="15" xfId="0" applyNumberFormat="1" applyFont="1" applyFill="1" applyBorder="1" applyAlignment="1" applyProtection="1">
      <alignment horizontal="right" vertical="center"/>
      <protection hidden="1"/>
    </xf>
    <xf numFmtId="0" fontId="0" fillId="0" borderId="0" xfId="0" applyNumberFormat="1" applyFill="1"/>
    <xf numFmtId="0" fontId="12" fillId="6" borderId="54" xfId="2" applyFont="1"/>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7" fillId="4" borderId="57" xfId="4" applyFill="1" applyBorder="1">
      <alignment horizontal="center" vertical="center" wrapText="1"/>
      <protection hidden="1"/>
    </xf>
    <xf numFmtId="167" fontId="7" fillId="4" borderId="58" xfId="1" applyFill="1" applyBorder="1">
      <alignment horizontal="center" vertical="center"/>
      <protection hidden="1"/>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169" fontId="7" fillId="0" borderId="57" xfId="4" applyBorder="1">
      <alignment horizontal="center" vertical="center" wrapText="1"/>
      <protection hidden="1"/>
    </xf>
    <xf numFmtId="167" fontId="7" fillId="0" borderId="58" xfId="1" applyFill="1" applyBorder="1">
      <alignment horizontal="center" vertical="center"/>
      <protection hidden="1"/>
    </xf>
    <xf numFmtId="3" fontId="6" fillId="0" borderId="58" xfId="0" applyNumberFormat="1" applyFont="1" applyBorder="1" applyAlignment="1" applyProtection="1">
      <alignment horizontal="right" vertical="center"/>
      <protection hidden="1"/>
    </xf>
    <xf numFmtId="3" fontId="6" fillId="0" borderId="59" xfId="0" applyNumberFormat="1" applyFont="1" applyBorder="1" applyAlignment="1" applyProtection="1">
      <alignment horizontal="right" vertical="center"/>
      <protection hidden="1"/>
    </xf>
    <xf numFmtId="169" fontId="7" fillId="0" borderId="57" xfId="4" applyFill="1" applyBorder="1">
      <alignment horizontal="center" vertical="center" wrapText="1"/>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0" fontId="16" fillId="3" borderId="62" xfId="0" applyFont="1" applyFill="1" applyBorder="1" applyAlignment="1" applyProtection="1">
      <alignment horizontal="center"/>
      <protection hidden="1"/>
    </xf>
    <xf numFmtId="0" fontId="16" fillId="3" borderId="63" xfId="0" applyFont="1" applyFill="1" applyBorder="1" applyAlignment="1" applyProtection="1">
      <alignment horizontal="center"/>
      <protection hidden="1"/>
    </xf>
    <xf numFmtId="169" fontId="7" fillId="0" borderId="65" xfId="4" applyBorder="1">
      <alignment horizontal="center" vertical="center" wrapText="1"/>
      <protection hidden="1"/>
    </xf>
    <xf numFmtId="169" fontId="7" fillId="4" borderId="65" xfId="4" applyFill="1" applyBorder="1">
      <alignment horizontal="center" vertical="center" wrapText="1"/>
      <protection hidden="1"/>
    </xf>
    <xf numFmtId="3" fontId="6" fillId="0" borderId="58" xfId="0" applyNumberFormat="1" applyFont="1" applyFill="1" applyBorder="1" applyAlignment="1" applyProtection="1">
      <alignment horizontal="right" vertical="center" wrapText="1"/>
      <protection hidden="1"/>
    </xf>
    <xf numFmtId="3" fontId="6" fillId="0" borderId="59" xfId="0" applyNumberFormat="1" applyFont="1" applyFill="1" applyBorder="1" applyAlignment="1" applyProtection="1">
      <alignment horizontal="right" vertical="center" wrapText="1"/>
      <protection hidden="1"/>
    </xf>
    <xf numFmtId="167" fontId="7" fillId="0" borderId="58" xfId="1" applyBorder="1">
      <alignment horizontal="center" vertical="center"/>
      <protection hidden="1"/>
    </xf>
    <xf numFmtId="0" fontId="16" fillId="3" borderId="63" xfId="0" quotePrefix="1" applyFont="1" applyFill="1" applyBorder="1" applyAlignment="1" applyProtection="1">
      <alignment horizontal="center"/>
      <protection hidden="1"/>
    </xf>
    <xf numFmtId="0" fontId="16"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0" fontId="15"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6" fillId="0" borderId="0" xfId="0" applyFont="1" applyAlignment="1" applyProtection="1">
      <alignment horizontal="center" vertical="center"/>
      <protection hidden="1"/>
    </xf>
    <xf numFmtId="0" fontId="14" fillId="0" borderId="0" xfId="5" applyAlignment="1" applyProtection="1">
      <alignment horizontal="left"/>
      <protection hidden="1"/>
    </xf>
    <xf numFmtId="0" fontId="14" fillId="0" borderId="0" xfId="5" applyProtection="1">
      <protection hidden="1"/>
    </xf>
    <xf numFmtId="0" fontId="5" fillId="10" borderId="19" xfId="0" applyFont="1" applyFill="1" applyBorder="1" applyAlignment="1" applyProtection="1">
      <alignment horizontal="right" vertical="center" indent="1"/>
      <protection hidden="1"/>
    </xf>
    <xf numFmtId="0" fontId="15" fillId="8" borderId="20" xfId="6" applyBorder="1">
      <alignment horizontal="center" vertical="center"/>
      <protection locked="0"/>
    </xf>
    <xf numFmtId="0" fontId="8" fillId="9" borderId="5" xfId="0" applyNumberFormat="1" applyFont="1" applyFill="1" applyBorder="1" applyAlignment="1">
      <alignment horizontal="left" vertical="center" indent="1"/>
    </xf>
    <xf numFmtId="0" fontId="8" fillId="0" borderId="0" xfId="0" applyNumberFormat="1" applyFont="1" applyAlignment="1">
      <alignment horizontal="left" vertical="center" indent="1"/>
    </xf>
    <xf numFmtId="0" fontId="8"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Font="1" applyBorder="1" applyAlignment="1" applyProtection="1">
      <alignment vertical="center"/>
      <protection locked="0" hidden="1"/>
    </xf>
    <xf numFmtId="0" fontId="5"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5" fillId="8" borderId="21" xfId="8" applyBorder="1" applyProtection="1">
      <alignment horizontal="left" vertical="center"/>
      <protection hidden="1"/>
    </xf>
    <xf numFmtId="0" fontId="15" fillId="8" borderId="22" xfId="8" applyBorder="1" applyProtection="1">
      <alignment horizontal="left" vertical="center"/>
      <protection hidden="1"/>
    </xf>
    <xf numFmtId="0" fontId="5"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4" fillId="0" borderId="0" xfId="0" applyFont="1" applyBorder="1" applyAlignment="1">
      <alignment horizontal="right" vertical="center"/>
    </xf>
    <xf numFmtId="0" fontId="10" fillId="0" borderId="0" xfId="0" applyFont="1" applyBorder="1" applyAlignment="1" applyProtection="1">
      <alignment horizontal="left" vertical="center" wrapText="1" indent="1"/>
      <protection hidden="1"/>
    </xf>
    <xf numFmtId="0" fontId="10" fillId="0" borderId="0" xfId="0" applyFont="1" applyBorder="1" applyAlignment="1" applyProtection="1">
      <alignment horizontal="left" indent="1"/>
      <protection hidden="1"/>
    </xf>
    <xf numFmtId="0" fontId="10" fillId="0" borderId="0" xfId="0" applyFont="1" applyBorder="1" applyAlignment="1" applyProtection="1">
      <alignment horizontal="left" vertical="center" indent="1"/>
      <protection hidden="1"/>
    </xf>
    <xf numFmtId="0" fontId="0" fillId="0" borderId="0" xfId="0" applyProtection="1"/>
    <xf numFmtId="0" fontId="0" fillId="0" borderId="2" xfId="0" applyFont="1" applyBorder="1" applyAlignment="1" applyProtection="1">
      <alignment horizontal="center" vertical="center"/>
      <protection hidden="1"/>
    </xf>
    <xf numFmtId="167" fontId="7" fillId="0" borderId="1" xfId="1" applyFont="1" applyFill="1" applyBorder="1">
      <alignment horizontal="center" vertical="center"/>
      <protection hidden="1"/>
    </xf>
    <xf numFmtId="167" fontId="7" fillId="4" borderId="1" xfId="1" applyFont="1" applyFill="1" applyBorder="1">
      <alignment horizontal="center" vertical="center"/>
      <protection hidden="1"/>
    </xf>
    <xf numFmtId="0" fontId="7" fillId="0" borderId="24" xfId="0" applyFont="1" applyBorder="1" applyAlignment="1" applyProtection="1">
      <protection hidden="1"/>
    </xf>
    <xf numFmtId="3" fontId="7" fillId="0" borderId="24" xfId="0" applyNumberFormat="1" applyFont="1" applyBorder="1" applyAlignment="1" applyProtection="1">
      <protection hidden="1"/>
    </xf>
    <xf numFmtId="0" fontId="7" fillId="0" borderId="0" xfId="0" applyFont="1" applyAlignment="1" applyProtection="1">
      <alignment vertical="center"/>
      <protection hidden="1"/>
    </xf>
    <xf numFmtId="0" fontId="7" fillId="0" borderId="0" xfId="0" applyFont="1" applyProtection="1">
      <protection hidden="1"/>
    </xf>
    <xf numFmtId="0" fontId="7" fillId="0" borderId="0" xfId="0" applyFont="1" applyAlignment="1" applyProtection="1">
      <alignment horizontal="right"/>
      <protection hidden="1"/>
    </xf>
    <xf numFmtId="0" fontId="7" fillId="0" borderId="0" xfId="0" applyFont="1" applyBorder="1" applyProtection="1">
      <protection hidden="1"/>
    </xf>
    <xf numFmtId="166" fontId="7" fillId="0" borderId="0" xfId="0" applyNumberFormat="1" applyFont="1" applyBorder="1" applyAlignment="1" applyProtection="1">
      <alignment vertical="center" wrapText="1"/>
      <protection hidden="1"/>
    </xf>
    <xf numFmtId="0" fontId="7" fillId="0" borderId="0" xfId="0" applyFont="1" applyFill="1" applyProtection="1">
      <protection hidden="1"/>
    </xf>
    <xf numFmtId="0" fontId="7" fillId="0" borderId="0" xfId="0" applyFont="1" applyFill="1" applyBorder="1" applyAlignment="1" applyProtection="1">
      <protection hidden="1"/>
    </xf>
    <xf numFmtId="0" fontId="7"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5" fillId="8" borderId="21" xfId="6" applyBorder="1">
      <alignment horizontal="center" vertical="center"/>
      <protection locked="0"/>
    </xf>
    <xf numFmtId="0" fontId="15" fillId="8" borderId="5" xfId="6" applyBorder="1">
      <alignment horizontal="center" vertical="center"/>
      <protection locked="0"/>
    </xf>
    <xf numFmtId="0" fontId="8" fillId="0" borderId="0" xfId="0" applyFont="1" applyFill="1" applyProtection="1">
      <protection hidden="1"/>
    </xf>
    <xf numFmtId="0" fontId="18" fillId="0" borderId="0" xfId="0" applyFont="1" applyFill="1" applyProtection="1">
      <protection hidden="1"/>
    </xf>
    <xf numFmtId="0" fontId="19" fillId="0" borderId="0" xfId="0" applyFont="1" applyFill="1" applyAlignment="1" applyProtection="1">
      <alignment horizontal="center" vertical="center"/>
      <protection hidden="1"/>
    </xf>
    <xf numFmtId="0" fontId="20" fillId="0" borderId="0" xfId="0" applyFont="1" applyFill="1" applyProtection="1">
      <protection hidden="1"/>
    </xf>
    <xf numFmtId="0" fontId="0" fillId="0" borderId="21" xfId="0" applyFont="1" applyBorder="1" applyAlignment="1" applyProtection="1">
      <alignment horizontal="center" vertical="center" wrapText="1"/>
      <protection hidden="1"/>
    </xf>
    <xf numFmtId="0" fontId="0" fillId="0" borderId="0" xfId="0" applyFont="1"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ont="1" applyFill="1" applyBorder="1" applyAlignment="1" applyProtection="1">
      <alignment horizontal="right" vertical="center"/>
      <protection hidden="1"/>
    </xf>
    <xf numFmtId="3" fontId="0" fillId="0" borderId="1" xfId="0" applyNumberFormat="1" applyFont="1" applyBorder="1" applyAlignment="1" applyProtection="1">
      <alignment horizontal="right" vertical="center"/>
      <protection hidden="1"/>
    </xf>
    <xf numFmtId="3" fontId="0" fillId="4" borderId="1" xfId="0" applyNumberFormat="1" applyFont="1" applyFill="1" applyBorder="1" applyAlignment="1" applyProtection="1">
      <alignment horizontal="right" vertical="center"/>
      <protection hidden="1"/>
    </xf>
    <xf numFmtId="3" fontId="0" fillId="4" borderId="58" xfId="0" applyNumberFormat="1" applyFont="1" applyFill="1" applyBorder="1" applyAlignment="1" applyProtection="1">
      <alignment horizontal="right" vertical="center"/>
      <protection hidden="1"/>
    </xf>
    <xf numFmtId="3" fontId="0" fillId="0" borderId="58" xfId="0" applyNumberFormat="1" applyFont="1" applyBorder="1" applyAlignment="1" applyProtection="1">
      <alignment horizontal="right" vertical="center"/>
      <protection hidden="1"/>
    </xf>
    <xf numFmtId="3" fontId="0" fillId="4" borderId="58" xfId="0" applyNumberFormat="1" applyFont="1" applyFill="1" applyBorder="1" applyAlignment="1" applyProtection="1">
      <alignment horizontal="right" vertical="center"/>
      <protection locked="0"/>
    </xf>
    <xf numFmtId="3" fontId="0" fillId="4" borderId="59" xfId="0" applyNumberFormat="1" applyFont="1" applyFill="1" applyBorder="1" applyAlignment="1" applyProtection="1">
      <alignment horizontal="right" vertical="center"/>
      <protection locked="0"/>
    </xf>
    <xf numFmtId="3" fontId="0" fillId="0" borderId="58" xfId="0" applyNumberFormat="1" applyFont="1" applyBorder="1" applyAlignment="1" applyProtection="1">
      <alignment horizontal="right" vertical="center"/>
      <protection locked="0"/>
    </xf>
    <xf numFmtId="3" fontId="0" fillId="0" borderId="59" xfId="0" applyNumberFormat="1" applyFont="1" applyBorder="1" applyAlignment="1" applyProtection="1">
      <alignment horizontal="right" vertical="center"/>
      <protection locked="0"/>
    </xf>
    <xf numFmtId="3" fontId="0" fillId="0" borderId="58" xfId="0" applyNumberFormat="1" applyFont="1" applyFill="1" applyBorder="1" applyAlignment="1" applyProtection="1">
      <alignment horizontal="right" vertical="center"/>
      <protection locked="0"/>
    </xf>
    <xf numFmtId="3" fontId="0" fillId="0" borderId="59" xfId="0" applyNumberFormat="1" applyFont="1" applyFill="1" applyBorder="1" applyAlignment="1" applyProtection="1">
      <alignment horizontal="right" vertical="center"/>
      <protection locked="0"/>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3" fontId="0" fillId="4" borderId="58" xfId="0" applyNumberFormat="1" applyFont="1" applyFill="1" applyBorder="1" applyAlignment="1" applyProtection="1">
      <alignment horizontal="right" vertical="center" wrapText="1"/>
      <protection locked="0"/>
    </xf>
    <xf numFmtId="3" fontId="0" fillId="4" borderId="59" xfId="0" applyNumberFormat="1" applyFont="1" applyFill="1" applyBorder="1" applyAlignment="1" applyProtection="1">
      <alignment horizontal="right" vertical="center" wrapText="1"/>
      <protection locked="0"/>
    </xf>
    <xf numFmtId="3" fontId="0" fillId="0" borderId="58" xfId="0" applyNumberFormat="1" applyFont="1" applyFill="1" applyBorder="1" applyAlignment="1" applyProtection="1">
      <alignment horizontal="right" vertical="center" wrapText="1"/>
      <protection locked="0"/>
    </xf>
    <xf numFmtId="3" fontId="0" fillId="0" borderId="59" xfId="0" applyNumberFormat="1" applyFont="1" applyFill="1" applyBorder="1" applyAlignment="1" applyProtection="1">
      <alignment horizontal="right" vertical="center" wrapText="1"/>
      <protection locked="0"/>
    </xf>
    <xf numFmtId="0" fontId="15" fillId="0" borderId="4" xfId="8" quotePrefix="1" applyFill="1" applyAlignment="1" applyProtection="1">
      <alignment horizontal="left" vertical="center" indent="1"/>
      <protection hidden="1"/>
    </xf>
    <xf numFmtId="167" fontId="6" fillId="4" borderId="9" xfId="1" applyFont="1" applyFill="1" applyBorder="1">
      <alignment horizontal="center" vertical="center"/>
      <protection hidden="1"/>
    </xf>
    <xf numFmtId="169" fontId="6" fillId="0" borderId="16" xfId="4" applyFont="1" applyBorder="1">
      <alignment horizontal="center" vertical="center" wrapText="1"/>
      <protection hidden="1"/>
    </xf>
    <xf numFmtId="167" fontId="6" fillId="0" borderId="1" xfId="1" applyFont="1" applyFill="1" applyBorder="1">
      <alignment horizontal="center" vertical="center"/>
      <protection hidden="1"/>
    </xf>
    <xf numFmtId="167" fontId="6" fillId="4" borderId="1" xfId="1" applyFont="1" applyFill="1" applyBorder="1">
      <alignment horizontal="center" vertical="center"/>
      <protection hidden="1"/>
    </xf>
    <xf numFmtId="167" fontId="6" fillId="4" borderId="6" xfId="1" applyFont="1" applyFill="1" applyBorder="1">
      <alignment horizontal="center" vertical="center"/>
      <protection hidden="1"/>
    </xf>
    <xf numFmtId="167" fontId="6"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7" fillId="4" borderId="58" xfId="1" applyFont="1" applyFill="1" applyBorder="1">
      <alignment horizontal="center" vertical="center"/>
      <protection hidden="1"/>
    </xf>
    <xf numFmtId="167" fontId="7" fillId="0" borderId="58" xfId="1" applyFont="1" applyFill="1" applyBorder="1">
      <alignment horizontal="center" vertical="center"/>
      <protection hidden="1"/>
    </xf>
    <xf numFmtId="167" fontId="6" fillId="4" borderId="58" xfId="1" applyFont="1" applyFill="1" applyBorder="1">
      <alignment horizontal="center" vertical="center"/>
      <protection hidden="1"/>
    </xf>
    <xf numFmtId="167" fontId="6"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7" fillId="0" borderId="0" xfId="9" applyFill="1" applyBorder="1">
      <alignment horizontal="left" indent="1"/>
      <protection hidden="1"/>
    </xf>
    <xf numFmtId="0" fontId="4"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6" fillId="0" borderId="66" xfId="1" applyFont="1" applyBorder="1" applyProtection="1">
      <alignment horizontal="center" vertical="center"/>
      <protection hidden="1"/>
    </xf>
    <xf numFmtId="167" fontId="7" fillId="4" borderId="58" xfId="1" applyFont="1" applyFill="1" applyBorder="1" applyProtection="1">
      <alignment horizontal="center" vertical="center"/>
      <protection hidden="1"/>
    </xf>
    <xf numFmtId="167" fontId="7" fillId="0" borderId="58" xfId="1" applyFont="1" applyBorder="1" applyProtection="1">
      <alignment horizontal="center" vertical="center"/>
      <protection hidden="1"/>
    </xf>
    <xf numFmtId="167" fontId="7" fillId="4" borderId="61" xfId="1" applyFont="1" applyFill="1" applyBorder="1">
      <alignment horizontal="center" vertical="center"/>
      <protection hidden="1"/>
    </xf>
    <xf numFmtId="169" fontId="6" fillId="4" borderId="57" xfId="4" applyFont="1" applyFill="1" applyBorder="1">
      <alignment horizontal="center" vertical="center" wrapText="1"/>
      <protection hidden="1"/>
    </xf>
    <xf numFmtId="169" fontId="6" fillId="0" borderId="57" xfId="4" applyFont="1" applyBorder="1">
      <alignment horizontal="center" vertical="center" wrapText="1"/>
      <protection hidden="1"/>
    </xf>
    <xf numFmtId="167" fontId="6" fillId="0" borderId="58" xfId="1" applyFont="1" applyBorder="1">
      <alignment horizontal="center" vertical="center"/>
      <protection hidden="1"/>
    </xf>
    <xf numFmtId="169" fontId="7" fillId="0" borderId="65" xfId="4" applyFont="1" applyBorder="1">
      <alignment horizontal="center" vertical="center" wrapText="1"/>
      <protection hidden="1"/>
    </xf>
    <xf numFmtId="167" fontId="7" fillId="0" borderId="66" xfId="1" applyFont="1" applyBorder="1">
      <alignment horizontal="center" vertical="center"/>
      <protection hidden="1"/>
    </xf>
    <xf numFmtId="169" fontId="7" fillId="4" borderId="57" xfId="4" applyFont="1" applyFill="1" applyBorder="1">
      <alignment horizontal="center" vertical="center" wrapText="1"/>
      <protection hidden="1"/>
    </xf>
    <xf numFmtId="169" fontId="7" fillId="0" borderId="57" xfId="4" applyFont="1" applyBorder="1">
      <alignment horizontal="center" vertical="center" wrapText="1"/>
      <protection hidden="1"/>
    </xf>
    <xf numFmtId="167" fontId="7" fillId="0" borderId="58" xfId="1" applyFont="1" applyBorder="1">
      <alignment horizontal="center" vertical="center"/>
      <protection hidden="1"/>
    </xf>
    <xf numFmtId="169" fontId="7" fillId="4" borderId="60" xfId="4" applyFont="1" applyFill="1" applyBorder="1">
      <alignment horizontal="center" vertical="center" wrapText="1"/>
      <protection hidden="1"/>
    </xf>
    <xf numFmtId="3" fontId="0" fillId="4" borderId="10" xfId="0" applyNumberFormat="1" applyFont="1" applyFill="1" applyBorder="1" applyAlignment="1" applyProtection="1">
      <alignment horizontal="right" vertical="center"/>
      <protection locked="0"/>
    </xf>
    <xf numFmtId="3" fontId="0" fillId="0" borderId="10" xfId="0" applyNumberFormat="1" applyFont="1" applyBorder="1" applyAlignment="1" applyProtection="1">
      <alignment horizontal="right" vertical="center"/>
      <protection locked="0"/>
    </xf>
    <xf numFmtId="3" fontId="6" fillId="0" borderId="10" xfId="0" applyNumberFormat="1" applyFont="1" applyBorder="1" applyAlignment="1" applyProtection="1">
      <alignment horizontal="right" vertical="center"/>
      <protection locked="0"/>
    </xf>
    <xf numFmtId="3" fontId="0" fillId="4" borderId="13" xfId="0" applyNumberFormat="1" applyFont="1" applyFill="1" applyBorder="1" applyAlignment="1" applyProtection="1">
      <alignment horizontal="right" vertical="center"/>
      <protection locked="0"/>
    </xf>
    <xf numFmtId="3" fontId="0" fillId="4" borderId="15" xfId="0" applyNumberFormat="1" applyFont="1" applyFill="1" applyBorder="1" applyAlignment="1" applyProtection="1">
      <alignment horizontal="right" vertical="center"/>
      <protection locked="0"/>
    </xf>
    <xf numFmtId="3" fontId="0" fillId="0" borderId="13" xfId="0" applyNumberFormat="1" applyFont="1" applyBorder="1" applyAlignment="1" applyProtection="1">
      <alignment horizontal="right" vertical="center"/>
      <protection locked="0"/>
    </xf>
    <xf numFmtId="3" fontId="0" fillId="0" borderId="15" xfId="0" applyNumberFormat="1" applyFont="1" applyBorder="1" applyAlignment="1" applyProtection="1">
      <alignment horizontal="right" vertical="center"/>
      <protection locked="0"/>
    </xf>
    <xf numFmtId="3" fontId="6" fillId="4" borderId="13" xfId="0" applyNumberFormat="1" applyFont="1" applyFill="1" applyBorder="1" applyAlignment="1" applyProtection="1">
      <alignment horizontal="right" vertical="center"/>
      <protection locked="0"/>
    </xf>
    <xf numFmtId="3" fontId="6" fillId="4" borderId="15" xfId="0" applyNumberFormat="1" applyFont="1" applyFill="1" applyBorder="1" applyAlignment="1" applyProtection="1">
      <alignment horizontal="right" vertical="center"/>
      <protection locked="0"/>
    </xf>
    <xf numFmtId="3" fontId="6" fillId="0" borderId="13" xfId="0" applyNumberFormat="1" applyFont="1" applyBorder="1" applyAlignment="1" applyProtection="1">
      <alignment horizontal="right" vertical="center"/>
      <protection locked="0"/>
    </xf>
    <xf numFmtId="3" fontId="6" fillId="0" borderId="15" xfId="0" applyNumberFormat="1" applyFont="1" applyBorder="1" applyAlignment="1" applyProtection="1">
      <alignment horizontal="right" vertical="center"/>
      <protection locked="0"/>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0" fillId="0" borderId="66" xfId="0" applyNumberFormat="1" applyFont="1" applyBorder="1" applyAlignment="1" applyProtection="1">
      <alignment horizontal="right" vertical="center"/>
      <protection locked="0"/>
    </xf>
    <xf numFmtId="3" fontId="0" fillId="0" borderId="67" xfId="0" applyNumberFormat="1" applyFont="1" applyBorder="1" applyAlignment="1" applyProtection="1">
      <alignment horizontal="right" vertical="center"/>
      <protection locked="0"/>
    </xf>
    <xf numFmtId="3" fontId="0" fillId="4" borderId="61" xfId="0" applyNumberFormat="1" applyFont="1" applyFill="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2" xfId="0" applyBorder="1" applyAlignment="1" applyProtection="1">
      <alignment vertical="center"/>
      <protection locked="0" hidden="1"/>
    </xf>
    <xf numFmtId="0" fontId="0" fillId="0" borderId="0" xfId="0" applyBorder="1" applyAlignment="1" applyProtection="1">
      <alignment vertical="center"/>
      <protection hidden="1"/>
    </xf>
    <xf numFmtId="0" fontId="8" fillId="0" borderId="0" xfId="0" applyFont="1" applyFill="1" applyAlignment="1" applyProtection="1">
      <alignment horizontal="left" indent="1"/>
      <protection hidden="1"/>
    </xf>
    <xf numFmtId="0" fontId="4"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8"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8" fillId="0" borderId="30" xfId="0" applyFont="1" applyFill="1" applyBorder="1" applyProtection="1">
      <protection hidden="1"/>
    </xf>
    <xf numFmtId="0" fontId="0" fillId="0" borderId="31" xfId="0" applyFill="1" applyBorder="1" applyProtection="1">
      <protection hidden="1"/>
    </xf>
    <xf numFmtId="0" fontId="21" fillId="0" borderId="30" xfId="0" applyFont="1" applyFill="1" applyBorder="1" applyProtection="1">
      <protection hidden="1"/>
    </xf>
    <xf numFmtId="0" fontId="21"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5"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4" fillId="0" borderId="0" xfId="0" applyFont="1" applyAlignment="1" applyProtection="1">
      <alignment vertical="center"/>
      <protection hidden="1"/>
    </xf>
    <xf numFmtId="0" fontId="28" fillId="14" borderId="2" xfId="0" applyFont="1" applyFill="1" applyBorder="1" applyAlignment="1">
      <alignment horizontal="center" vertical="center" wrapText="1"/>
    </xf>
    <xf numFmtId="0" fontId="16" fillId="3" borderId="55" xfId="0" applyFont="1" applyFill="1" applyBorder="1" applyAlignment="1" applyProtection="1">
      <alignment horizontal="center" vertical="center" wrapText="1"/>
      <protection hidden="1"/>
    </xf>
    <xf numFmtId="0" fontId="0" fillId="0" borderId="0" xfId="0" applyFill="1" applyBorder="1" applyAlignment="1" applyProtection="1">
      <alignment horizontal="center" vertical="center"/>
      <protection hidden="1"/>
    </xf>
    <xf numFmtId="0" fontId="16" fillId="3" borderId="63" xfId="0" applyFont="1" applyFill="1" applyBorder="1" applyAlignment="1" applyProtection="1">
      <alignment horizontal="center"/>
      <protection hidden="1"/>
    </xf>
    <xf numFmtId="0" fontId="16" fillId="3" borderId="94"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3" fontId="6" fillId="0" borderId="12" xfId="0" applyNumberFormat="1" applyFont="1" applyBorder="1" applyAlignment="1" applyProtection="1">
      <alignment horizontal="right" vertical="center"/>
      <protection hidden="1"/>
    </xf>
    <xf numFmtId="3" fontId="0" fillId="5" borderId="1" xfId="0" applyNumberFormat="1" applyFont="1" applyFill="1" applyBorder="1" applyAlignment="1" applyProtection="1">
      <alignment horizontal="right" vertical="center"/>
      <protection hidden="1"/>
    </xf>
    <xf numFmtId="3" fontId="0" fillId="0" borderId="1" xfId="0" applyNumberFormat="1" applyFont="1" applyBorder="1" applyAlignment="1" applyProtection="1">
      <alignment horizontal="right" vertical="center"/>
      <protection locked="0"/>
    </xf>
    <xf numFmtId="168" fontId="0" fillId="4" borderId="1" xfId="0" applyNumberFormat="1" applyFont="1" applyFill="1" applyBorder="1" applyAlignment="1" applyProtection="1">
      <alignment horizontal="right" vertical="center"/>
      <protection locked="0"/>
    </xf>
    <xf numFmtId="0" fontId="0" fillId="0" borderId="0" xfId="0" applyFill="1" applyBorder="1" applyAlignment="1" applyProtection="1">
      <alignment horizontal="center" vertical="center"/>
      <protection hidden="1"/>
    </xf>
    <xf numFmtId="0" fontId="16" fillId="3" borderId="63" xfId="0" applyFont="1" applyFill="1" applyBorder="1" applyAlignment="1" applyProtection="1">
      <alignment horizontal="center"/>
      <protection hidden="1"/>
    </xf>
    <xf numFmtId="3" fontId="6" fillId="4" borderId="99" xfId="0" applyNumberFormat="1" applyFont="1" applyFill="1" applyBorder="1" applyAlignment="1" applyProtection="1">
      <alignment horizontal="right" vertical="center"/>
      <protection hidden="1"/>
    </xf>
    <xf numFmtId="0" fontId="16" fillId="3" borderId="6" xfId="0" quotePrefix="1" applyNumberFormat="1" applyFont="1" applyFill="1" applyBorder="1" applyAlignment="1" applyProtection="1">
      <alignment horizontal="center"/>
      <protection hidden="1"/>
    </xf>
    <xf numFmtId="167" fontId="6" fillId="4" borderId="49" xfId="1" applyFont="1" applyFill="1" applyBorder="1">
      <alignment horizontal="center" vertical="center"/>
      <protection hidden="1"/>
    </xf>
    <xf numFmtId="0" fontId="7" fillId="0" borderId="0" xfId="0" applyFont="1" applyAlignment="1" applyProtection="1">
      <alignment horizontal="right" vertical="center"/>
      <protection hidden="1"/>
    </xf>
    <xf numFmtId="49" fontId="6" fillId="0" borderId="0" xfId="9" applyFont="1" applyBorder="1" applyAlignment="1">
      <protection hidden="1"/>
    </xf>
    <xf numFmtId="0" fontId="7" fillId="0" borderId="0" xfId="10" applyBorder="1">
      <alignment horizontal="left" indent="1"/>
      <protection hidden="1"/>
    </xf>
    <xf numFmtId="49" fontId="7" fillId="0" borderId="0" xfId="9" applyFont="1" applyBorder="1" applyAlignment="1">
      <alignment vertical="center"/>
      <protection hidden="1"/>
    </xf>
    <xf numFmtId="169" fontId="7" fillId="4" borderId="60" xfId="4" applyFill="1" applyBorder="1">
      <alignment horizontal="center" vertical="center" wrapText="1"/>
      <protection hidden="1"/>
    </xf>
    <xf numFmtId="167" fontId="7" fillId="4" borderId="61" xfId="1" applyFill="1" applyBorder="1">
      <alignment horizontal="center"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pplyAlignment="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6"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8" fillId="0" borderId="2" xfId="0" applyFont="1" applyBorder="1" applyAlignment="1">
      <alignment horizontal="center" vertical="center" wrapText="1"/>
    </xf>
    <xf numFmtId="0" fontId="7" fillId="0" borderId="0" xfId="10" applyFont="1" applyBorder="1" applyAlignment="1">
      <protection hidden="1"/>
    </xf>
    <xf numFmtId="0" fontId="0" fillId="0" borderId="0" xfId="0" applyNumberFormat="1" applyAlignment="1" applyProtection="1">
      <alignment horizontal="left" vertical="center"/>
      <protection hidden="1"/>
    </xf>
    <xf numFmtId="0" fontId="0" fillId="0" borderId="116" xfId="0" applyBorder="1"/>
    <xf numFmtId="0" fontId="35" fillId="0" borderId="0" xfId="0" applyFont="1" applyProtection="1">
      <protection hidden="1"/>
    </xf>
    <xf numFmtId="165" fontId="35" fillId="0" borderId="0" xfId="0" applyNumberFormat="1" applyFont="1" applyProtection="1">
      <protection hidden="1"/>
    </xf>
    <xf numFmtId="0" fontId="35" fillId="0" borderId="0" xfId="0" applyNumberFormat="1" applyFont="1" applyAlignment="1" applyProtection="1">
      <alignment horizontal="right"/>
      <protection hidden="1"/>
    </xf>
    <xf numFmtId="0" fontId="0" fillId="0" borderId="116" xfId="0" applyBorder="1" applyProtection="1">
      <protection hidden="1"/>
    </xf>
    <xf numFmtId="165" fontId="0" fillId="0" borderId="116" xfId="0" applyNumberFormat="1" applyBorder="1" applyProtection="1">
      <protection hidden="1"/>
    </xf>
    <xf numFmtId="0" fontId="0" fillId="0" borderId="116" xfId="0" applyNumberFormat="1" applyBorder="1" applyAlignment="1" applyProtection="1">
      <alignment horizontal="right"/>
      <protection hidden="1"/>
    </xf>
    <xf numFmtId="0" fontId="0" fillId="0" borderId="116" xfId="0" applyBorder="1" applyAlignment="1" applyProtection="1">
      <alignment horizontal="right" vertical="center"/>
      <protection hidden="1"/>
    </xf>
    <xf numFmtId="49" fontId="28" fillId="0" borderId="2" xfId="0" applyNumberFormat="1" applyFont="1" applyBorder="1" applyAlignment="1">
      <alignment horizontal="center" vertical="center" wrapText="1"/>
    </xf>
    <xf numFmtId="49" fontId="6" fillId="14" borderId="2" xfId="4" applyNumberFormat="1" applyFont="1" applyFill="1" applyBorder="1" applyAlignment="1">
      <alignment horizontal="left" vertical="center" wrapText="1"/>
      <protection hidden="1"/>
    </xf>
    <xf numFmtId="0" fontId="28"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28" fillId="14" borderId="92" xfId="0" applyFont="1" applyFill="1" applyBorder="1" applyAlignment="1">
      <alignment horizontal="left" vertical="center" wrapText="1"/>
    </xf>
    <xf numFmtId="169" fontId="6" fillId="18" borderId="16" xfId="4" applyFont="1" applyFill="1" applyBorder="1" applyAlignment="1">
      <alignment horizontal="left" vertical="center" wrapText="1"/>
      <protection hidden="1"/>
    </xf>
    <xf numFmtId="49" fontId="6" fillId="18" borderId="16" xfId="4" applyNumberFormat="1" applyFont="1" applyFill="1" applyBorder="1" applyAlignment="1">
      <alignment horizontal="left" vertical="center" wrapText="1"/>
      <protection hidden="1"/>
    </xf>
    <xf numFmtId="49" fontId="6" fillId="18" borderId="0" xfId="0" applyNumberFormat="1" applyFont="1" applyFill="1" applyAlignment="1">
      <alignment horizontal="left" vertical="center" wrapText="1"/>
    </xf>
    <xf numFmtId="0" fontId="6"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6" fillId="18" borderId="0" xfId="4" applyFont="1" applyFill="1" applyBorder="1" applyAlignment="1">
      <alignment horizontal="left" vertical="center" wrapText="1"/>
      <protection hidden="1"/>
    </xf>
    <xf numFmtId="49" fontId="6" fillId="18" borderId="0" xfId="4" applyNumberFormat="1" applyFont="1" applyFill="1" applyBorder="1" applyAlignment="1">
      <alignment horizontal="left" vertical="center" wrapText="1"/>
      <protection hidden="1"/>
    </xf>
    <xf numFmtId="169" fontId="6" fillId="15" borderId="0" xfId="4" applyFont="1" applyFill="1" applyBorder="1" applyAlignment="1">
      <alignment horizontal="left" vertical="center" wrapText="1"/>
      <protection hidden="1"/>
    </xf>
    <xf numFmtId="0" fontId="6" fillId="0" borderId="0" xfId="0" applyFont="1" applyAlignment="1">
      <alignment horizontal="left" wrapText="1"/>
    </xf>
    <xf numFmtId="0" fontId="6" fillId="0" borderId="0" xfId="0" applyFont="1" applyAlignment="1">
      <alignment horizontal="left"/>
    </xf>
    <xf numFmtId="0" fontId="28" fillId="0" borderId="2" xfId="0" applyFont="1" applyBorder="1" applyAlignment="1">
      <alignment horizontal="left" vertical="center" wrapText="1"/>
    </xf>
    <xf numFmtId="0" fontId="28" fillId="0" borderId="2" xfId="0" applyFont="1" applyBorder="1" applyAlignment="1">
      <alignment horizontal="left" wrapText="1"/>
    </xf>
    <xf numFmtId="0" fontId="33" fillId="6" borderId="54" xfId="2" applyFont="1" applyAlignment="1">
      <alignment horizontal="left"/>
    </xf>
    <xf numFmtId="0" fontId="34" fillId="0" borderId="2" xfId="0" applyFont="1" applyBorder="1" applyAlignment="1" applyProtection="1">
      <alignment horizontal="left" wrapText="1"/>
      <protection locked="0"/>
    </xf>
    <xf numFmtId="0" fontId="6" fillId="0" borderId="0" xfId="0" applyFont="1" applyAlignment="1">
      <alignment horizontal="left" vertical="center" wrapText="1"/>
    </xf>
    <xf numFmtId="0" fontId="0" fillId="0" borderId="0" xfId="0" applyFont="1" applyAlignment="1">
      <alignment horizontal="left" vertical="center" wrapText="1"/>
    </xf>
    <xf numFmtId="0" fontId="0" fillId="0" borderId="0" xfId="0" applyFont="1" applyAlignment="1">
      <alignment horizontal="left" vertical="center"/>
    </xf>
    <xf numFmtId="0" fontId="0" fillId="0" borderId="0" xfId="0" applyFont="1" applyAlignment="1">
      <alignment horizontal="center" vertical="center"/>
    </xf>
    <xf numFmtId="0" fontId="0" fillId="0" borderId="0" xfId="0" applyFont="1" applyAlignment="1">
      <alignment horizontal="left"/>
    </xf>
    <xf numFmtId="0" fontId="0" fillId="17" borderId="0" xfId="0" applyFont="1" applyFill="1" applyAlignment="1">
      <alignment horizontal="left" vertical="center"/>
    </xf>
    <xf numFmtId="49" fontId="0" fillId="0" borderId="0" xfId="0" applyNumberFormat="1" applyFont="1" applyAlignment="1">
      <alignment horizontal="center" vertical="center" wrapText="1"/>
    </xf>
    <xf numFmtId="0" fontId="0" fillId="0" borderId="0" xfId="0" applyFont="1" applyAlignment="1">
      <alignment horizontal="left" wrapText="1"/>
    </xf>
    <xf numFmtId="49" fontId="0" fillId="0" borderId="0" xfId="0" applyNumberFormat="1" applyFont="1" applyAlignment="1">
      <alignment horizontal="left" vertical="center" wrapText="1"/>
    </xf>
    <xf numFmtId="49" fontId="0" fillId="18" borderId="0" xfId="0" applyNumberFormat="1" applyFont="1" applyFill="1" applyAlignment="1">
      <alignment horizontal="left" vertical="center" wrapText="1"/>
    </xf>
    <xf numFmtId="0" fontId="0" fillId="18" borderId="0" xfId="0" applyFont="1" applyFill="1" applyAlignment="1">
      <alignment horizontal="left" vertical="center"/>
    </xf>
    <xf numFmtId="0" fontId="0" fillId="18" borderId="0" xfId="0" applyFont="1" applyFill="1" applyAlignment="1">
      <alignment horizontal="left"/>
    </xf>
    <xf numFmtId="0" fontId="0" fillId="18" borderId="0" xfId="0" applyFont="1" applyFill="1" applyAlignment="1">
      <alignment horizontal="left" wrapText="1"/>
    </xf>
    <xf numFmtId="16" fontId="0" fillId="18" borderId="0" xfId="0" applyNumberFormat="1" applyFont="1" applyFill="1" applyAlignment="1">
      <alignment horizontal="left"/>
    </xf>
    <xf numFmtId="0" fontId="0" fillId="0" borderId="0" xfId="0" applyFont="1" applyBorder="1" applyAlignment="1">
      <alignment horizontal="left" wrapText="1"/>
    </xf>
    <xf numFmtId="0" fontId="0" fillId="0" borderId="0" xfId="0" applyFont="1" applyBorder="1" applyAlignment="1">
      <alignment horizontal="left"/>
    </xf>
    <xf numFmtId="49" fontId="0" fillId="0" borderId="0" xfId="0" applyNumberFormat="1" applyFont="1" applyBorder="1" applyAlignment="1">
      <alignment horizontal="left" vertical="center" wrapText="1"/>
    </xf>
    <xf numFmtId="0" fontId="0" fillId="0" borderId="0" xfId="0" applyFont="1" applyAlignment="1">
      <alignment horizontal="left" vertical="top" wrapText="1"/>
    </xf>
    <xf numFmtId="0" fontId="0" fillId="11" borderId="0" xfId="0" applyFont="1" applyFill="1" applyAlignment="1">
      <alignment horizontal="left" vertical="center"/>
    </xf>
    <xf numFmtId="0" fontId="0" fillId="0" borderId="0" xfId="0" applyNumberFormat="1" applyFont="1" applyAlignment="1">
      <alignment horizontal="left" vertical="center" wrapText="1"/>
    </xf>
    <xf numFmtId="0" fontId="0" fillId="0" borderId="0" xfId="0" applyFont="1" applyBorder="1" applyAlignment="1">
      <alignment horizontal="left" vertical="center"/>
    </xf>
    <xf numFmtId="0" fontId="0" fillId="0" borderId="0" xfId="0" applyNumberFormat="1" applyFont="1" applyBorder="1" applyAlignment="1">
      <alignment horizontal="left" vertical="center" wrapText="1"/>
    </xf>
    <xf numFmtId="0" fontId="12" fillId="6" borderId="54" xfId="2" applyFont="1" applyAlignment="1">
      <alignment horizontal="left"/>
    </xf>
    <xf numFmtId="0" fontId="12" fillId="6" borderId="54" xfId="2" applyFont="1" applyAlignment="1">
      <alignment horizontal="left" vertical="center"/>
    </xf>
    <xf numFmtId="0" fontId="0" fillId="19" borderId="2" xfId="0" applyFont="1" applyFill="1" applyBorder="1" applyAlignment="1">
      <alignment horizontal="left" vertical="center"/>
    </xf>
    <xf numFmtId="0" fontId="0" fillId="0" borderId="2" xfId="0" applyFont="1" applyBorder="1" applyAlignment="1">
      <alignment horizontal="left" vertical="center"/>
    </xf>
    <xf numFmtId="0" fontId="12" fillId="6" borderId="54" xfId="2" applyFont="1" applyAlignment="1">
      <alignment horizontal="left" vertical="center" wrapText="1"/>
    </xf>
    <xf numFmtId="0" fontId="33" fillId="6" borderId="54" xfId="2" applyFont="1" applyAlignment="1">
      <alignment horizontal="left" vertical="center"/>
    </xf>
    <xf numFmtId="0" fontId="0" fillId="19" borderId="0" xfId="0" applyFont="1" applyFill="1" applyAlignment="1">
      <alignment horizontal="left" vertical="center"/>
    </xf>
    <xf numFmtId="0" fontId="0" fillId="19" borderId="0" xfId="0" applyFont="1" applyFill="1" applyAlignment="1">
      <alignment horizontal="left"/>
    </xf>
    <xf numFmtId="49" fontId="0" fillId="19" borderId="0" xfId="0" applyNumberFormat="1" applyFont="1" applyFill="1" applyAlignment="1">
      <alignment horizontal="left" vertical="center" wrapText="1"/>
    </xf>
    <xf numFmtId="169" fontId="6" fillId="19" borderId="0" xfId="4" applyFont="1" applyFill="1" applyBorder="1" applyAlignment="1">
      <alignment horizontal="left" vertical="center" wrapText="1"/>
      <protection hidden="1"/>
    </xf>
    <xf numFmtId="0" fontId="0" fillId="19" borderId="0" xfId="0" applyFont="1" applyFill="1" applyAlignment="1">
      <alignment horizontal="left" vertical="center" wrapText="1"/>
    </xf>
    <xf numFmtId="16" fontId="0" fillId="19" borderId="0" xfId="0" applyNumberFormat="1" applyFont="1" applyFill="1" applyAlignment="1">
      <alignment horizontal="left"/>
    </xf>
    <xf numFmtId="49" fontId="0" fillId="19" borderId="0" xfId="0" applyNumberFormat="1" applyFont="1" applyFill="1" applyBorder="1" applyAlignment="1">
      <alignment horizontal="left" vertical="center" wrapText="1"/>
    </xf>
    <xf numFmtId="49" fontId="6" fillId="19" borderId="0" xfId="4" applyNumberFormat="1" applyFont="1" applyFill="1" applyBorder="1" applyAlignment="1">
      <alignment horizontal="left" vertical="center" wrapText="1"/>
      <protection hidden="1"/>
    </xf>
    <xf numFmtId="0" fontId="26" fillId="19" borderId="37" xfId="0" applyFont="1" applyFill="1" applyBorder="1" applyAlignment="1">
      <alignment horizontal="left" vertical="center" wrapText="1"/>
    </xf>
    <xf numFmtId="0" fontId="6" fillId="19" borderId="2" xfId="0" applyFont="1" applyFill="1" applyBorder="1" applyAlignment="1" applyProtection="1">
      <alignment horizontal="left" vertical="center" wrapText="1"/>
      <protection hidden="1"/>
    </xf>
    <xf numFmtId="0" fontId="30" fillId="19" borderId="0" xfId="0" applyFont="1" applyFill="1" applyAlignment="1">
      <alignment horizontal="left"/>
    </xf>
    <xf numFmtId="0" fontId="6" fillId="19" borderId="2" xfId="0" applyFont="1" applyFill="1" applyBorder="1" applyAlignment="1" applyProtection="1">
      <alignment horizontal="left" vertical="top" wrapText="1"/>
      <protection hidden="1"/>
    </xf>
    <xf numFmtId="0" fontId="0" fillId="19" borderId="0" xfId="0" applyFont="1" applyFill="1" applyAlignment="1">
      <alignment horizontal="left" vertical="top" wrapText="1"/>
    </xf>
    <xf numFmtId="0" fontId="29" fillId="19" borderId="2" xfId="0" applyFont="1" applyFill="1" applyBorder="1" applyAlignment="1" applyProtection="1">
      <alignment horizontal="left" vertical="center" wrapText="1"/>
      <protection hidden="1"/>
    </xf>
    <xf numFmtId="0" fontId="36" fillId="19" borderId="0" xfId="0" applyFont="1" applyFill="1" applyAlignment="1">
      <alignment horizontal="left"/>
    </xf>
    <xf numFmtId="0" fontId="30" fillId="19" borderId="2" xfId="0" applyFont="1" applyFill="1" applyBorder="1" applyAlignment="1" applyProtection="1">
      <alignment horizontal="left" vertical="center" wrapText="1"/>
      <protection hidden="1"/>
    </xf>
    <xf numFmtId="0" fontId="0" fillId="19" borderId="2" xfId="0" applyFont="1" applyFill="1" applyBorder="1" applyAlignment="1" applyProtection="1">
      <alignment horizontal="left" vertical="center" wrapText="1"/>
      <protection hidden="1"/>
    </xf>
    <xf numFmtId="0" fontId="37" fillId="19" borderId="0" xfId="0" applyFont="1" applyFill="1" applyAlignment="1">
      <alignment horizontal="left"/>
    </xf>
    <xf numFmtId="0" fontId="29" fillId="19" borderId="21" xfId="0" applyFont="1" applyFill="1" applyBorder="1" applyAlignment="1" applyProtection="1">
      <alignment horizontal="left" vertical="center" wrapText="1"/>
      <protection hidden="1"/>
    </xf>
    <xf numFmtId="0" fontId="6" fillId="19" borderId="21" xfId="0" applyFont="1" applyFill="1" applyBorder="1" applyAlignment="1" applyProtection="1">
      <alignment horizontal="left" vertical="center" wrapText="1"/>
      <protection hidden="1"/>
    </xf>
    <xf numFmtId="169" fontId="7" fillId="0" borderId="65" xfId="4" applyFill="1" applyBorder="1">
      <alignment horizontal="center" vertical="center" wrapText="1"/>
      <protection hidden="1"/>
    </xf>
    <xf numFmtId="169" fontId="7" fillId="21" borderId="57" xfId="4" applyFill="1" applyBorder="1">
      <alignment horizontal="center" vertical="center" wrapText="1"/>
      <protection hidden="1"/>
    </xf>
    <xf numFmtId="169" fontId="38" fillId="21" borderId="57" xfId="4" applyFont="1" applyFill="1" applyBorder="1">
      <alignment horizontal="center" vertical="center" wrapText="1"/>
      <protection hidden="1"/>
    </xf>
    <xf numFmtId="169" fontId="40" fillId="0" borderId="57" xfId="4" applyFont="1" applyFill="1" applyBorder="1">
      <alignment horizontal="center" vertical="center" wrapText="1"/>
      <protection hidden="1"/>
    </xf>
    <xf numFmtId="169" fontId="40" fillId="19" borderId="57" xfId="4" applyFont="1" applyFill="1" applyBorder="1">
      <alignment horizontal="center" vertical="center" wrapText="1"/>
      <protection hidden="1"/>
    </xf>
    <xf numFmtId="169" fontId="38" fillId="0" borderId="57" xfId="4" applyFont="1" applyFill="1" applyBorder="1">
      <alignment horizontal="center" vertical="center" wrapText="1"/>
      <protection hidden="1"/>
    </xf>
    <xf numFmtId="169" fontId="40" fillId="21" borderId="57" xfId="4" applyFont="1" applyFill="1" applyBorder="1">
      <alignment horizontal="center" vertical="center" wrapText="1"/>
      <protection hidden="1"/>
    </xf>
    <xf numFmtId="169" fontId="7" fillId="19" borderId="57" xfId="4" applyFill="1" applyBorder="1">
      <alignment horizontal="center" vertical="center" wrapText="1"/>
      <protection hidden="1"/>
    </xf>
    <xf numFmtId="169" fontId="7"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ont="1" applyFill="1" applyAlignment="1">
      <alignment horizontal="left" wrapText="1"/>
    </xf>
    <xf numFmtId="0" fontId="28"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ont="1" applyFill="1" applyAlignment="1">
      <alignment horizontal="center" vertical="center" wrapText="1"/>
    </xf>
    <xf numFmtId="0" fontId="29"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ont="1" applyFill="1" applyBorder="1" applyAlignment="1">
      <alignment horizontal="left" vertical="center"/>
    </xf>
    <xf numFmtId="49" fontId="0" fillId="19" borderId="4" xfId="0" applyNumberFormat="1" applyFont="1" applyFill="1" applyBorder="1" applyAlignment="1">
      <alignment horizontal="left" vertical="center" wrapText="1"/>
    </xf>
    <xf numFmtId="169" fontId="6" fillId="14" borderId="117" xfId="4" applyFont="1" applyFill="1" applyBorder="1" applyAlignment="1">
      <alignment horizontal="left" vertical="center" wrapText="1"/>
      <protection hidden="1"/>
    </xf>
    <xf numFmtId="0" fontId="0" fillId="0" borderId="0" xfId="0" applyBorder="1" applyAlignment="1">
      <alignment horizontal="center" vertical="center" wrapText="1"/>
    </xf>
    <xf numFmtId="0" fontId="17" fillId="7" borderId="0" xfId="3" applyFont="1" applyBorder="1" applyAlignment="1">
      <alignment horizontal="center" vertical="center" wrapText="1"/>
    </xf>
    <xf numFmtId="0" fontId="0" fillId="0" borderId="0" xfId="0" applyFont="1" applyBorder="1" applyAlignment="1">
      <alignment horizontal="left" vertical="center" wrapText="1"/>
    </xf>
    <xf numFmtId="0" fontId="0" fillId="0" borderId="0" xfId="0" applyFont="1" applyBorder="1" applyAlignment="1">
      <alignment horizontal="center" vertical="center" wrapText="1"/>
    </xf>
    <xf numFmtId="0" fontId="31" fillId="0" borderId="0" xfId="0" applyFont="1" applyFill="1" applyBorder="1" applyAlignment="1" applyProtection="1">
      <alignment vertical="center" wrapText="1"/>
      <protection hidden="1"/>
    </xf>
    <xf numFmtId="0" fontId="26" fillId="0" borderId="0" xfId="0" applyFont="1" applyFill="1" applyBorder="1" applyAlignment="1">
      <alignment vertical="center" wrapText="1"/>
    </xf>
    <xf numFmtId="169" fontId="6" fillId="0" borderId="16" xfId="4" applyFont="1" applyBorder="1" applyAlignment="1">
      <alignment horizontal="center" vertical="center" wrapText="1"/>
      <protection hidden="1"/>
    </xf>
    <xf numFmtId="3" fontId="0" fillId="4" borderId="16" xfId="0" applyNumberFormat="1" applyFont="1" applyFill="1" applyBorder="1" applyAlignment="1" applyProtection="1">
      <alignment horizontal="center" vertical="center"/>
      <protection hidden="1"/>
    </xf>
    <xf numFmtId="3" fontId="0" fillId="0" borderId="16" xfId="0" applyNumberFormat="1" applyFont="1" applyBorder="1" applyAlignment="1" applyProtection="1">
      <alignment horizontal="center" vertical="center"/>
      <protection hidden="1"/>
    </xf>
    <xf numFmtId="3" fontId="0" fillId="4" borderId="91" xfId="0" applyNumberFormat="1" applyFont="1" applyFill="1" applyBorder="1" applyAlignment="1" applyProtection="1">
      <alignment horizontal="center" vertical="center"/>
      <protection hidden="1"/>
    </xf>
    <xf numFmtId="3" fontId="0" fillId="4" borderId="118" xfId="0" applyNumberFormat="1" applyFont="1" applyFill="1" applyBorder="1" applyAlignment="1" applyProtection="1">
      <alignment horizontal="center" vertical="center"/>
      <protection locked="0"/>
    </xf>
    <xf numFmtId="3" fontId="0" fillId="0" borderId="119" xfId="0" applyNumberFormat="1" applyFont="1" applyBorder="1" applyAlignment="1" applyProtection="1">
      <alignment horizontal="center" vertical="center"/>
      <protection locked="0"/>
    </xf>
    <xf numFmtId="3" fontId="0" fillId="4" borderId="119" xfId="0" applyNumberFormat="1" applyFont="1" applyFill="1" applyBorder="1" applyAlignment="1" applyProtection="1">
      <alignment horizontal="center" vertical="center"/>
      <protection locked="0"/>
    </xf>
    <xf numFmtId="3" fontId="0" fillId="0" borderId="120" xfId="0" applyNumberFormat="1" applyFont="1" applyBorder="1" applyAlignment="1" applyProtection="1">
      <alignment horizontal="center" vertical="center"/>
      <protection locked="0"/>
    </xf>
    <xf numFmtId="3" fontId="0" fillId="0" borderId="121" xfId="0" applyNumberFormat="1" applyFont="1" applyBorder="1" applyAlignment="1" applyProtection="1">
      <alignment horizontal="center" vertical="center"/>
      <protection hidden="1"/>
    </xf>
    <xf numFmtId="0" fontId="6" fillId="19" borderId="0" xfId="0" applyFont="1" applyFill="1"/>
    <xf numFmtId="0" fontId="6" fillId="19" borderId="4" xfId="0" applyFont="1" applyFill="1" applyBorder="1"/>
    <xf numFmtId="0" fontId="0" fillId="0" borderId="116" xfId="0" applyNumberFormat="1" applyBorder="1"/>
    <xf numFmtId="169" fontId="6"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28"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6" fillId="14" borderId="13" xfId="4" applyFont="1" applyFill="1" applyBorder="1" applyAlignment="1">
      <alignment horizontal="left" vertical="center" wrapText="1"/>
      <protection hidden="1"/>
    </xf>
    <xf numFmtId="169" fontId="6" fillId="14" borderId="93" xfId="4" applyFont="1" applyFill="1" applyBorder="1" applyAlignment="1">
      <alignment horizontal="left" vertical="center" wrapText="1"/>
      <protection hidden="1"/>
    </xf>
    <xf numFmtId="169" fontId="6"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6"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28" fillId="19" borderId="0" xfId="0" applyFont="1" applyFill="1" applyBorder="1" applyAlignment="1">
      <alignment horizontal="left" vertical="center" wrapText="1"/>
    </xf>
    <xf numFmtId="0" fontId="28" fillId="19" borderId="0" xfId="0" applyFont="1" applyFill="1" applyBorder="1" applyAlignment="1">
      <alignment horizontal="left" wrapText="1"/>
    </xf>
    <xf numFmtId="0" fontId="28" fillId="19" borderId="0" xfId="0" applyFont="1" applyFill="1" applyBorder="1" applyAlignment="1">
      <alignment horizontal="left" vertical="top" wrapText="1"/>
    </xf>
    <xf numFmtId="0" fontId="38" fillId="0" borderId="0" xfId="0" applyFont="1" applyBorder="1" applyAlignment="1" applyProtection="1">
      <alignment vertical="center" wrapText="1"/>
      <protection hidden="1"/>
    </xf>
    <xf numFmtId="0" fontId="38" fillId="21" borderId="0" xfId="0" applyFont="1" applyFill="1" applyBorder="1" applyAlignment="1" applyProtection="1">
      <alignment vertical="center" wrapText="1"/>
      <protection hidden="1"/>
    </xf>
    <xf numFmtId="0" fontId="39" fillId="0" borderId="0" xfId="0" applyFont="1" applyBorder="1" applyAlignment="1" applyProtection="1">
      <alignment vertical="center" wrapText="1"/>
      <protection hidden="1"/>
    </xf>
    <xf numFmtId="0" fontId="40" fillId="21" borderId="0" xfId="0" applyFont="1" applyFill="1" applyBorder="1" applyAlignment="1" applyProtection="1">
      <alignment vertical="center" wrapText="1"/>
      <protection hidden="1"/>
    </xf>
    <xf numFmtId="0" fontId="40" fillId="0" borderId="0" xfId="0" applyFont="1" applyBorder="1" applyAlignment="1" applyProtection="1">
      <alignment vertical="center" wrapText="1"/>
      <protection hidden="1"/>
    </xf>
    <xf numFmtId="0" fontId="40" fillId="19" borderId="0" xfId="0" applyFont="1" applyFill="1" applyBorder="1" applyAlignment="1" applyProtection="1">
      <alignment vertical="center" wrapText="1"/>
      <protection hidden="1"/>
    </xf>
    <xf numFmtId="0" fontId="38" fillId="19" borderId="0" xfId="0" applyFont="1" applyFill="1" applyBorder="1" applyAlignment="1" applyProtection="1">
      <alignment vertical="center" wrapText="1"/>
      <protection hidden="1"/>
    </xf>
    <xf numFmtId="3" fontId="6" fillId="20" borderId="13" xfId="0" applyNumberFormat="1" applyFont="1" applyFill="1" applyBorder="1" applyAlignment="1" applyProtection="1">
      <alignment horizontal="right" vertical="center"/>
      <protection hidden="1"/>
    </xf>
    <xf numFmtId="3" fontId="6" fillId="20" borderId="1" xfId="0" applyNumberFormat="1" applyFont="1" applyFill="1" applyBorder="1" applyAlignment="1" applyProtection="1">
      <alignment horizontal="right" vertical="center"/>
      <protection hidden="1"/>
    </xf>
    <xf numFmtId="3" fontId="6" fillId="0" borderId="99" xfId="0" applyNumberFormat="1" applyFont="1" applyFill="1" applyBorder="1" applyAlignment="1" applyProtection="1">
      <alignment horizontal="right" vertical="center"/>
      <protection hidden="1"/>
    </xf>
    <xf numFmtId="3" fontId="6" fillId="0" borderId="100" xfId="0" applyNumberFormat="1" applyFont="1" applyFill="1" applyBorder="1" applyAlignment="1" applyProtection="1">
      <alignment horizontal="right" vertical="center"/>
      <protection hidden="1"/>
    </xf>
    <xf numFmtId="49" fontId="7" fillId="0" borderId="0" xfId="9" applyFont="1" applyBorder="1" applyAlignment="1">
      <alignment horizontal="right" vertical="center"/>
      <protection hidden="1"/>
    </xf>
    <xf numFmtId="3" fontId="6" fillId="0" borderId="0" xfId="0" applyNumberFormat="1" applyFont="1" applyFill="1" applyBorder="1" applyAlignment="1" applyProtection="1">
      <alignment horizontal="right" vertical="center"/>
      <protection hidden="1"/>
    </xf>
    <xf numFmtId="3" fontId="6" fillId="0" borderId="1" xfId="0" applyNumberFormat="1" applyFont="1" applyFill="1" applyBorder="1" applyAlignment="1" applyProtection="1">
      <alignment horizontal="right" vertical="center"/>
      <protection hidden="1"/>
    </xf>
    <xf numFmtId="3" fontId="0" fillId="0" borderId="99" xfId="0" applyNumberFormat="1" applyFont="1" applyBorder="1" applyAlignment="1" applyProtection="1">
      <alignment horizontal="right" vertical="center"/>
      <protection locked="0"/>
    </xf>
    <xf numFmtId="3" fontId="0" fillId="4" borderId="99" xfId="0" applyNumberFormat="1" applyFont="1" applyFill="1" applyBorder="1" applyAlignment="1" applyProtection="1">
      <alignment horizontal="right" vertical="center"/>
      <protection locked="0"/>
    </xf>
    <xf numFmtId="3" fontId="6" fillId="4" borderId="99" xfId="0" applyNumberFormat="1" applyFont="1" applyFill="1" applyBorder="1" applyAlignment="1" applyProtection="1">
      <alignment horizontal="right" vertical="center"/>
      <protection locked="0"/>
    </xf>
    <xf numFmtId="3" fontId="6" fillId="0" borderId="99" xfId="0" applyNumberFormat="1" applyFont="1" applyBorder="1" applyAlignment="1" applyProtection="1">
      <alignment horizontal="right" vertical="center"/>
      <protection locked="0"/>
    </xf>
    <xf numFmtId="3" fontId="6" fillId="20" borderId="99" xfId="0" applyNumberFormat="1" applyFont="1" applyFill="1" applyBorder="1" applyAlignment="1" applyProtection="1">
      <alignment horizontal="right" vertical="center"/>
      <protection hidden="1"/>
    </xf>
    <xf numFmtId="3" fontId="6" fillId="0" borderId="99" xfId="0" applyNumberFormat="1" applyFont="1" applyBorder="1" applyAlignment="1" applyProtection="1">
      <alignment horizontal="right" vertical="center"/>
      <protection hidden="1"/>
    </xf>
    <xf numFmtId="168" fontId="0" fillId="4" borderId="99" xfId="0" applyNumberFormat="1" applyFont="1" applyFill="1" applyBorder="1" applyAlignment="1" applyProtection="1">
      <alignment horizontal="right" vertical="center"/>
      <protection locked="0"/>
    </xf>
    <xf numFmtId="3" fontId="0" fillId="0" borderId="122" xfId="0" applyNumberFormat="1" applyFont="1" applyBorder="1" applyAlignment="1" applyProtection="1">
      <alignment horizontal="right" vertical="center"/>
      <protection locked="0"/>
    </xf>
    <xf numFmtId="3" fontId="6" fillId="20" borderId="59" xfId="0" applyNumberFormat="1" applyFont="1" applyFill="1" applyBorder="1" applyAlignment="1" applyProtection="1">
      <alignment horizontal="right" vertical="center"/>
      <protection hidden="1"/>
    </xf>
    <xf numFmtId="0" fontId="16" fillId="3" borderId="94" xfId="0" applyFont="1" applyFill="1" applyBorder="1" applyAlignment="1" applyProtection="1">
      <protection hidden="1"/>
    </xf>
    <xf numFmtId="0" fontId="16" fillId="3" borderId="93" xfId="0" applyFont="1" applyFill="1" applyBorder="1" applyAlignment="1" applyProtection="1">
      <protection hidden="1"/>
    </xf>
    <xf numFmtId="49" fontId="7" fillId="0" borderId="0" xfId="9" applyFont="1" applyBorder="1" applyAlignment="1">
      <alignment horizontal="right" vertical="center"/>
      <protection hidden="1"/>
    </xf>
    <xf numFmtId="3" fontId="6" fillId="0" borderId="124" xfId="0" applyNumberFormat="1" applyFont="1" applyFill="1" applyBorder="1" applyAlignment="1" applyProtection="1">
      <alignment horizontal="right" vertical="center"/>
      <protection hidden="1"/>
    </xf>
    <xf numFmtId="3" fontId="6" fillId="0" borderId="125" xfId="0" applyNumberFormat="1" applyFont="1" applyFill="1" applyBorder="1" applyAlignment="1" applyProtection="1">
      <alignment horizontal="right" vertical="center"/>
      <protection hidden="1"/>
    </xf>
    <xf numFmtId="0" fontId="16" fillId="3" borderId="126" xfId="0" applyFont="1" applyFill="1" applyBorder="1" applyAlignment="1" applyProtection="1">
      <alignment horizontal="center"/>
      <protection hidden="1"/>
    </xf>
    <xf numFmtId="0" fontId="16" fillId="3" borderId="123" xfId="0" applyFont="1" applyFill="1" applyBorder="1" applyAlignment="1" applyProtection="1">
      <alignment horizontal="center"/>
      <protection hidden="1"/>
    </xf>
    <xf numFmtId="49" fontId="7" fillId="0" borderId="0" xfId="9" applyFont="1" applyBorder="1" applyAlignment="1">
      <alignment horizontal="right" vertical="center"/>
      <protection hidden="1"/>
    </xf>
    <xf numFmtId="38" fontId="0" fillId="4" borderId="58" xfId="0" applyNumberFormat="1" applyFont="1" applyFill="1" applyBorder="1" applyAlignment="1" applyProtection="1">
      <alignment horizontal="right" vertical="center" wrapText="1"/>
      <protection locked="0"/>
    </xf>
    <xf numFmtId="38" fontId="0" fillId="4" borderId="59" xfId="0" applyNumberFormat="1" applyFont="1" applyFill="1" applyBorder="1" applyAlignment="1" applyProtection="1">
      <alignment horizontal="right" vertical="center" wrapText="1"/>
      <protection locked="0"/>
    </xf>
    <xf numFmtId="38" fontId="0" fillId="0" borderId="58" xfId="0" applyNumberFormat="1" applyFont="1" applyFill="1" applyBorder="1" applyAlignment="1" applyProtection="1">
      <alignment horizontal="right" vertical="center" wrapText="1"/>
      <protection locked="0"/>
    </xf>
    <xf numFmtId="38" fontId="0" fillId="0" borderId="59" xfId="0" applyNumberFormat="1" applyFont="1" applyFill="1" applyBorder="1" applyAlignment="1" applyProtection="1">
      <alignment horizontal="right" vertical="center" wrapText="1"/>
      <protection locked="0"/>
    </xf>
    <xf numFmtId="167" fontId="6" fillId="4" borderId="61" xfId="1" applyFont="1" applyFill="1" applyBorder="1">
      <alignment horizontal="center" vertical="center"/>
      <protection hidden="1"/>
    </xf>
    <xf numFmtId="3" fontId="6" fillId="4" borderId="61" xfId="0" applyNumberFormat="1" applyFont="1" applyFill="1" applyBorder="1" applyAlignment="1" applyProtection="1">
      <alignment horizontal="right" vertical="center"/>
      <protection hidden="1"/>
    </xf>
    <xf numFmtId="3" fontId="6" fillId="4" borderId="68" xfId="0" applyNumberFormat="1" applyFont="1" applyFill="1" applyBorder="1" applyAlignment="1" applyProtection="1">
      <alignment horizontal="right" vertical="center"/>
      <protection hidden="1"/>
    </xf>
    <xf numFmtId="3" fontId="0" fillId="0" borderId="116" xfId="0" applyNumberFormat="1" applyFill="1" applyBorder="1" applyAlignment="1" applyProtection="1">
      <alignment horizontal="center" vertical="center"/>
      <protection hidden="1"/>
    </xf>
    <xf numFmtId="49" fontId="7" fillId="0" borderId="4" xfId="9" applyFill="1" applyBorder="1" applyAlignment="1">
      <alignment horizontal="left" vertical="center"/>
      <protection hidden="1"/>
    </xf>
    <xf numFmtId="49" fontId="7" fillId="0" borderId="4" xfId="9" applyBorder="1" applyAlignment="1">
      <alignment horizontal="left" vertical="center"/>
      <protection hidden="1"/>
    </xf>
    <xf numFmtId="0" fontId="0" fillId="0" borderId="4" xfId="0" applyBorder="1" applyAlignment="1" applyProtection="1">
      <alignment horizontal="left" vertical="center"/>
      <protection hidden="1"/>
    </xf>
    <xf numFmtId="0" fontId="7" fillId="0" borderId="0" xfId="0" applyFont="1" applyBorder="1" applyAlignment="1" applyProtection="1">
      <alignment horizontal="right" vertical="center"/>
      <protection hidden="1"/>
    </xf>
    <xf numFmtId="0" fontId="43" fillId="0" borderId="0" xfId="0" applyFont="1" applyFill="1" applyProtection="1">
      <protection hidden="1"/>
    </xf>
    <xf numFmtId="0" fontId="42" fillId="0" borderId="0" xfId="0" applyFont="1" applyFill="1" applyProtection="1">
      <protection hidden="1"/>
    </xf>
    <xf numFmtId="0" fontId="0" fillId="0" borderId="0" xfId="0" applyBorder="1" applyAlignment="1">
      <alignment vertical="center"/>
    </xf>
    <xf numFmtId="0" fontId="7" fillId="0" borderId="0" xfId="0" applyFont="1" applyBorder="1" applyAlignment="1" applyProtection="1">
      <alignment horizontal="right" vertical="center"/>
      <protection hidden="1"/>
    </xf>
    <xf numFmtId="3" fontId="0" fillId="4" borderId="124" xfId="0" applyNumberFormat="1" applyFont="1" applyFill="1" applyBorder="1" applyAlignment="1" applyProtection="1">
      <alignment horizontal="right" vertical="center"/>
      <protection locked="0"/>
    </xf>
    <xf numFmtId="167" fontId="6" fillId="0" borderId="127" xfId="1" applyFont="1" applyFill="1" applyBorder="1">
      <alignment horizontal="center" vertical="center"/>
      <protection hidden="1"/>
    </xf>
    <xf numFmtId="3" fontId="0" fillId="0" borderId="128" xfId="0" applyNumberFormat="1" applyFont="1" applyBorder="1" applyAlignment="1" applyProtection="1">
      <alignment horizontal="right" vertical="center"/>
      <protection locked="0"/>
    </xf>
    <xf numFmtId="3" fontId="0" fillId="0" borderId="124" xfId="0" applyNumberFormat="1" applyFont="1" applyBorder="1" applyAlignment="1" applyProtection="1">
      <alignment horizontal="right" vertical="center"/>
      <protection locked="0"/>
    </xf>
    <xf numFmtId="3" fontId="0" fillId="4" borderId="130" xfId="0" applyNumberFormat="1" applyFont="1" applyFill="1" applyBorder="1" applyAlignment="1" applyProtection="1">
      <alignment horizontal="right" vertical="center"/>
      <protection locked="0"/>
    </xf>
    <xf numFmtId="3" fontId="0" fillId="0" borderId="129" xfId="0" applyNumberFormat="1" applyFont="1" applyBorder="1" applyAlignment="1" applyProtection="1">
      <alignment horizontal="right" vertical="center"/>
      <protection locked="0"/>
    </xf>
    <xf numFmtId="3" fontId="6" fillId="22" borderId="1" xfId="0" applyNumberFormat="1" applyFont="1" applyFill="1" applyBorder="1" applyAlignment="1" applyProtection="1">
      <alignment horizontal="right" vertical="center"/>
      <protection hidden="1"/>
    </xf>
    <xf numFmtId="3" fontId="6"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5" fillId="0" borderId="131" xfId="0" applyFont="1" applyBorder="1" applyAlignment="1" applyProtection="1">
      <alignment horizontal="left" vertical="center"/>
      <protection hidden="1"/>
    </xf>
    <xf numFmtId="3" fontId="6" fillId="0" borderId="61" xfId="0" applyNumberFormat="1" applyFont="1" applyBorder="1" applyAlignment="1" applyProtection="1">
      <alignment horizontal="right" vertical="center"/>
      <protection locked="0"/>
    </xf>
    <xf numFmtId="3" fontId="6" fillId="4" borderId="10" xfId="0" applyNumberFormat="1" applyFont="1" applyFill="1" applyBorder="1" applyAlignment="1" applyProtection="1">
      <alignment horizontal="right" vertical="center"/>
      <protection locked="0"/>
    </xf>
    <xf numFmtId="3" fontId="6" fillId="0" borderId="11" xfId="0" applyNumberFormat="1" applyFont="1" applyBorder="1" applyAlignment="1" applyProtection="1">
      <alignment horizontal="right" vertical="center"/>
      <protection locked="0"/>
    </xf>
    <xf numFmtId="0" fontId="24" fillId="0" borderId="0" xfId="0" applyFont="1" applyAlignment="1" applyProtection="1">
      <alignment horizontal="right"/>
      <protection hidden="1"/>
    </xf>
    <xf numFmtId="0" fontId="24" fillId="0" borderId="0" xfId="0" applyFont="1" applyProtection="1">
      <protection hidden="1"/>
    </xf>
    <xf numFmtId="0" fontId="24" fillId="0" borderId="0" xfId="0" applyFont="1" applyAlignment="1" applyProtection="1">
      <alignment horizontal="center" vertical="center"/>
      <protection hidden="1"/>
    </xf>
    <xf numFmtId="0" fontId="24" fillId="0" borderId="0" xfId="0" applyFont="1" applyAlignment="1">
      <alignment wrapText="1"/>
    </xf>
    <xf numFmtId="169" fontId="24" fillId="4" borderId="57" xfId="4" applyFont="1" applyFill="1" applyBorder="1" applyAlignment="1">
      <alignment horizontal="center" vertical="center" wrapText="1"/>
      <protection hidden="1"/>
    </xf>
    <xf numFmtId="3" fontId="0" fillId="0" borderId="13" xfId="0" applyNumberFormat="1" applyFont="1" applyBorder="1" applyAlignment="1" applyProtection="1">
      <alignment horizontal="right" vertical="center"/>
      <protection hidden="1"/>
    </xf>
    <xf numFmtId="169" fontId="24" fillId="0" borderId="57" xfId="4" applyFont="1" applyFill="1" applyBorder="1" applyAlignment="1">
      <alignment horizontal="center" vertical="center" wrapText="1"/>
      <protection hidden="1"/>
    </xf>
    <xf numFmtId="0" fontId="0" fillId="0" borderId="131" xfId="0" applyBorder="1" applyAlignment="1" applyProtection="1">
      <alignment horizontal="center" vertical="center"/>
      <protection hidden="1"/>
    </xf>
    <xf numFmtId="165" fontId="0" fillId="0" borderId="131" xfId="0" applyNumberFormat="1" applyBorder="1" applyProtection="1">
      <protection hidden="1"/>
    </xf>
    <xf numFmtId="0" fontId="0" fillId="0" borderId="131" xfId="0" applyNumberFormat="1" applyBorder="1" applyAlignment="1" applyProtection="1">
      <alignment horizontal="right"/>
      <protection hidden="1"/>
    </xf>
    <xf numFmtId="0" fontId="32" fillId="3" borderId="62" xfId="0" applyFont="1" applyFill="1" applyBorder="1" applyAlignment="1" applyProtection="1">
      <alignment horizontal="center"/>
      <protection hidden="1"/>
    </xf>
    <xf numFmtId="169" fontId="24" fillId="4" borderId="60" xfId="4" applyFont="1" applyFill="1" applyBorder="1" applyAlignment="1">
      <alignment horizontal="center" vertical="center" wrapText="1"/>
      <protection hidden="1"/>
    </xf>
    <xf numFmtId="0" fontId="24" fillId="0" borderId="4" xfId="0" applyFont="1" applyFill="1" applyBorder="1" applyAlignment="1" applyProtection="1">
      <alignment horizontal="right" vertical="center"/>
      <protection hidden="1"/>
    </xf>
    <xf numFmtId="3" fontId="0" fillId="0" borderId="15" xfId="0" applyNumberFormat="1" applyFont="1" applyBorder="1" applyAlignment="1" applyProtection="1">
      <alignment horizontal="right" vertical="center"/>
      <protection hidden="1"/>
    </xf>
    <xf numFmtId="3" fontId="0" fillId="4" borderId="58" xfId="0" applyNumberFormat="1" applyFont="1" applyFill="1" applyBorder="1" applyAlignment="1" applyProtection="1">
      <alignment horizontal="right" vertical="center" wrapText="1"/>
      <protection hidden="1"/>
    </xf>
    <xf numFmtId="3" fontId="0" fillId="4" borderId="59" xfId="0" applyNumberFormat="1" applyFont="1" applyFill="1" applyBorder="1" applyAlignment="1" applyProtection="1">
      <alignment horizontal="right" vertical="center" wrapText="1"/>
      <protection hidden="1"/>
    </xf>
    <xf numFmtId="169" fontId="6" fillId="0" borderId="65" xfId="4" applyFont="1" applyBorder="1" applyAlignment="1">
      <alignment horizontal="center" vertical="center" wrapText="1"/>
      <protection hidden="1"/>
    </xf>
    <xf numFmtId="169" fontId="7" fillId="4" borderId="57" xfId="4" applyFont="1" applyFill="1" applyBorder="1" applyAlignment="1">
      <alignment horizontal="center" vertical="center" wrapText="1"/>
      <protection hidden="1"/>
    </xf>
    <xf numFmtId="169" fontId="7" fillId="0" borderId="57" xfId="4" applyFont="1" applyBorder="1" applyAlignment="1">
      <alignment horizontal="center" vertical="center" wrapText="1"/>
      <protection hidden="1"/>
    </xf>
    <xf numFmtId="3" fontId="7" fillId="0" borderId="58" xfId="0" applyNumberFormat="1" applyFont="1" applyBorder="1" applyAlignment="1" applyProtection="1">
      <alignment horizontal="right" vertical="center"/>
      <protection locked="0"/>
    </xf>
    <xf numFmtId="3" fontId="7" fillId="0" borderId="59" xfId="0" applyNumberFormat="1" applyFont="1" applyBorder="1" applyAlignment="1" applyProtection="1">
      <alignment horizontal="right" vertical="center"/>
      <protection locked="0"/>
    </xf>
    <xf numFmtId="3" fontId="7" fillId="4" borderId="58" xfId="0" applyNumberFormat="1" applyFont="1" applyFill="1" applyBorder="1" applyAlignment="1" applyProtection="1">
      <alignment horizontal="right" vertical="center"/>
      <protection locked="0"/>
    </xf>
    <xf numFmtId="3" fontId="7" fillId="4" borderId="59" xfId="0" applyNumberFormat="1" applyFont="1" applyFill="1" applyBorder="1" applyAlignment="1" applyProtection="1">
      <alignment horizontal="right" vertical="center"/>
      <protection locked="0"/>
    </xf>
    <xf numFmtId="3" fontId="7" fillId="4" borderId="58" xfId="0" applyNumberFormat="1" applyFont="1" applyFill="1" applyBorder="1" applyAlignment="1" applyProtection="1">
      <alignment horizontal="right" vertical="center"/>
      <protection hidden="1"/>
    </xf>
    <xf numFmtId="3" fontId="7" fillId="4" borderId="59" xfId="0" applyNumberFormat="1" applyFont="1" applyFill="1" applyBorder="1" applyAlignment="1" applyProtection="1">
      <alignment horizontal="right" vertical="center"/>
      <protection hidden="1"/>
    </xf>
    <xf numFmtId="3" fontId="7" fillId="0" borderId="58" xfId="0" applyNumberFormat="1" applyFont="1" applyFill="1" applyBorder="1" applyAlignment="1" applyProtection="1">
      <alignment horizontal="right" vertical="center"/>
      <protection hidden="1"/>
    </xf>
    <xf numFmtId="3" fontId="7" fillId="0" borderId="59" xfId="0" applyNumberFormat="1" applyFont="1" applyFill="1" applyBorder="1" applyAlignment="1" applyProtection="1">
      <alignment horizontal="right" vertical="center"/>
      <protection hidden="1"/>
    </xf>
    <xf numFmtId="169" fontId="6" fillId="0" borderId="57" xfId="4" applyFont="1" applyBorder="1" applyAlignment="1">
      <alignment horizontal="center" vertical="center" wrapText="1"/>
      <protection hidden="1"/>
    </xf>
    <xf numFmtId="169" fontId="6" fillId="4" borderId="57" xfId="4" applyFont="1" applyFill="1" applyBorder="1" applyAlignment="1">
      <alignment horizontal="center" vertical="center" wrapText="1"/>
      <protection hidden="1"/>
    </xf>
    <xf numFmtId="169" fontId="7" fillId="0" borderId="57" xfId="4" applyFont="1" applyFill="1" applyBorder="1" applyAlignment="1">
      <alignment horizontal="center" vertical="center" wrapText="1"/>
      <protection hidden="1"/>
    </xf>
    <xf numFmtId="3" fontId="7" fillId="0" borderId="58" xfId="0" applyNumberFormat="1" applyFont="1" applyFill="1" applyBorder="1" applyAlignment="1" applyProtection="1">
      <alignment horizontal="right" vertical="center"/>
      <protection locked="0"/>
    </xf>
    <xf numFmtId="3" fontId="7" fillId="0" borderId="59" xfId="0" applyNumberFormat="1" applyFont="1" applyFill="1" applyBorder="1" applyAlignment="1" applyProtection="1">
      <alignment horizontal="right" vertical="center"/>
      <protection locked="0"/>
    </xf>
    <xf numFmtId="169" fontId="6" fillId="0" borderId="57" xfId="4" applyFont="1" applyFill="1" applyBorder="1" applyAlignment="1">
      <alignment horizontal="center" vertical="center" wrapText="1"/>
      <protection hidden="1"/>
    </xf>
    <xf numFmtId="167" fontId="6" fillId="0" borderId="66" xfId="1" applyFont="1" applyBorder="1">
      <alignment horizontal="center" vertical="center"/>
      <protection hidden="1"/>
    </xf>
    <xf numFmtId="0" fontId="16" fillId="3" borderId="133" xfId="0" applyFont="1" applyFill="1" applyBorder="1" applyAlignment="1" applyProtection="1">
      <alignment horizontal="center"/>
      <protection hidden="1"/>
    </xf>
    <xf numFmtId="0" fontId="16" fillId="3" borderId="132" xfId="0" applyFont="1" applyFill="1" applyBorder="1" applyAlignment="1" applyProtection="1">
      <alignment horizontal="center"/>
      <protection hidden="1"/>
    </xf>
    <xf numFmtId="3" fontId="6" fillId="0" borderId="134" xfId="0" applyNumberFormat="1" applyFont="1" applyBorder="1" applyAlignment="1" applyProtection="1">
      <alignment horizontal="right" vertical="center"/>
      <protection hidden="1"/>
    </xf>
    <xf numFmtId="3" fontId="6" fillId="4" borderId="134" xfId="0" applyNumberFormat="1" applyFont="1" applyFill="1" applyBorder="1" applyAlignment="1" applyProtection="1">
      <alignment horizontal="right" vertical="center"/>
      <protection hidden="1"/>
    </xf>
    <xf numFmtId="3" fontId="0" fillId="0" borderId="134" xfId="0" applyNumberFormat="1" applyFont="1" applyBorder="1" applyAlignment="1" applyProtection="1">
      <alignment horizontal="right" vertical="center"/>
      <protection hidden="1"/>
    </xf>
    <xf numFmtId="3" fontId="0" fillId="4" borderId="134" xfId="0" applyNumberFormat="1" applyFont="1" applyFill="1" applyBorder="1" applyAlignment="1" applyProtection="1">
      <alignment horizontal="right" vertical="center"/>
      <protection hidden="1"/>
    </xf>
    <xf numFmtId="3" fontId="6" fillId="4" borderId="138" xfId="0" applyNumberFormat="1" applyFont="1" applyFill="1" applyBorder="1" applyAlignment="1" applyProtection="1">
      <alignment horizontal="right" vertical="center"/>
      <protection hidden="1"/>
    </xf>
    <xf numFmtId="3" fontId="6" fillId="4" borderId="135"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6" fillId="3" borderId="153" xfId="0" applyFont="1" applyFill="1" applyBorder="1" applyAlignment="1" applyProtection="1">
      <alignment horizontal="center"/>
      <protection hidden="1"/>
    </xf>
    <xf numFmtId="0" fontId="6" fillId="19" borderId="0" xfId="0" applyFont="1" applyFill="1" applyAlignment="1">
      <alignment horizontal="left" wrapText="1"/>
    </xf>
    <xf numFmtId="0" fontId="6" fillId="19" borderId="0" xfId="0" applyFont="1" applyFill="1" applyAlignment="1">
      <alignment horizontal="left"/>
    </xf>
    <xf numFmtId="0" fontId="6" fillId="19" borderId="4" xfId="0" applyFont="1" applyFill="1" applyBorder="1" applyAlignment="1">
      <alignment horizontal="left"/>
    </xf>
    <xf numFmtId="3" fontId="6" fillId="0" borderId="59" xfId="0" applyNumberFormat="1" applyFont="1" applyBorder="1" applyAlignment="1" applyProtection="1">
      <alignment horizontal="right" vertical="center"/>
      <protection locked="0" hidden="1"/>
    </xf>
    <xf numFmtId="3" fontId="6" fillId="20" borderId="59" xfId="0" applyNumberFormat="1" applyFont="1" applyFill="1" applyBorder="1" applyAlignment="1" applyProtection="1">
      <alignment horizontal="right" vertical="center"/>
      <protection locked="0" hidden="1"/>
    </xf>
    <xf numFmtId="3" fontId="0" fillId="4" borderId="59" xfId="0" applyNumberFormat="1" applyFon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172" fontId="7" fillId="0" borderId="58" xfId="0" applyNumberFormat="1" applyFont="1" applyFill="1" applyBorder="1" applyAlignment="1" applyProtection="1">
      <alignment horizontal="right" vertical="center"/>
      <protection locked="0"/>
    </xf>
    <xf numFmtId="0" fontId="16" fillId="3" borderId="1" xfId="0" applyFont="1" applyFill="1" applyBorder="1" applyAlignment="1" applyProtection="1">
      <alignment horizontal="center" vertical="center" wrapText="1"/>
      <protection hidden="1"/>
    </xf>
    <xf numFmtId="0" fontId="16" fillId="3" borderId="63" xfId="0" applyFont="1" applyFill="1" applyBorder="1" applyAlignment="1" applyProtection="1">
      <alignment horizontal="center"/>
      <protection hidden="1"/>
    </xf>
    <xf numFmtId="3" fontId="6" fillId="0" borderId="155" xfId="0" applyNumberFormat="1" applyFont="1" applyFill="1" applyBorder="1" applyAlignment="1" applyProtection="1">
      <alignment horizontal="right" vertical="center"/>
      <protection locked="0"/>
    </xf>
    <xf numFmtId="3" fontId="7" fillId="0" borderId="124" xfId="0" applyNumberFormat="1" applyFont="1" applyBorder="1" applyAlignment="1" applyProtection="1">
      <alignment horizontal="right" vertical="center"/>
      <protection locked="0"/>
    </xf>
    <xf numFmtId="3" fontId="0" fillId="20" borderId="59" xfId="0" applyNumberFormat="1" applyFont="1" applyFill="1" applyBorder="1" applyAlignment="1" applyProtection="1">
      <alignment horizontal="right" vertical="center"/>
      <protection locked="0" hidden="1"/>
    </xf>
    <xf numFmtId="3" fontId="0" fillId="0" borderId="59" xfId="0" applyNumberFormat="1" applyFont="1" applyFill="1" applyBorder="1" applyAlignment="1" applyProtection="1">
      <alignment horizontal="right" vertical="center"/>
      <protection locked="0" hidden="1"/>
    </xf>
    <xf numFmtId="3" fontId="6" fillId="22" borderId="59" xfId="0" applyNumberFormat="1" applyFont="1" applyFill="1" applyBorder="1" applyAlignment="1" applyProtection="1">
      <alignment horizontal="right" vertical="center"/>
      <protection hidden="1"/>
    </xf>
    <xf numFmtId="3" fontId="0" fillId="20" borderId="58" xfId="0" applyNumberFormat="1" applyFont="1" applyFill="1" applyBorder="1" applyAlignment="1" applyProtection="1">
      <alignment horizontal="right" vertical="center"/>
      <protection hidden="1"/>
    </xf>
    <xf numFmtId="3" fontId="0" fillId="4" borderId="155" xfId="0" applyNumberFormat="1" applyFont="1" applyFill="1" applyBorder="1" applyAlignment="1" applyProtection="1">
      <alignment horizontal="right" vertical="center"/>
      <protection locked="0"/>
    </xf>
    <xf numFmtId="3" fontId="0" fillId="0" borderId="58" xfId="0" applyNumberFormat="1" applyFont="1" applyFill="1" applyBorder="1" applyAlignment="1" applyProtection="1">
      <alignment horizontal="right" vertical="center"/>
      <protection hidden="1"/>
    </xf>
    <xf numFmtId="3" fontId="7" fillId="4" borderId="61" xfId="0" applyNumberFormat="1" applyFont="1" applyFill="1" applyBorder="1" applyAlignment="1" applyProtection="1">
      <alignment horizontal="right" vertical="center"/>
      <protection locked="0"/>
    </xf>
    <xf numFmtId="3" fontId="7" fillId="0" borderId="66" xfId="0" applyNumberFormat="1" applyFont="1" applyBorder="1" applyAlignment="1" applyProtection="1">
      <alignment horizontal="right" vertical="center"/>
      <protection locked="0"/>
    </xf>
    <xf numFmtId="3" fontId="6" fillId="0" borderId="156" xfId="0" applyNumberFormat="1" applyFont="1" applyFill="1" applyBorder="1" applyAlignment="1" applyProtection="1">
      <alignment horizontal="right" vertical="center" wrapText="1"/>
      <protection hidden="1"/>
    </xf>
    <xf numFmtId="1" fontId="7" fillId="4" borderId="58" xfId="1" applyNumberFormat="1" applyFill="1" applyBorder="1" applyProtection="1">
      <alignment horizontal="center" vertical="center"/>
      <protection locked="0" hidden="1"/>
    </xf>
    <xf numFmtId="3" fontId="6" fillId="0" borderId="124" xfId="0" applyNumberFormat="1" applyFont="1" applyFill="1" applyBorder="1" applyAlignment="1" applyProtection="1">
      <alignment horizontal="right" vertical="center" wrapText="1"/>
      <protection hidden="1"/>
    </xf>
    <xf numFmtId="3" fontId="0" fillId="0" borderId="59" xfId="0" applyNumberFormat="1" applyFont="1" applyFill="1" applyBorder="1" applyAlignment="1" applyProtection="1">
      <alignment horizontal="right" vertical="center"/>
      <protection hidden="1"/>
    </xf>
    <xf numFmtId="167" fontId="6" fillId="0" borderId="124" xfId="1" applyFont="1" applyFill="1" applyBorder="1">
      <alignment horizontal="center" vertical="center"/>
      <protection hidden="1"/>
    </xf>
    <xf numFmtId="167" fontId="6" fillId="4" borderId="66" xfId="1" applyFont="1" applyFill="1" applyBorder="1">
      <alignment horizontal="center" vertical="center"/>
      <protection hidden="1"/>
    </xf>
    <xf numFmtId="167" fontId="6" fillId="4" borderId="58" xfId="1" applyFont="1" applyFill="1" applyBorder="1" applyProtection="1">
      <alignment horizontal="center" vertical="center"/>
      <protection hidden="1"/>
    </xf>
    <xf numFmtId="167" fontId="6" fillId="4" borderId="138" xfId="1" applyFont="1" applyFill="1" applyBorder="1" applyProtection="1">
      <alignment horizontal="center" vertical="center"/>
      <protection hidden="1"/>
    </xf>
    <xf numFmtId="0" fontId="0" fillId="0" borderId="116" xfId="0" applyBorder="1" applyAlignment="1" applyProtection="1">
      <alignment horizontal="center" vertical="center"/>
      <protection hidden="1"/>
    </xf>
    <xf numFmtId="38" fontId="0" fillId="4" borderId="61" xfId="0" applyNumberFormat="1" applyFont="1" applyFill="1" applyBorder="1" applyAlignment="1" applyProtection="1">
      <alignment horizontal="right" vertical="center" wrapText="1"/>
      <protection locked="0"/>
    </xf>
    <xf numFmtId="38" fontId="0" fillId="4" borderId="68" xfId="0" applyNumberFormat="1" applyFont="1" applyFill="1" applyBorder="1" applyAlignment="1" applyProtection="1">
      <alignment horizontal="right" vertical="center" wrapText="1"/>
      <protection locked="0"/>
    </xf>
    <xf numFmtId="0" fontId="44" fillId="0" borderId="0" xfId="0" applyFont="1" applyProtection="1">
      <protection hidden="1"/>
    </xf>
    <xf numFmtId="49" fontId="7" fillId="0" borderId="0" xfId="9" applyFill="1" applyBorder="1" applyAlignment="1">
      <alignment vertical="center"/>
      <protection hidden="1"/>
    </xf>
    <xf numFmtId="3" fontId="0" fillId="0" borderId="158" xfId="0" applyNumberFormat="1" applyFont="1" applyBorder="1" applyAlignment="1" applyProtection="1">
      <alignment horizontal="right" vertical="center"/>
      <protection locked="0"/>
    </xf>
    <xf numFmtId="1" fontId="7" fillId="4" borderId="85" xfId="1" applyNumberFormat="1" applyFill="1" applyBorder="1" applyProtection="1">
      <alignment horizontal="center" vertical="center"/>
      <protection locked="0" hidden="1"/>
    </xf>
    <xf numFmtId="1" fontId="7" fillId="0" borderId="58" xfId="1" applyNumberFormat="1" applyFill="1" applyBorder="1" applyProtection="1">
      <alignment horizontal="center" vertical="center"/>
      <protection locked="0" hidden="1"/>
    </xf>
    <xf numFmtId="1" fontId="7" fillId="4" borderId="61" xfId="1" applyNumberFormat="1" applyFill="1" applyBorder="1" applyProtection="1">
      <alignment horizontal="center" vertical="center"/>
      <protection locked="0" hidden="1"/>
    </xf>
    <xf numFmtId="173" fontId="7" fillId="4" borderId="58" xfId="13" applyNumberFormat="1" applyFill="1" applyBorder="1" applyAlignment="1" applyProtection="1">
      <alignment horizontal="right" vertical="center"/>
      <protection locked="0" hidden="1"/>
    </xf>
    <xf numFmtId="0" fontId="26" fillId="0" borderId="58" xfId="0" applyNumberFormat="1" applyFont="1" applyFill="1" applyBorder="1" applyAlignment="1" applyProtection="1">
      <alignment horizontal="right" vertical="center" wrapText="1"/>
      <protection locked="0"/>
    </xf>
    <xf numFmtId="3" fontId="6" fillId="4" borderId="66" xfId="0" applyNumberFormat="1" applyFont="1" applyFill="1" applyBorder="1" applyAlignment="1" applyProtection="1">
      <alignment horizontal="right" vertical="center" wrapText="1"/>
      <protection hidden="1"/>
    </xf>
    <xf numFmtId="3" fontId="6" fillId="4" borderId="157" xfId="0" applyNumberFormat="1" applyFont="1" applyFill="1" applyBorder="1" applyAlignment="1" applyProtection="1">
      <alignment horizontal="right" vertical="center" wrapText="1"/>
      <protection hidden="1"/>
    </xf>
    <xf numFmtId="0" fontId="0" fillId="0" borderId="0" xfId="0" applyBorder="1"/>
    <xf numFmtId="0" fontId="0" fillId="0" borderId="0" xfId="0" applyFill="1" applyBorder="1" applyAlignment="1" applyProtection="1">
      <alignment horizontal="center" vertical="center"/>
      <protection hidden="1"/>
    </xf>
    <xf numFmtId="49" fontId="7" fillId="0" borderId="0" xfId="9" applyBorder="1" applyAlignment="1">
      <alignment horizontal="left" vertical="center"/>
      <protection hidden="1"/>
    </xf>
    <xf numFmtId="49" fontId="7" fillId="0" borderId="0" xfId="9" applyFill="1" applyBorder="1" applyAlignment="1">
      <alignment horizontal="left" vertical="center"/>
      <protection hidden="1"/>
    </xf>
    <xf numFmtId="0" fontId="0" fillId="0" borderId="116" xfId="0" applyBorder="1" applyAlignment="1" applyProtection="1">
      <protection hidden="1"/>
    </xf>
    <xf numFmtId="3" fontId="6" fillId="0" borderId="98" xfId="0" applyNumberFormat="1" applyFont="1" applyFill="1" applyBorder="1" applyAlignment="1" applyProtection="1">
      <alignment horizontal="right" vertical="center"/>
      <protection hidden="1"/>
    </xf>
    <xf numFmtId="3" fontId="6" fillId="0" borderId="52" xfId="0" applyNumberFormat="1" applyFont="1" applyFill="1" applyBorder="1" applyAlignment="1" applyProtection="1">
      <alignment horizontal="right" vertical="center"/>
      <protection hidden="1"/>
    </xf>
    <xf numFmtId="3" fontId="6" fillId="4" borderId="98" xfId="0" applyNumberFormat="1" applyFont="1" applyFill="1" applyBorder="1" applyAlignment="1" applyProtection="1">
      <alignment horizontal="right" vertical="center"/>
      <protection hidden="1"/>
    </xf>
    <xf numFmtId="3" fontId="6"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2" fontId="0" fillId="4" borderId="58" xfId="0" applyNumberFormat="1" applyFill="1" applyBorder="1" applyAlignment="1" applyProtection="1">
      <alignment horizontal="right" vertical="center"/>
      <protection locked="0"/>
    </xf>
    <xf numFmtId="172" fontId="0" fillId="4" borderId="59" xfId="0" applyNumberFormat="1" applyFill="1" applyBorder="1" applyAlignment="1" applyProtection="1">
      <alignment horizontal="right" vertical="center"/>
      <protection locked="0"/>
    </xf>
    <xf numFmtId="1" fontId="6" fillId="0" borderId="58" xfId="1" applyNumberFormat="1" applyFont="1" applyFill="1" applyBorder="1" applyProtection="1">
      <alignment horizontal="center" vertical="center"/>
      <protection locked="0"/>
    </xf>
    <xf numFmtId="1" fontId="6" fillId="4" borderId="58" xfId="1" applyNumberFormat="1" applyFont="1" applyFill="1" applyBorder="1" applyProtection="1">
      <alignment horizontal="center" vertical="center"/>
      <protection locked="0"/>
    </xf>
    <xf numFmtId="1" fontId="6" fillId="4" borderId="61" xfId="1" applyNumberFormat="1" applyFont="1" applyFill="1" applyBorder="1" applyProtection="1">
      <alignment horizontal="center" vertical="center"/>
      <protection locked="0"/>
    </xf>
    <xf numFmtId="0" fontId="15" fillId="8" borderId="2" xfId="6" applyProtection="1">
      <alignment horizontal="center" vertical="center"/>
    </xf>
    <xf numFmtId="0" fontId="15" fillId="8" borderId="21" xfId="6" applyBorder="1" applyProtection="1">
      <alignment horizontal="center" vertical="center"/>
    </xf>
    <xf numFmtId="0" fontId="15" fillId="8" borderId="5" xfId="6" applyBorder="1" applyProtection="1">
      <alignment horizontal="center" vertical="center"/>
    </xf>
    <xf numFmtId="0" fontId="1" fillId="8" borderId="2" xfId="6" applyFont="1" applyProtection="1">
      <alignment horizontal="center" vertical="center"/>
      <protection locked="0"/>
    </xf>
    <xf numFmtId="0" fontId="15" fillId="8" borderId="2" xfId="6" applyProtection="1">
      <alignment horizontal="center" vertical="center"/>
      <protection locked="0"/>
    </xf>
    <xf numFmtId="0" fontId="0" fillId="0" borderId="0" xfId="0" applyProtection="1">
      <protection locked="0" hidden="1"/>
    </xf>
    <xf numFmtId="3" fontId="0" fillId="0" borderId="1" xfId="0" applyNumberFormat="1" applyFont="1" applyBorder="1" applyAlignment="1" applyProtection="1">
      <alignment horizontal="right" vertical="center"/>
      <protection locked="0" hidden="1"/>
    </xf>
    <xf numFmtId="3" fontId="0" fillId="4" borderId="1" xfId="0" applyNumberFormat="1" applyFont="1" applyFill="1" applyBorder="1" applyAlignment="1" applyProtection="1">
      <alignment horizontal="right" vertical="center"/>
      <protection locked="0" hidden="1"/>
    </xf>
    <xf numFmtId="3" fontId="6" fillId="0" borderId="1" xfId="0" applyNumberFormat="1" applyFont="1" applyBorder="1" applyAlignment="1" applyProtection="1">
      <alignment horizontal="right" vertical="center"/>
      <protection locked="0" hidden="1"/>
    </xf>
    <xf numFmtId="3" fontId="6" fillId="0" borderId="11" xfId="0" applyNumberFormat="1" applyFont="1" applyBorder="1" applyAlignment="1" applyProtection="1">
      <alignment horizontal="right" vertical="center"/>
      <protection locked="0" hidden="1"/>
    </xf>
    <xf numFmtId="3" fontId="0" fillId="5" borderId="1" xfId="0" applyNumberFormat="1" applyFont="1" applyFill="1" applyBorder="1" applyAlignment="1" applyProtection="1">
      <alignment horizontal="right" vertical="center"/>
      <protection locked="0" hidden="1"/>
    </xf>
    <xf numFmtId="3" fontId="0" fillId="2" borderId="1" xfId="0" applyNumberFormat="1" applyFont="1" applyFill="1" applyBorder="1" applyAlignment="1" applyProtection="1">
      <alignment horizontal="right" vertical="center"/>
      <protection locked="0" hidden="1"/>
    </xf>
    <xf numFmtId="0" fontId="19" fillId="0" borderId="0" xfId="0" applyFont="1" applyFill="1" applyAlignment="1" applyProtection="1">
      <alignment horizontal="center" vertical="center"/>
      <protection hidden="1"/>
    </xf>
    <xf numFmtId="0" fontId="22" fillId="0" borderId="4" xfId="6" applyFont="1" applyFill="1" applyBorder="1" applyAlignment="1" applyProtection="1">
      <alignment horizontal="right" vertical="center" indent="1"/>
      <protection hidden="1"/>
    </xf>
    <xf numFmtId="0" fontId="22" fillId="8" borderId="21" xfId="6" applyFont="1" applyBorder="1" applyAlignment="1">
      <alignment horizontal="right" vertical="center" indent="1"/>
      <protection locked="0"/>
    </xf>
    <xf numFmtId="0" fontId="22" fillId="8" borderId="22" xfId="6" applyFont="1" applyBorder="1" applyAlignment="1">
      <alignment horizontal="right" vertical="center" indent="1"/>
      <protection locked="0"/>
    </xf>
    <xf numFmtId="0" fontId="22" fillId="8" borderId="34" xfId="6" applyFont="1" applyBorder="1" applyAlignment="1" applyProtection="1">
      <alignment horizontal="center" vertical="center"/>
    </xf>
    <xf numFmtId="0" fontId="22" fillId="8" borderId="35" xfId="6" applyFont="1" applyBorder="1" applyAlignment="1" applyProtection="1">
      <alignment horizontal="center" vertical="center"/>
    </xf>
    <xf numFmtId="0" fontId="22" fillId="8" borderId="36" xfId="6" applyFont="1" applyBorder="1" applyAlignment="1" applyProtection="1">
      <alignment horizontal="center" vertical="center"/>
    </xf>
    <xf numFmtId="0" fontId="22" fillId="8" borderId="37" xfId="6" applyFont="1" applyBorder="1" applyAlignment="1" applyProtection="1">
      <alignment horizontal="center" vertical="center"/>
    </xf>
    <xf numFmtId="0" fontId="22" fillId="8" borderId="0" xfId="6" applyFont="1" applyBorder="1" applyAlignment="1" applyProtection="1">
      <alignment horizontal="center" vertical="center"/>
    </xf>
    <xf numFmtId="0" fontId="22" fillId="8" borderId="38" xfId="6" applyFont="1" applyBorder="1" applyAlignment="1" applyProtection="1">
      <alignment horizontal="center" vertical="center"/>
    </xf>
    <xf numFmtId="0" fontId="22" fillId="8" borderId="39" xfId="6" applyFont="1" applyBorder="1" applyAlignment="1" applyProtection="1">
      <alignment horizontal="center" vertical="center"/>
    </xf>
    <xf numFmtId="0" fontId="22" fillId="8" borderId="40" xfId="6" applyFont="1" applyBorder="1" applyAlignment="1" applyProtection="1">
      <alignment horizontal="center" vertical="center"/>
    </xf>
    <xf numFmtId="0" fontId="22" fillId="8" borderId="41" xfId="6" applyFont="1" applyBorder="1" applyAlignment="1" applyProtection="1">
      <alignment horizontal="center" vertical="center"/>
    </xf>
    <xf numFmtId="0" fontId="0" fillId="0" borderId="0" xfId="0" applyBorder="1" applyAlignment="1" applyProtection="1">
      <alignment horizontal="right" vertical="center" wrapText="1"/>
      <protection hidden="1"/>
    </xf>
    <xf numFmtId="0" fontId="23" fillId="8" borderId="4" xfId="8" applyFont="1" applyAlignment="1" applyProtection="1">
      <alignment horizontal="left" vertical="center"/>
    </xf>
    <xf numFmtId="0" fontId="15" fillId="8" borderId="21" xfId="6" applyBorder="1" applyAlignment="1">
      <alignment horizontal="right" vertical="center" indent="1"/>
      <protection locked="0"/>
    </xf>
    <xf numFmtId="0" fontId="15" fillId="8" borderId="26" xfId="6" applyBorder="1" applyAlignment="1">
      <alignment horizontal="right" vertical="center" indent="1"/>
      <protection locked="0"/>
    </xf>
    <xf numFmtId="0" fontId="15" fillId="8" borderId="22" xfId="6" applyBorder="1" applyAlignment="1">
      <alignment horizontal="right" vertical="center" indent="1"/>
      <protection locked="0"/>
    </xf>
    <xf numFmtId="0" fontId="1" fillId="8" borderId="4" xfId="8" applyFont="1">
      <alignment horizontal="left" vertical="center"/>
      <protection locked="0"/>
    </xf>
    <xf numFmtId="0" fontId="15" fillId="8" borderId="4" xfId="8">
      <alignment horizontal="left" vertical="center"/>
      <protection locked="0"/>
    </xf>
    <xf numFmtId="0" fontId="2" fillId="8" borderId="4" xfId="8" applyFont="1" applyProtection="1">
      <alignment horizontal="left" vertical="center"/>
    </xf>
    <xf numFmtId="0" fontId="15" fillId="8" borderId="4" xfId="8" applyProtection="1">
      <alignment horizontal="left" vertical="center"/>
    </xf>
    <xf numFmtId="0" fontId="1" fillId="8" borderId="4" xfId="8" applyFont="1" applyProtection="1">
      <alignment horizontal="left" vertical="center"/>
      <protection locked="0"/>
    </xf>
    <xf numFmtId="0" fontId="15" fillId="8" borderId="4" xfId="8" applyProtection="1">
      <alignment horizontal="left" vertical="center"/>
      <protection locked="0"/>
    </xf>
    <xf numFmtId="0" fontId="15" fillId="8" borderId="4" xfId="8" applyBorder="1">
      <alignment horizontal="left" vertical="center"/>
      <protection locked="0"/>
    </xf>
    <xf numFmtId="0" fontId="0" fillId="0" borderId="0" xfId="0" applyAlignment="1">
      <alignment horizontal="right" vertical="center"/>
    </xf>
    <xf numFmtId="0" fontId="0" fillId="0" borderId="0" xfId="0" applyBorder="1"/>
    <xf numFmtId="49" fontId="7" fillId="0" borderId="0" xfId="9" applyFill="1" applyBorder="1" applyAlignment="1">
      <alignment horizontal="right" vertical="center"/>
      <protection hidden="1"/>
    </xf>
    <xf numFmtId="0" fontId="0" fillId="4" borderId="12" xfId="0" applyFont="1" applyFill="1" applyBorder="1" applyAlignment="1" applyProtection="1">
      <alignment horizontal="left" vertical="center" wrapText="1"/>
      <protection hidden="1"/>
    </xf>
    <xf numFmtId="0" fontId="0" fillId="4" borderId="42" xfId="0" applyFont="1" applyFill="1" applyBorder="1" applyAlignment="1" applyProtection="1">
      <alignment horizontal="left" vertical="center" wrapText="1"/>
      <protection hidden="1"/>
    </xf>
    <xf numFmtId="0" fontId="0" fillId="4" borderId="13" xfId="0" applyFont="1" applyFill="1" applyBorder="1" applyAlignment="1" applyProtection="1">
      <alignment horizontal="left" vertical="center" wrapText="1"/>
      <protection hidden="1"/>
    </xf>
    <xf numFmtId="0" fontId="0" fillId="0" borderId="12" xfId="0" applyFont="1" applyBorder="1" applyAlignment="1" applyProtection="1">
      <alignment horizontal="left" vertical="center" wrapText="1"/>
      <protection hidden="1"/>
    </xf>
    <xf numFmtId="0" fontId="0" fillId="0" borderId="42" xfId="0" applyFont="1" applyBorder="1" applyAlignment="1" applyProtection="1">
      <alignment horizontal="left" vertical="center" wrapText="1"/>
      <protection hidden="1"/>
    </xf>
    <xf numFmtId="0" fontId="0" fillId="0" borderId="13" xfId="0" applyFont="1" applyBorder="1" applyAlignment="1" applyProtection="1">
      <alignment horizontal="left" vertical="center" wrapText="1"/>
      <protection hidden="1"/>
    </xf>
    <xf numFmtId="0" fontId="6" fillId="4" borderId="12" xfId="0" applyFont="1" applyFill="1" applyBorder="1" applyAlignment="1" applyProtection="1">
      <alignment horizontal="left" vertical="center" wrapText="1"/>
      <protection hidden="1"/>
    </xf>
    <xf numFmtId="0" fontId="6" fillId="4" borderId="42" xfId="0" applyFont="1" applyFill="1" applyBorder="1" applyAlignment="1" applyProtection="1">
      <alignment horizontal="left" vertical="center" wrapText="1"/>
      <protection hidden="1"/>
    </xf>
    <xf numFmtId="0" fontId="6" fillId="4" borderId="13" xfId="0" applyFont="1" applyFill="1" applyBorder="1" applyAlignment="1" applyProtection="1">
      <alignment horizontal="left" vertical="center" wrapText="1"/>
      <protection hidden="1"/>
    </xf>
    <xf numFmtId="0" fontId="6" fillId="0" borderId="23" xfId="0" applyFont="1" applyBorder="1" applyAlignment="1" applyProtection="1">
      <alignment horizontal="left" vertical="center" wrapText="1"/>
      <protection hidden="1"/>
    </xf>
    <xf numFmtId="0" fontId="6" fillId="0" borderId="44" xfId="0" applyFont="1" applyBorder="1" applyAlignment="1" applyProtection="1">
      <alignment horizontal="left" vertical="center" wrapText="1"/>
      <protection hidden="1"/>
    </xf>
    <xf numFmtId="0" fontId="6" fillId="0" borderId="27" xfId="0" applyFont="1" applyBorder="1" applyAlignment="1" applyProtection="1">
      <alignment horizontal="left" vertical="center" wrapText="1"/>
      <protection hidden="1"/>
    </xf>
    <xf numFmtId="0" fontId="16" fillId="3" borderId="43" xfId="0" applyFont="1" applyFill="1" applyBorder="1" applyAlignment="1" applyProtection="1">
      <alignment horizontal="center" vertical="center" wrapText="1"/>
      <protection hidden="1"/>
    </xf>
    <xf numFmtId="0" fontId="16" fillId="3" borderId="25" xfId="0" applyFont="1" applyFill="1" applyBorder="1" applyAlignment="1" applyProtection="1">
      <alignment horizontal="center" vertical="center" wrapText="1"/>
      <protection hidden="1"/>
    </xf>
    <xf numFmtId="0" fontId="32" fillId="3" borderId="50" xfId="0" applyFont="1" applyFill="1" applyBorder="1" applyAlignment="1" applyProtection="1">
      <alignment horizontal="center" vertical="center" wrapText="1"/>
      <protection hidden="1"/>
    </xf>
    <xf numFmtId="0" fontId="32" fillId="3" borderId="49" xfId="0" applyFont="1" applyFill="1" applyBorder="1" applyAlignment="1" applyProtection="1">
      <alignment horizontal="center" vertical="center" wrapText="1"/>
      <protection hidden="1"/>
    </xf>
    <xf numFmtId="0" fontId="16" fillId="3" borderId="94" xfId="0" applyFont="1" applyFill="1" applyBorder="1" applyAlignment="1" applyProtection="1">
      <alignment horizontal="center"/>
      <protection hidden="1"/>
    </xf>
    <xf numFmtId="0" fontId="16" fillId="3" borderId="95"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0" fontId="41" fillId="0" borderId="12" xfId="0" applyFont="1" applyBorder="1" applyAlignment="1" applyProtection="1">
      <alignment horizontal="left" vertical="center" wrapText="1"/>
      <protection hidden="1"/>
    </xf>
    <xf numFmtId="0" fontId="41" fillId="0" borderId="42" xfId="0" applyFont="1" applyBorder="1" applyAlignment="1" applyProtection="1">
      <alignment horizontal="left" vertical="center" wrapText="1"/>
      <protection hidden="1"/>
    </xf>
    <xf numFmtId="0" fontId="41" fillId="0" borderId="13" xfId="0" applyFont="1" applyBorder="1" applyAlignment="1" applyProtection="1">
      <alignment horizontal="left" vertical="center" wrapText="1"/>
      <protection hidden="1"/>
    </xf>
    <xf numFmtId="0" fontId="6" fillId="4" borderId="96" xfId="0" applyFont="1" applyFill="1" applyBorder="1" applyAlignment="1" applyProtection="1">
      <alignment horizontal="left" vertical="center" wrapText="1"/>
      <protection hidden="1"/>
    </xf>
    <xf numFmtId="0" fontId="6" fillId="4" borderId="97" xfId="0" applyFont="1" applyFill="1" applyBorder="1" applyAlignment="1" applyProtection="1">
      <alignment horizontal="left" vertical="center" wrapText="1"/>
      <protection hidden="1"/>
    </xf>
    <xf numFmtId="0" fontId="6" fillId="4" borderId="98" xfId="0" applyFont="1" applyFill="1" applyBorder="1" applyAlignment="1" applyProtection="1">
      <alignment horizontal="left" vertical="center" wrapText="1"/>
      <protection hidden="1"/>
    </xf>
    <xf numFmtId="0" fontId="6" fillId="0" borderId="12" xfId="0" applyFont="1" applyBorder="1" applyAlignment="1" applyProtection="1">
      <alignment horizontal="left" vertical="center" wrapText="1"/>
      <protection hidden="1"/>
    </xf>
    <xf numFmtId="0" fontId="6" fillId="0" borderId="42" xfId="0" applyFont="1" applyBorder="1" applyAlignment="1" applyProtection="1">
      <alignment horizontal="left" vertical="center" wrapText="1"/>
      <protection hidden="1"/>
    </xf>
    <xf numFmtId="0" fontId="6" fillId="0" borderId="13" xfId="0" applyFont="1" applyBorder="1" applyAlignment="1" applyProtection="1">
      <alignment horizontal="left" vertical="center" wrapText="1"/>
      <protection hidden="1"/>
    </xf>
    <xf numFmtId="0" fontId="16" fillId="3" borderId="51" xfId="0" applyFont="1" applyFill="1" applyBorder="1" applyAlignment="1" applyProtection="1">
      <alignment horizontal="center" vertical="center" wrapText="1"/>
      <protection hidden="1"/>
    </xf>
    <xf numFmtId="0" fontId="16" fillId="3" borderId="52" xfId="0" applyFont="1" applyFill="1" applyBorder="1" applyAlignment="1" applyProtection="1">
      <alignment horizontal="center" vertical="center" wrapText="1"/>
      <protection hidden="1"/>
    </xf>
    <xf numFmtId="0" fontId="16" fillId="3" borderId="45" xfId="0" applyFont="1" applyFill="1" applyBorder="1" applyAlignment="1" applyProtection="1">
      <alignment horizontal="center" vertical="center"/>
      <protection hidden="1"/>
    </xf>
    <xf numFmtId="0" fontId="16" fillId="3" borderId="24" xfId="0" applyFont="1" applyFill="1" applyBorder="1" applyAlignment="1" applyProtection="1">
      <alignment horizontal="center" vertical="center"/>
      <protection hidden="1"/>
    </xf>
    <xf numFmtId="0" fontId="16" fillId="3" borderId="46" xfId="0" applyFont="1" applyFill="1" applyBorder="1" applyAlignment="1" applyProtection="1">
      <alignment horizontal="center" vertical="center"/>
      <protection hidden="1"/>
    </xf>
    <xf numFmtId="0" fontId="16" fillId="3" borderId="47" xfId="0" applyFont="1" applyFill="1" applyBorder="1" applyAlignment="1" applyProtection="1">
      <alignment horizontal="center" vertical="center"/>
      <protection hidden="1"/>
    </xf>
    <xf numFmtId="0" fontId="16" fillId="3" borderId="53" xfId="0" applyFont="1" applyFill="1" applyBorder="1" applyAlignment="1" applyProtection="1">
      <alignment horizontal="center" vertical="center"/>
      <protection hidden="1"/>
    </xf>
    <xf numFmtId="0" fontId="16" fillId="3" borderId="48" xfId="0" applyFont="1" applyFill="1" applyBorder="1" applyAlignment="1" applyProtection="1">
      <alignment horizontal="center" vertical="center"/>
      <protection hidden="1"/>
    </xf>
    <xf numFmtId="0" fontId="16" fillId="3" borderId="45" xfId="0" applyFont="1" applyFill="1" applyBorder="1" applyAlignment="1" applyProtection="1">
      <alignment horizontal="center" vertical="center" wrapText="1"/>
      <protection hidden="1"/>
    </xf>
    <xf numFmtId="0" fontId="16" fillId="3" borderId="46" xfId="0" applyFont="1" applyFill="1" applyBorder="1" applyAlignment="1" applyProtection="1">
      <alignment horizontal="center" vertical="center" wrapText="1"/>
      <protection hidden="1"/>
    </xf>
    <xf numFmtId="0" fontId="16" fillId="3" borderId="96" xfId="0" applyFont="1" applyFill="1" applyBorder="1" applyAlignment="1" applyProtection="1">
      <alignment horizontal="center" vertical="center" wrapText="1"/>
      <protection hidden="1"/>
    </xf>
    <xf numFmtId="0" fontId="16" fillId="3" borderId="98"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wrapText="1"/>
      <protection hidden="1"/>
    </xf>
    <xf numFmtId="0" fontId="16" fillId="3" borderId="49" xfId="0" applyFont="1" applyFill="1" applyBorder="1" applyAlignment="1" applyProtection="1">
      <alignment horizontal="center" vertical="center" wrapText="1"/>
      <protection hidden="1"/>
    </xf>
    <xf numFmtId="0" fontId="16" fillId="3" borderId="50" xfId="0" applyFont="1" applyFill="1" applyBorder="1" applyAlignment="1" applyProtection="1">
      <alignment horizontal="center" vertical="center" wrapText="1"/>
      <protection hidden="1"/>
    </xf>
    <xf numFmtId="0" fontId="7" fillId="0" borderId="0" xfId="0" applyFont="1" applyBorder="1" applyAlignment="1" applyProtection="1">
      <alignment horizontal="left" wrapText="1"/>
      <protection hidden="1"/>
    </xf>
    <xf numFmtId="0" fontId="16" fillId="12" borderId="45" xfId="0" applyFont="1" applyFill="1" applyBorder="1" applyAlignment="1" applyProtection="1">
      <alignment horizontal="center" vertical="center"/>
      <protection hidden="1"/>
    </xf>
    <xf numFmtId="0" fontId="16" fillId="12" borderId="24" xfId="0" applyFont="1" applyFill="1" applyBorder="1" applyAlignment="1" applyProtection="1">
      <alignment horizontal="center" vertical="center"/>
      <protection hidden="1"/>
    </xf>
    <xf numFmtId="0" fontId="16" fillId="12" borderId="46" xfId="0" applyFont="1" applyFill="1" applyBorder="1" applyAlignment="1" applyProtection="1">
      <alignment horizontal="center" vertical="center"/>
      <protection hidden="1"/>
    </xf>
    <xf numFmtId="0" fontId="16" fillId="12" borderId="47" xfId="0" applyFont="1" applyFill="1" applyBorder="1" applyAlignment="1" applyProtection="1">
      <alignment horizontal="center" vertical="center"/>
      <protection hidden="1"/>
    </xf>
    <xf numFmtId="0" fontId="16" fillId="12" borderId="53" xfId="0" applyFont="1" applyFill="1" applyBorder="1" applyAlignment="1" applyProtection="1">
      <alignment horizontal="center" vertical="center"/>
      <protection hidden="1"/>
    </xf>
    <xf numFmtId="0" fontId="16" fillId="12" borderId="48" xfId="0" applyFont="1" applyFill="1" applyBorder="1" applyAlignment="1" applyProtection="1">
      <alignment horizontal="center" vertical="center"/>
      <protection hidden="1"/>
    </xf>
    <xf numFmtId="0" fontId="7" fillId="0" borderId="0" xfId="10" applyFont="1" applyBorder="1">
      <alignment horizontal="left" indent="1"/>
      <protection hidden="1"/>
    </xf>
    <xf numFmtId="0" fontId="16" fillId="3" borderId="18"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protection hidden="1"/>
    </xf>
    <xf numFmtId="0" fontId="0" fillId="0" borderId="0" xfId="0" applyFont="1" applyFill="1" applyBorder="1" applyAlignment="1" applyProtection="1">
      <alignment horizontal="center" vertical="center"/>
      <protection hidden="1"/>
    </xf>
    <xf numFmtId="0" fontId="7" fillId="0" borderId="0" xfId="0" applyFont="1" applyAlignment="1" applyProtection="1">
      <alignment horizontal="left" vertical="center" wrapText="1"/>
      <protection hidden="1"/>
    </xf>
    <xf numFmtId="49" fontId="6" fillId="0" borderId="4" xfId="9" applyFont="1" applyBorder="1" applyAlignment="1">
      <alignment horizontal="left" vertical="center"/>
      <protection hidden="1"/>
    </xf>
    <xf numFmtId="0" fontId="7" fillId="0" borderId="4" xfId="10" applyFont="1" applyBorder="1" applyAlignment="1">
      <alignment horizontal="left" vertical="center"/>
      <protection hidden="1"/>
    </xf>
    <xf numFmtId="49" fontId="7" fillId="0" borderId="0" xfId="9" applyFont="1" applyBorder="1" applyAlignment="1">
      <alignment horizontal="right" vertical="center"/>
      <protection hidden="1"/>
    </xf>
    <xf numFmtId="0" fontId="41" fillId="4" borderId="12" xfId="0" applyFont="1" applyFill="1" applyBorder="1" applyAlignment="1" applyProtection="1">
      <alignment horizontal="left" vertical="center" wrapText="1"/>
      <protection hidden="1"/>
    </xf>
    <xf numFmtId="0" fontId="41" fillId="4" borderId="42" xfId="0" applyFont="1" applyFill="1" applyBorder="1" applyAlignment="1" applyProtection="1">
      <alignment horizontal="left" vertical="center" wrapText="1"/>
      <protection hidden="1"/>
    </xf>
    <xf numFmtId="0" fontId="41" fillId="4" borderId="13" xfId="0" applyFont="1" applyFill="1" applyBorder="1" applyAlignment="1" applyProtection="1">
      <alignment horizontal="left" vertical="center" wrapText="1"/>
      <protection hidden="1"/>
    </xf>
    <xf numFmtId="0" fontId="24" fillId="0" borderId="12" xfId="0" applyFont="1" applyBorder="1" applyAlignment="1" applyProtection="1">
      <alignment horizontal="left" vertical="center" wrapText="1"/>
      <protection hidden="1"/>
    </xf>
    <xf numFmtId="0" fontId="24" fillId="0" borderId="42" xfId="0" applyFont="1" applyBorder="1" applyAlignment="1" applyProtection="1">
      <alignment horizontal="left" vertical="center" wrapText="1"/>
      <protection hidden="1"/>
    </xf>
    <xf numFmtId="0" fontId="24" fillId="0" borderId="13" xfId="0" applyFont="1" applyBorder="1" applyAlignment="1" applyProtection="1">
      <alignment horizontal="left" vertical="center" wrapText="1"/>
      <protection hidden="1"/>
    </xf>
    <xf numFmtId="0" fontId="24" fillId="4" borderId="12" xfId="0" applyFont="1" applyFill="1" applyBorder="1" applyAlignment="1" applyProtection="1">
      <alignment horizontal="left" vertical="center" wrapText="1"/>
      <protection hidden="1"/>
    </xf>
    <xf numFmtId="0" fontId="24" fillId="4" borderId="42" xfId="0" applyFont="1" applyFill="1" applyBorder="1" applyAlignment="1" applyProtection="1">
      <alignment horizontal="left" vertical="center" wrapText="1"/>
      <protection hidden="1"/>
    </xf>
    <xf numFmtId="0" fontId="24" fillId="4" borderId="13" xfId="0" applyFont="1" applyFill="1" applyBorder="1" applyAlignment="1" applyProtection="1">
      <alignment horizontal="left" vertical="center" wrapText="1"/>
      <protection hidden="1"/>
    </xf>
    <xf numFmtId="49" fontId="7" fillId="0" borderId="4" xfId="9" applyFont="1" applyBorder="1" applyAlignment="1">
      <alignment horizontal="left" vertical="center"/>
      <protection hidden="1"/>
    </xf>
    <xf numFmtId="0" fontId="5" fillId="0" borderId="0" xfId="0" applyFont="1" applyFill="1" applyBorder="1" applyAlignment="1" applyProtection="1">
      <alignment horizontal="center" vertical="center"/>
      <protection hidden="1"/>
    </xf>
    <xf numFmtId="3" fontId="6" fillId="0" borderId="12" xfId="0" applyNumberFormat="1" applyFont="1" applyBorder="1" applyAlignment="1" applyProtection="1">
      <alignment horizontal="center" vertical="center"/>
      <protection hidden="1"/>
    </xf>
    <xf numFmtId="3" fontId="6" fillId="0" borderId="13" xfId="0" applyNumberFormat="1" applyFont="1" applyBorder="1" applyAlignment="1" applyProtection="1">
      <alignment horizontal="center" vertical="center"/>
      <protection hidden="1"/>
    </xf>
    <xf numFmtId="3" fontId="6" fillId="4" borderId="12" xfId="0" applyNumberFormat="1" applyFont="1" applyFill="1" applyBorder="1" applyAlignment="1" applyProtection="1">
      <alignment horizontal="center" vertical="center"/>
      <protection hidden="1"/>
    </xf>
    <xf numFmtId="3" fontId="6" fillId="4" borderId="13" xfId="0" applyNumberFormat="1" applyFont="1" applyFill="1" applyBorder="1" applyAlignment="1" applyProtection="1">
      <alignment horizontal="center" vertical="center"/>
      <protection hidden="1"/>
    </xf>
    <xf numFmtId="3" fontId="6" fillId="0" borderId="23" xfId="0" applyNumberFormat="1" applyFont="1" applyBorder="1" applyAlignment="1" applyProtection="1">
      <alignment horizontal="center" vertical="center"/>
      <protection hidden="1"/>
    </xf>
    <xf numFmtId="3" fontId="6" fillId="0" borderId="27" xfId="0" applyNumberFormat="1" applyFont="1" applyBorder="1" applyAlignment="1" applyProtection="1">
      <alignment horizontal="center" vertical="center"/>
      <protection hidden="1"/>
    </xf>
    <xf numFmtId="0" fontId="24" fillId="4" borderId="88" xfId="0" applyFont="1" applyFill="1" applyBorder="1" applyAlignment="1" applyProtection="1">
      <alignment horizontal="left" vertical="center" wrapText="1"/>
      <protection hidden="1"/>
    </xf>
    <xf numFmtId="0" fontId="24" fillId="4" borderId="89" xfId="0" applyFont="1" applyFill="1" applyBorder="1" applyAlignment="1" applyProtection="1">
      <alignment horizontal="left" vertical="center" wrapText="1"/>
      <protection hidden="1"/>
    </xf>
    <xf numFmtId="0" fontId="24" fillId="4" borderId="90" xfId="0" applyFont="1" applyFill="1" applyBorder="1" applyAlignment="1" applyProtection="1">
      <alignment horizontal="left" vertical="center" wrapText="1"/>
      <protection hidden="1"/>
    </xf>
    <xf numFmtId="0" fontId="16" fillId="3" borderId="101" xfId="0" applyFont="1" applyFill="1" applyBorder="1" applyAlignment="1" applyProtection="1">
      <alignment horizontal="center" vertical="center" wrapText="1"/>
      <protection hidden="1"/>
    </xf>
    <xf numFmtId="0" fontId="16" fillId="3" borderId="102" xfId="0" applyFont="1" applyFill="1" applyBorder="1" applyAlignment="1" applyProtection="1">
      <alignment horizontal="center" vertical="center" wrapText="1"/>
      <protection hidden="1"/>
    </xf>
    <xf numFmtId="0" fontId="16" fillId="3" borderId="113" xfId="0" applyFont="1" applyFill="1" applyBorder="1" applyAlignment="1" applyProtection="1">
      <alignment horizontal="center" vertical="center"/>
      <protection hidden="1"/>
    </xf>
    <xf numFmtId="0" fontId="16" fillId="3" borderId="114" xfId="0" applyFont="1" applyFill="1" applyBorder="1" applyAlignment="1" applyProtection="1">
      <alignment horizontal="center" vertical="center"/>
      <protection hidden="1"/>
    </xf>
    <xf numFmtId="0" fontId="7" fillId="4" borderId="80" xfId="0" applyFont="1" applyFill="1" applyBorder="1" applyAlignment="1" applyProtection="1">
      <alignment horizontal="left" vertical="center" wrapText="1"/>
      <protection hidden="1"/>
    </xf>
    <xf numFmtId="0" fontId="7" fillId="4" borderId="81" xfId="0" applyFont="1" applyFill="1" applyBorder="1" applyAlignment="1" applyProtection="1">
      <alignment horizontal="left" vertical="center" wrapText="1"/>
      <protection hidden="1"/>
    </xf>
    <xf numFmtId="0" fontId="7" fillId="4" borderId="82" xfId="0" applyFont="1" applyFill="1" applyBorder="1" applyAlignment="1" applyProtection="1">
      <alignment horizontal="left" vertical="center" wrapText="1"/>
      <protection hidden="1"/>
    </xf>
    <xf numFmtId="0" fontId="7" fillId="0" borderId="80" xfId="0" applyFont="1" applyBorder="1" applyAlignment="1" applyProtection="1">
      <alignment horizontal="left" vertical="center" wrapText="1"/>
      <protection hidden="1"/>
    </xf>
    <xf numFmtId="0" fontId="7" fillId="0" borderId="81" xfId="0" applyFont="1" applyBorder="1" applyAlignment="1" applyProtection="1">
      <alignment horizontal="left" vertical="center" wrapText="1"/>
      <protection hidden="1"/>
    </xf>
    <xf numFmtId="0" fontId="7" fillId="0" borderId="82" xfId="0" applyFont="1" applyBorder="1" applyAlignment="1" applyProtection="1">
      <alignment horizontal="left" vertical="center" wrapText="1"/>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24" fillId="4" borderId="80" xfId="0" applyFont="1" applyFill="1" applyBorder="1" applyAlignment="1" applyProtection="1">
      <alignment horizontal="left" vertical="center" wrapText="1"/>
      <protection hidden="1"/>
    </xf>
    <xf numFmtId="0" fontId="24" fillId="4" borderId="81" xfId="0" applyFont="1" applyFill="1" applyBorder="1" applyAlignment="1" applyProtection="1">
      <alignment horizontal="left" vertical="center" wrapText="1"/>
      <protection hidden="1"/>
    </xf>
    <xf numFmtId="0" fontId="24" fillId="4" borderId="82" xfId="0" applyFont="1" applyFill="1" applyBorder="1" applyAlignment="1" applyProtection="1">
      <alignment horizontal="left" vertical="center" wrapText="1"/>
      <protection hidden="1"/>
    </xf>
    <xf numFmtId="0" fontId="24" fillId="0" borderId="80" xfId="0" applyFont="1" applyBorder="1" applyAlignment="1" applyProtection="1">
      <alignment horizontal="left" vertical="center" wrapText="1"/>
      <protection hidden="1"/>
    </xf>
    <xf numFmtId="0" fontId="24" fillId="0" borderId="81" xfId="0" applyFont="1" applyBorder="1" applyAlignment="1" applyProtection="1">
      <alignment horizontal="left" vertical="center" wrapText="1"/>
      <protection hidden="1"/>
    </xf>
    <xf numFmtId="0" fontId="24" fillId="0" borderId="82" xfId="0" applyFont="1" applyBorder="1" applyAlignment="1" applyProtection="1">
      <alignment horizontal="left" vertical="center" wrapText="1"/>
      <protection hidden="1"/>
    </xf>
    <xf numFmtId="0" fontId="7" fillId="0" borderId="26" xfId="10" applyFont="1" applyBorder="1" applyAlignment="1">
      <alignment horizontal="left" vertical="center"/>
      <protection hidden="1"/>
    </xf>
    <xf numFmtId="0" fontId="0" fillId="0" borderId="116" xfId="0" applyBorder="1" applyAlignment="1" applyProtection="1">
      <alignment horizontal="center"/>
      <protection hidden="1"/>
    </xf>
    <xf numFmtId="0" fontId="0" fillId="0" borderId="0" xfId="0" applyBorder="1" applyAlignment="1" applyProtection="1">
      <alignment horizontal="center"/>
      <protection hidden="1"/>
    </xf>
    <xf numFmtId="0" fontId="0" fillId="0" borderId="0" xfId="0" applyFill="1" applyBorder="1" applyAlignment="1" applyProtection="1">
      <alignment horizontal="center" vertical="center"/>
      <protection hidden="1"/>
    </xf>
    <xf numFmtId="0" fontId="7" fillId="0" borderId="0" xfId="0" applyFont="1" applyBorder="1" applyAlignment="1" applyProtection="1">
      <alignment horizontal="right" vertical="center"/>
      <protection hidden="1"/>
    </xf>
    <xf numFmtId="0" fontId="32" fillId="3" borderId="111" xfId="0" applyFont="1" applyFill="1" applyBorder="1" applyAlignment="1" applyProtection="1">
      <alignment horizontal="center" vertical="center" wrapText="1"/>
      <protection hidden="1"/>
    </xf>
    <xf numFmtId="0" fontId="32" fillId="3" borderId="112" xfId="0" applyFont="1" applyFill="1" applyBorder="1" applyAlignment="1" applyProtection="1">
      <alignment horizontal="center" vertical="center" wrapText="1"/>
      <protection hidden="1"/>
    </xf>
    <xf numFmtId="0" fontId="32" fillId="3" borderId="106" xfId="0" applyFont="1" applyFill="1" applyBorder="1" applyAlignment="1" applyProtection="1">
      <alignment horizontal="center" vertical="center"/>
      <protection hidden="1"/>
    </xf>
    <xf numFmtId="0" fontId="32" fillId="3" borderId="24" xfId="0" applyFont="1" applyFill="1" applyBorder="1" applyAlignment="1" applyProtection="1">
      <alignment horizontal="center" vertical="center"/>
      <protection hidden="1"/>
    </xf>
    <xf numFmtId="0" fontId="32" fillId="3" borderId="107" xfId="0" applyFont="1" applyFill="1" applyBorder="1" applyAlignment="1" applyProtection="1">
      <alignment horizontal="center" vertical="center"/>
      <protection hidden="1"/>
    </xf>
    <xf numFmtId="0" fontId="32" fillId="3" borderId="108" xfId="0" applyFont="1" applyFill="1" applyBorder="1" applyAlignment="1" applyProtection="1">
      <alignment horizontal="center" vertical="center"/>
      <protection hidden="1"/>
    </xf>
    <xf numFmtId="0" fontId="32" fillId="3" borderId="109" xfId="0" applyFont="1" applyFill="1" applyBorder="1" applyAlignment="1" applyProtection="1">
      <alignment horizontal="center" vertical="center"/>
      <protection hidden="1"/>
    </xf>
    <xf numFmtId="0" fontId="32" fillId="3" borderId="110" xfId="0" applyFont="1" applyFill="1" applyBorder="1" applyAlignment="1" applyProtection="1">
      <alignment horizontal="center" vertical="center"/>
      <protection hidden="1"/>
    </xf>
    <xf numFmtId="0" fontId="32" fillId="3" borderId="103" xfId="0" applyFont="1" applyFill="1" applyBorder="1" applyAlignment="1" applyProtection="1">
      <alignment horizontal="center"/>
      <protection hidden="1"/>
    </xf>
    <xf numFmtId="0" fontId="32" fillId="3" borderId="104" xfId="0" applyFont="1" applyFill="1" applyBorder="1" applyAlignment="1" applyProtection="1">
      <alignment horizontal="center"/>
      <protection hidden="1"/>
    </xf>
    <xf numFmtId="0" fontId="32" fillId="3" borderId="105" xfId="0" applyFont="1" applyFill="1" applyBorder="1" applyAlignment="1" applyProtection="1">
      <alignment horizontal="center"/>
      <protection hidden="1"/>
    </xf>
    <xf numFmtId="0" fontId="6" fillId="0" borderId="85" xfId="0" applyFont="1" applyBorder="1" applyAlignment="1" applyProtection="1">
      <alignment horizontal="left" vertical="center" wrapText="1"/>
      <protection hidden="1"/>
    </xf>
    <xf numFmtId="0" fontId="6" fillId="0" borderId="86" xfId="0" applyFont="1" applyBorder="1" applyAlignment="1" applyProtection="1">
      <alignment horizontal="left" vertical="center" wrapText="1"/>
      <protection hidden="1"/>
    </xf>
    <xf numFmtId="0" fontId="6" fillId="0" borderId="87" xfId="0" applyFont="1" applyBorder="1" applyAlignment="1" applyProtection="1">
      <alignment horizontal="left" vertical="center" wrapText="1"/>
      <protection hidden="1"/>
    </xf>
    <xf numFmtId="0" fontId="0" fillId="4" borderId="58" xfId="0" applyFont="1" applyFill="1" applyBorder="1" applyAlignment="1" applyProtection="1">
      <alignment horizontal="left" vertical="center" wrapText="1"/>
      <protection hidden="1"/>
    </xf>
    <xf numFmtId="0" fontId="24" fillId="4" borderId="58" xfId="0" applyFont="1" applyFill="1" applyBorder="1" applyAlignment="1" applyProtection="1">
      <alignment horizontal="left" vertical="center" wrapText="1"/>
      <protection hidden="1"/>
    </xf>
    <xf numFmtId="0" fontId="0" fillId="0" borderId="58" xfId="0" applyFont="1" applyFill="1" applyBorder="1" applyAlignment="1" applyProtection="1">
      <alignment horizontal="left" vertical="center" wrapText="1"/>
      <protection hidden="1"/>
    </xf>
    <xf numFmtId="0" fontId="0" fillId="0" borderId="116" xfId="0" applyBorder="1" applyAlignment="1" applyProtection="1">
      <alignment horizontal="center" vertical="center"/>
      <protection hidden="1"/>
    </xf>
    <xf numFmtId="0" fontId="0" fillId="4" borderId="61" xfId="0" applyFont="1" applyFill="1" applyBorder="1" applyAlignment="1" applyProtection="1">
      <alignment horizontal="left" vertical="center" wrapText="1"/>
      <protection hidden="1"/>
    </xf>
    <xf numFmtId="0" fontId="6" fillId="4" borderId="58" xfId="0" applyFont="1" applyFill="1" applyBorder="1" applyAlignment="1" applyProtection="1">
      <alignment horizontal="left" vertical="center" wrapText="1"/>
      <protection hidden="1"/>
    </xf>
    <xf numFmtId="0" fontId="6" fillId="0" borderId="58" xfId="0" applyFont="1" applyFill="1" applyBorder="1" applyAlignment="1" applyProtection="1">
      <alignment horizontal="left" vertical="center" wrapText="1"/>
      <protection hidden="1"/>
    </xf>
    <xf numFmtId="0" fontId="16" fillId="3" borderId="83" xfId="0" applyFont="1" applyFill="1" applyBorder="1" applyAlignment="1" applyProtection="1">
      <alignment horizontal="center" vertical="center" wrapText="1"/>
      <protection hidden="1"/>
    </xf>
    <xf numFmtId="0" fontId="16" fillId="3" borderId="84" xfId="0" applyFont="1" applyFill="1" applyBorder="1" applyAlignment="1" applyProtection="1">
      <alignment horizontal="center" vertical="center" wrapText="1"/>
      <protection hidden="1"/>
    </xf>
    <xf numFmtId="0" fontId="16" fillId="3" borderId="78" xfId="0" applyFont="1" applyFill="1" applyBorder="1" applyAlignment="1" applyProtection="1">
      <alignment horizontal="center" vertical="center"/>
      <protection hidden="1"/>
    </xf>
    <xf numFmtId="0" fontId="16" fillId="3" borderId="55" xfId="0" applyFont="1" applyFill="1" applyBorder="1" applyAlignment="1" applyProtection="1">
      <alignment horizontal="center" vertical="center"/>
      <protection hidden="1"/>
    </xf>
    <xf numFmtId="0" fontId="16" fillId="3" borderId="63" xfId="0" applyFont="1" applyFill="1" applyBorder="1" applyAlignment="1" applyProtection="1">
      <alignment horizontal="center"/>
      <protection hidden="1"/>
    </xf>
    <xf numFmtId="0" fontId="6" fillId="4" borderId="66" xfId="0" applyFont="1" applyFill="1" applyBorder="1" applyAlignment="1" applyProtection="1">
      <alignment horizontal="left" vertical="center" wrapText="1"/>
      <protection hidden="1"/>
    </xf>
    <xf numFmtId="0" fontId="7" fillId="0" borderId="0" xfId="0" applyFont="1" applyAlignment="1" applyProtection="1">
      <alignment horizontal="right" vertical="center"/>
      <protection hidden="1"/>
    </xf>
    <xf numFmtId="49" fontId="6" fillId="0" borderId="116" xfId="9" applyFont="1" applyBorder="1" applyAlignment="1">
      <alignment horizontal="left" vertical="center"/>
      <protection hidden="1"/>
    </xf>
    <xf numFmtId="0" fontId="7" fillId="0" borderId="116" xfId="10" applyFont="1" applyBorder="1" applyAlignment="1">
      <alignment horizontal="left" vertical="center"/>
      <protection hidden="1"/>
    </xf>
    <xf numFmtId="0" fontId="7" fillId="0" borderId="116" xfId="10" applyFont="1" applyBorder="1" applyAlignment="1">
      <alignment horizontal="center" vertical="center"/>
      <protection hidden="1"/>
    </xf>
    <xf numFmtId="0" fontId="7" fillId="0" borderId="26" xfId="10" applyFont="1" applyBorder="1" applyAlignment="1">
      <alignment horizontal="center" vertical="center"/>
      <protection hidden="1"/>
    </xf>
    <xf numFmtId="49" fontId="7" fillId="0" borderId="116" xfId="9" applyFont="1" applyBorder="1" applyAlignment="1">
      <alignment horizontal="center" vertical="center"/>
      <protection hidden="1"/>
    </xf>
    <xf numFmtId="0" fontId="11" fillId="0" borderId="0" xfId="0" applyFont="1" applyFill="1" applyBorder="1" applyAlignment="1" applyProtection="1">
      <alignment horizontal="center" vertical="center"/>
      <protection hidden="1"/>
    </xf>
    <xf numFmtId="0" fontId="16" fillId="3" borderId="78" xfId="0" applyFont="1" applyFill="1" applyBorder="1" applyAlignment="1" applyProtection="1">
      <alignment horizontal="center" vertical="center" wrapText="1"/>
      <protection hidden="1"/>
    </xf>
    <xf numFmtId="0" fontId="16" fillId="3" borderId="55" xfId="0" applyFont="1" applyFill="1" applyBorder="1" applyAlignment="1" applyProtection="1">
      <alignment horizontal="center" vertical="center" wrapText="1"/>
      <protection hidden="1"/>
    </xf>
    <xf numFmtId="0" fontId="16" fillId="3" borderId="115" xfId="0" applyFont="1" applyFill="1" applyBorder="1" applyAlignment="1" applyProtection="1">
      <alignment horizontal="center" vertical="center"/>
      <protection hidden="1"/>
    </xf>
    <xf numFmtId="0" fontId="0" fillId="0" borderId="116" xfId="0" applyBorder="1" applyAlignment="1" applyProtection="1">
      <alignment horizontal="left" vertical="center"/>
      <protection hidden="1"/>
    </xf>
    <xf numFmtId="0" fontId="6" fillId="0" borderId="66" xfId="0" applyFont="1" applyBorder="1" applyAlignment="1" applyProtection="1">
      <alignment horizontal="left" vertical="center" wrapText="1"/>
      <protection hidden="1"/>
    </xf>
    <xf numFmtId="0" fontId="0" fillId="0" borderId="58" xfId="0" applyFont="1" applyBorder="1" applyAlignment="1" applyProtection="1">
      <alignment horizontal="left" vertical="center" wrapText="1"/>
      <protection hidden="1"/>
    </xf>
    <xf numFmtId="0" fontId="6" fillId="0" borderId="58" xfId="0" applyFont="1" applyBorder="1" applyAlignment="1" applyProtection="1">
      <alignment horizontal="left" vertical="center" wrapText="1"/>
      <protection hidden="1"/>
    </xf>
    <xf numFmtId="0" fontId="0" fillId="0" borderId="0" xfId="0" applyAlignment="1">
      <alignment horizontal="center" vertical="center"/>
    </xf>
    <xf numFmtId="49" fontId="7" fillId="0" borderId="0" xfId="9" applyFill="1" applyBorder="1" applyAlignment="1">
      <alignment horizontal="center" vertical="center"/>
      <protection hidden="1"/>
    </xf>
    <xf numFmtId="0" fontId="6" fillId="4" borderId="61" xfId="0" applyFont="1" applyFill="1" applyBorder="1" applyAlignment="1" applyProtection="1">
      <alignment horizontal="left" vertical="center" wrapText="1"/>
      <protection hidden="1"/>
    </xf>
    <xf numFmtId="0" fontId="5"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49" fontId="6" fillId="0" borderId="0" xfId="9" applyFont="1" applyBorder="1" applyAlignment="1">
      <alignment horizontal="left" vertical="center"/>
      <protection hidden="1"/>
    </xf>
    <xf numFmtId="49" fontId="7" fillId="0" borderId="116" xfId="9" applyFont="1" applyBorder="1" applyAlignment="1">
      <alignment horizontal="left" vertical="center"/>
      <protection hidden="1"/>
    </xf>
    <xf numFmtId="49" fontId="7" fillId="0" borderId="26" xfId="9" applyFont="1" applyBorder="1" applyAlignment="1">
      <alignment horizontal="left" vertical="center"/>
      <protection hidden="1"/>
    </xf>
    <xf numFmtId="0" fontId="0" fillId="0" borderId="80" xfId="0" applyFont="1" applyBorder="1" applyAlignment="1" applyProtection="1">
      <alignment horizontal="left" vertical="center" wrapText="1"/>
      <protection hidden="1"/>
    </xf>
    <xf numFmtId="0" fontId="0" fillId="0" borderId="81" xfId="0" applyFont="1" applyBorder="1" applyAlignment="1" applyProtection="1">
      <alignment horizontal="left" vertical="center" wrapText="1"/>
      <protection hidden="1"/>
    </xf>
    <xf numFmtId="0" fontId="0" fillId="0" borderId="82" xfId="0" applyFont="1" applyBorder="1" applyAlignment="1" applyProtection="1">
      <alignment horizontal="left" vertical="center" wrapText="1"/>
      <protection hidden="1"/>
    </xf>
    <xf numFmtId="0" fontId="0" fillId="4" borderId="80" xfId="0" applyFont="1" applyFill="1" applyBorder="1" applyAlignment="1" applyProtection="1">
      <alignment horizontal="left" vertical="center" wrapText="1"/>
      <protection hidden="1"/>
    </xf>
    <xf numFmtId="0" fontId="0" fillId="4" borderId="81" xfId="0" applyFont="1" applyFill="1" applyBorder="1" applyAlignment="1" applyProtection="1">
      <alignment horizontal="left" vertical="center" wrapText="1"/>
      <protection hidden="1"/>
    </xf>
    <xf numFmtId="0" fontId="0" fillId="4" borderId="82" xfId="0" applyFont="1" applyFill="1" applyBorder="1" applyAlignment="1" applyProtection="1">
      <alignment horizontal="left" vertical="center" wrapText="1"/>
      <protection hidden="1"/>
    </xf>
    <xf numFmtId="0" fontId="0" fillId="4" borderId="88" xfId="0" applyFont="1" applyFill="1" applyBorder="1" applyAlignment="1" applyProtection="1">
      <alignment horizontal="left" vertical="center" wrapText="1"/>
      <protection hidden="1"/>
    </xf>
    <xf numFmtId="0" fontId="0" fillId="4" borderId="89" xfId="0" applyFont="1" applyFill="1" applyBorder="1" applyAlignment="1" applyProtection="1">
      <alignment horizontal="left" vertical="center" wrapText="1"/>
      <protection hidden="1"/>
    </xf>
    <xf numFmtId="0" fontId="0" fillId="4" borderId="90" xfId="0" applyFont="1" applyFill="1" applyBorder="1" applyAlignment="1" applyProtection="1">
      <alignment horizontal="left" vertical="center" wrapText="1"/>
      <protection hidden="1"/>
    </xf>
    <xf numFmtId="0" fontId="16" fillId="3" borderId="79" xfId="0" applyFont="1" applyFill="1" applyBorder="1" applyAlignment="1" applyProtection="1">
      <alignment horizontal="center" vertical="center"/>
      <protection hidden="1"/>
    </xf>
    <xf numFmtId="0" fontId="0" fillId="0" borderId="66" xfId="0" applyFont="1" applyBorder="1" applyAlignment="1" applyProtection="1">
      <alignment horizontal="left" vertical="center" wrapText="1"/>
      <protection hidden="1"/>
    </xf>
    <xf numFmtId="49" fontId="7" fillId="0" borderId="0" xfId="9" applyFont="1" applyBorder="1" applyAlignment="1">
      <alignment horizontal="right" vertical="center" wrapText="1"/>
      <protection hidden="1"/>
    </xf>
    <xf numFmtId="0" fontId="16" fillId="3" borderId="150" xfId="0" applyFont="1" applyFill="1" applyBorder="1" applyAlignment="1" applyProtection="1">
      <alignment horizontal="center" vertical="center" wrapText="1"/>
      <protection hidden="1"/>
    </xf>
    <xf numFmtId="0" fontId="16" fillId="3" borderId="1" xfId="0" applyFont="1" applyFill="1" applyBorder="1" applyAlignment="1" applyProtection="1">
      <alignment horizontal="center" vertical="center" wrapText="1"/>
      <protection hidden="1"/>
    </xf>
    <xf numFmtId="0" fontId="16" fillId="3" borderId="151" xfId="0" applyFont="1" applyFill="1" applyBorder="1" applyAlignment="1" applyProtection="1">
      <alignment horizontal="center" vertical="center" wrapText="1"/>
      <protection hidden="1"/>
    </xf>
    <xf numFmtId="0" fontId="16" fillId="3" borderId="152" xfId="0" applyFont="1" applyFill="1" applyBorder="1" applyAlignment="1" applyProtection="1">
      <alignment horizontal="center" vertical="center" wrapText="1"/>
      <protection hidden="1"/>
    </xf>
    <xf numFmtId="0" fontId="16" fillId="3" borderId="143" xfId="0" applyFont="1" applyFill="1" applyBorder="1" applyAlignment="1" applyProtection="1">
      <alignment horizontal="center" vertical="center" wrapText="1"/>
      <protection hidden="1"/>
    </xf>
    <xf numFmtId="0" fontId="16" fillId="3" borderId="144" xfId="0" applyFont="1" applyFill="1" applyBorder="1" applyAlignment="1" applyProtection="1">
      <alignment horizontal="center" vertical="center" wrapText="1"/>
      <protection hidden="1"/>
    </xf>
    <xf numFmtId="0" fontId="16" fillId="3" borderId="145" xfId="0" applyFont="1" applyFill="1" applyBorder="1" applyAlignment="1" applyProtection="1">
      <alignment horizontal="center" vertical="center" wrapText="1"/>
      <protection hidden="1"/>
    </xf>
    <xf numFmtId="0" fontId="16" fillId="3" borderId="142" xfId="0" applyFont="1" applyFill="1" applyBorder="1" applyAlignment="1" applyProtection="1">
      <alignment horizontal="center" vertical="center" wrapText="1"/>
      <protection hidden="1"/>
    </xf>
    <xf numFmtId="0" fontId="16" fillId="3" borderId="97" xfId="0" applyFont="1" applyFill="1" applyBorder="1" applyAlignment="1" applyProtection="1">
      <alignment horizontal="center" vertical="center" wrapText="1"/>
      <protection hidden="1"/>
    </xf>
    <xf numFmtId="0" fontId="6" fillId="0" borderId="139" xfId="0" applyFont="1" applyBorder="1" applyAlignment="1" applyProtection="1">
      <alignment vertical="center" wrapText="1"/>
      <protection hidden="1"/>
    </xf>
    <xf numFmtId="0" fontId="6" fillId="0" borderId="86" xfId="0" applyFont="1" applyBorder="1" applyAlignment="1" applyProtection="1">
      <alignment vertical="center" wrapText="1"/>
      <protection hidden="1"/>
    </xf>
    <xf numFmtId="0" fontId="6" fillId="0" borderId="87" xfId="0" applyFont="1" applyBorder="1" applyAlignment="1" applyProtection="1">
      <alignment vertical="center" wrapText="1"/>
      <protection hidden="1"/>
    </xf>
    <xf numFmtId="0" fontId="6" fillId="4" borderId="140" xfId="0" applyFont="1" applyFill="1" applyBorder="1" applyAlignment="1" applyProtection="1">
      <alignment vertical="center" wrapText="1"/>
      <protection hidden="1"/>
    </xf>
    <xf numFmtId="0" fontId="6" fillId="4" borderId="81" xfId="0" applyFont="1" applyFill="1" applyBorder="1" applyAlignment="1" applyProtection="1">
      <alignment vertical="center" wrapText="1"/>
      <protection hidden="1"/>
    </xf>
    <xf numFmtId="0" fontId="6" fillId="4" borderId="82" xfId="0" applyFont="1" applyFill="1" applyBorder="1" applyAlignment="1" applyProtection="1">
      <alignment vertical="center" wrapText="1"/>
      <protection hidden="1"/>
    </xf>
    <xf numFmtId="0" fontId="0" fillId="0" borderId="140" xfId="0" applyFont="1" applyBorder="1" applyAlignment="1" applyProtection="1">
      <alignment vertical="center" wrapText="1"/>
      <protection hidden="1"/>
    </xf>
    <xf numFmtId="0" fontId="0" fillId="0" borderId="81" xfId="0" applyFont="1" applyBorder="1" applyAlignment="1" applyProtection="1">
      <alignment vertical="center" wrapText="1"/>
      <protection hidden="1"/>
    </xf>
    <xf numFmtId="0" fontId="0" fillId="0" borderId="82" xfId="0" applyFont="1" applyBorder="1" applyAlignment="1" applyProtection="1">
      <alignment vertical="center" wrapText="1"/>
      <protection hidden="1"/>
    </xf>
    <xf numFmtId="0" fontId="0" fillId="4" borderId="140" xfId="0" applyFont="1" applyFill="1" applyBorder="1" applyAlignment="1" applyProtection="1">
      <alignment vertical="center" wrapText="1"/>
      <protection hidden="1"/>
    </xf>
    <xf numFmtId="0" fontId="0" fillId="4" borderId="81" xfId="0" applyFont="1" applyFill="1" applyBorder="1" applyAlignment="1" applyProtection="1">
      <alignment vertical="center" wrapText="1"/>
      <protection hidden="1"/>
    </xf>
    <xf numFmtId="0" fontId="0" fillId="4" borderId="82" xfId="0" applyFont="1" applyFill="1" applyBorder="1" applyAlignment="1" applyProtection="1">
      <alignment vertical="center" wrapText="1"/>
      <protection hidden="1"/>
    </xf>
    <xf numFmtId="0" fontId="16" fillId="3" borderId="154" xfId="0" applyFont="1" applyFill="1" applyBorder="1" applyAlignment="1" applyProtection="1">
      <alignment horizontal="center" wrapText="1"/>
      <protection hidden="1"/>
    </xf>
    <xf numFmtId="0" fontId="16" fillId="3" borderId="44" xfId="0" applyFont="1" applyFill="1" applyBorder="1" applyAlignment="1" applyProtection="1">
      <alignment horizontal="center" wrapText="1"/>
      <protection hidden="1"/>
    </xf>
    <xf numFmtId="0" fontId="16" fillId="3" borderId="27" xfId="0" applyFont="1" applyFill="1" applyBorder="1" applyAlignment="1" applyProtection="1">
      <alignment horizont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xf numFmtId="0" fontId="16" fillId="3" borderId="146" xfId="0" applyFont="1" applyFill="1" applyBorder="1" applyAlignment="1" applyProtection="1">
      <alignment horizontal="center" vertical="center" wrapText="1"/>
      <protection hidden="1"/>
    </xf>
    <xf numFmtId="0" fontId="16" fillId="3" borderId="147" xfId="0" applyFont="1" applyFill="1" applyBorder="1" applyAlignment="1" applyProtection="1">
      <alignment horizontal="center" vertical="center"/>
      <protection hidden="1"/>
    </xf>
    <xf numFmtId="0" fontId="16" fillId="3" borderId="148" xfId="0" applyFont="1" applyFill="1" applyBorder="1" applyAlignment="1" applyProtection="1">
      <alignment horizontal="center" vertical="center"/>
      <protection hidden="1"/>
    </xf>
    <xf numFmtId="0" fontId="16" fillId="3" borderId="149" xfId="0" applyFont="1" applyFill="1" applyBorder="1" applyAlignment="1" applyProtection="1">
      <alignment horizontal="center" vertical="center"/>
      <protection hidden="1"/>
    </xf>
    <xf numFmtId="0" fontId="6" fillId="4" borderId="141" xfId="0" applyFont="1" applyFill="1" applyBorder="1" applyAlignment="1" applyProtection="1">
      <alignment vertical="center" wrapText="1"/>
      <protection hidden="1"/>
    </xf>
    <xf numFmtId="0" fontId="6" fillId="4" borderId="136" xfId="0" applyFont="1" applyFill="1" applyBorder="1" applyAlignment="1" applyProtection="1">
      <alignment vertical="center" wrapText="1"/>
      <protection hidden="1"/>
    </xf>
    <xf numFmtId="0" fontId="6" fillId="4" borderId="137" xfId="0" applyFont="1" applyFill="1" applyBorder="1" applyAlignment="1" applyProtection="1">
      <alignment vertical="center" wrapText="1"/>
      <protection hidden="1"/>
    </xf>
  </cellXfs>
  <cellStyles count="14">
    <cellStyle name="Aop" xfId="1"/>
    <cellStyle name="Calculation" xfId="2" builtinId="22" customBuiltin="1"/>
    <cellStyle name="Comma" xfId="13" builtinId="3"/>
    <cellStyle name="Good" xfId="3" builtinId="26"/>
    <cellStyle name="Grupa" xfId="4"/>
    <cellStyle name="Hyperlink" xfId="5" builtinId="8"/>
    <cellStyle name="Input" xfId="12" builtinId="20"/>
    <cellStyle name="Normal" xfId="0" builtinId="0" customBuiltin="1"/>
    <cellStyle name="UnosBroj" xfId="6"/>
    <cellStyle name="UnosPodataka" xfId="7"/>
    <cellStyle name="UnosTekst" xfId="8"/>
    <cellStyle name="Zaglavlje" xfId="9"/>
    <cellStyle name="ZiroRacun" xfId="10"/>
    <cellStyle name="ZiroRacunUnos" xfId="11"/>
  </cellStyles>
  <dxfs count="269">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74" formatCode="m/d/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74" formatCode="m/d/yyyy"/>
    </dxf>
    <dxf>
      <numFmt numFmtId="174" formatCode="m/d/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numFmt numFmtId="0" formatCode="General"/>
    </dxf>
    <dxf>
      <numFmt numFmtId="0" formatCode="General"/>
    </dxf>
    <dxf>
      <numFmt numFmtId="0" formatCode="General"/>
    </dxf>
    <dxf>
      <alignment horizontal="center" vertical="center" textRotation="0" wrapText="0" indent="0" justifyLastLine="0" shrinkToFit="0" readingOrder="0"/>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1"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xmlns="" id="{00000000-0008-0000-0000-0000FCE30100}"/>
            </a:ext>
          </a:extLst>
        </xdr:cNvPr>
        <xdr:cNvGrpSpPr>
          <a:grpSpLocks/>
        </xdr:cNvGrpSpPr>
      </xdr:nvGrpSpPr>
      <xdr:grpSpPr bwMode="auto">
        <a:xfrm>
          <a:off x="381000" y="47625"/>
          <a:ext cx="10991850" cy="600075"/>
          <a:chOff x="7343770" y="3810026"/>
          <a:chExt cx="7258050" cy="590550"/>
        </a:xfrm>
      </xdr:grpSpPr>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xmlns=""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xmlns=""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xmlns=""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xmlns=""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xmlns=""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xmlns=""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xmlns=""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xmlns=""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xdr:from>
          <xdr:col>1</xdr:col>
          <xdr:colOff>0</xdr:colOff>
          <xdr:row>0</xdr:row>
          <xdr:rowOff>47625</xdr:rowOff>
        </xdr:from>
        <xdr:to>
          <xdr:col>18</xdr:col>
          <xdr:colOff>123825</xdr:colOff>
          <xdr:row>4</xdr:row>
          <xdr:rowOff>0</xdr:rowOff>
        </xdr:to>
        <xdr:sp macro="" textlink="">
          <xdr:nvSpPr>
            <xdr:cNvPr id="31987" name="Navigacija" hidden="1">
              <a:extLst>
                <a:ext uri="{63B3BB69-23CF-44E3-9099-C40C66FF867C}">
                  <a14:compatExt spid="_x0000_s3198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xmlns="" id="{00000000-0008-0000-0100-00000A000000}"/>
            </a:ext>
          </a:extLst>
        </xdr:cNvPr>
        <xdr:cNvGrpSpPr/>
      </xdr:nvGrpSpPr>
      <xdr:grpSpPr>
        <a:xfrm>
          <a:off x="365167" y="0"/>
          <a:ext cx="9521783" cy="819511"/>
          <a:chOff x="365167" y="0"/>
          <a:chExt cx="9521783" cy="819511"/>
        </a:xfrm>
      </xdr:grpSpPr>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xmlns=""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xmlns=""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xmlns=""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xmlns=""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xmlns=""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xmlns=""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xmlns=""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xmlns=""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361950</xdr:colOff>
          <xdr:row>0</xdr:row>
          <xdr:rowOff>0</xdr:rowOff>
        </xdr:from>
        <xdr:to>
          <xdr:col>27</xdr:col>
          <xdr:colOff>1600200</xdr:colOff>
          <xdr:row>3</xdr:row>
          <xdr:rowOff>38100</xdr:rowOff>
        </xdr:to>
        <xdr:sp macro="" textlink="">
          <xdr:nvSpPr>
            <xdr:cNvPr id="24786" name="Navigacija" hidden="1">
              <a:extLst>
                <a:ext uri="{63B3BB69-23CF-44E3-9099-C40C66FF867C}">
                  <a14:compatExt spid="_x0000_s2478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xmlns=""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xmlns=""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xmlns=""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xmlns=""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xmlns=""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xmlns=""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xmlns=""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xmlns=""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4</xdr:col>
      <xdr:colOff>742949</xdr:colOff>
      <xdr:row>0</xdr:row>
      <xdr:rowOff>152400</xdr:rowOff>
    </xdr:from>
    <xdr:to>
      <xdr:col>6</xdr:col>
      <xdr:colOff>209550</xdr:colOff>
      <xdr:row>2</xdr:row>
      <xdr:rowOff>28575</xdr:rowOff>
    </xdr:to>
    <xdr:sp macro="" textlink="Linkovi_Link_BS">
      <xdr:nvSpPr>
        <xdr:cNvPr id="13" name="Link BS">
          <a:hlinkClick xmlns:r="http://schemas.openxmlformats.org/officeDocument/2006/relationships" r:id="rId1" tooltip="01"/>
          <a:extLst>
            <a:ext uri="{FF2B5EF4-FFF2-40B4-BE49-F238E27FC236}">
              <a16:creationId xmlns:a16="http://schemas.microsoft.com/office/drawing/2014/main" xmlns="" id="{00000000-0008-0000-0300-00000D000000}"/>
            </a:ext>
          </a:extLst>
        </xdr:cNvPr>
        <xdr:cNvSpPr txBox="1"/>
      </xdr:nvSpPr>
      <xdr:spPr bwMode="auto">
        <a:xfrm>
          <a:off x="3448049" y="152400"/>
          <a:ext cx="1733551" cy="2000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clientData/>
  </xdr:twoCellAnchor>
  <xdr:twoCellAnchor>
    <xdr:from>
      <xdr:col>6</xdr:col>
      <xdr:colOff>247649</xdr:colOff>
      <xdr:row>0</xdr:row>
      <xdr:rowOff>152400</xdr:rowOff>
    </xdr:from>
    <xdr:to>
      <xdr:col>7</xdr:col>
      <xdr:colOff>1142999</xdr:colOff>
      <xdr:row>2</xdr:row>
      <xdr:rowOff>19050</xdr:rowOff>
    </xdr:to>
    <xdr:sp macro="" textlink="Linkovi_Link_BU">
      <xdr:nvSpPr>
        <xdr:cNvPr id="22" name="Link BU">
          <a:hlinkClick xmlns:r="http://schemas.openxmlformats.org/officeDocument/2006/relationships" r:id="rId2" tooltip="02a"/>
          <a:extLst>
            <a:ext uri="{FF2B5EF4-FFF2-40B4-BE49-F238E27FC236}">
              <a16:creationId xmlns:a16="http://schemas.microsoft.com/office/drawing/2014/main" xmlns="" id="{00000000-0008-0000-0300-000016000000}"/>
            </a:ext>
          </a:extLst>
        </xdr:cNvPr>
        <xdr:cNvSpPr txBox="1"/>
      </xdr:nvSpPr>
      <xdr:spPr bwMode="auto">
        <a:xfrm>
          <a:off x="5219699" y="152400"/>
          <a:ext cx="2028825"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clientData/>
  </xdr:twoCellAnchor>
  <xdr:twoCellAnchor>
    <xdr:from>
      <xdr:col>6</xdr:col>
      <xdr:colOff>257174</xdr:colOff>
      <xdr:row>2</xdr:row>
      <xdr:rowOff>26484</xdr:rowOff>
    </xdr:from>
    <xdr:to>
      <xdr:col>11</xdr:col>
      <xdr:colOff>304800</xdr:colOff>
      <xdr:row>3</xdr:row>
      <xdr:rowOff>85725</xdr:rowOff>
    </xdr:to>
    <xdr:sp macro="" textlink="Linkovi_Link_ODGP">
      <xdr:nvSpPr>
        <xdr:cNvPr id="23" name="Link ODGP">
          <a:hlinkClick xmlns:r="http://schemas.openxmlformats.org/officeDocument/2006/relationships" r:id="rId3" tooltip="02b"/>
          <a:extLst>
            <a:ext uri="{FF2B5EF4-FFF2-40B4-BE49-F238E27FC236}">
              <a16:creationId xmlns:a16="http://schemas.microsoft.com/office/drawing/2014/main" xmlns="" id="{00000000-0008-0000-0300-000017000000}"/>
            </a:ext>
          </a:extLst>
        </xdr:cNvPr>
        <xdr:cNvSpPr txBox="1"/>
      </xdr:nvSpPr>
      <xdr:spPr bwMode="auto">
        <a:xfrm>
          <a:off x="5229224" y="350334"/>
          <a:ext cx="4572001" cy="22116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clientData/>
  </xdr:twoCellAnchor>
  <xdr:twoCellAnchor>
    <xdr:from>
      <xdr:col>8</xdr:col>
      <xdr:colOff>28575</xdr:colOff>
      <xdr:row>0</xdr:row>
      <xdr:rowOff>132084</xdr:rowOff>
    </xdr:from>
    <xdr:to>
      <xdr:col>11</xdr:col>
      <xdr:colOff>304800</xdr:colOff>
      <xdr:row>2</xdr:row>
      <xdr:rowOff>19050</xdr:rowOff>
    </xdr:to>
    <xdr:sp macro="" textlink="Linkovi_Link_BTG">
      <xdr:nvSpPr>
        <xdr:cNvPr id="24" name="Link BTG">
          <a:hlinkClick xmlns:r="http://schemas.openxmlformats.org/officeDocument/2006/relationships" r:id="rId4" tooltip="03"/>
          <a:extLst>
            <a:ext uri="{FF2B5EF4-FFF2-40B4-BE49-F238E27FC236}">
              <a16:creationId xmlns:a16="http://schemas.microsoft.com/office/drawing/2014/main" xmlns="" id="{00000000-0008-0000-0300-000018000000}"/>
            </a:ext>
          </a:extLst>
        </xdr:cNvPr>
        <xdr:cNvSpPr txBox="1"/>
      </xdr:nvSpPr>
      <xdr:spPr bwMode="auto">
        <a:xfrm>
          <a:off x="7296150" y="132084"/>
          <a:ext cx="2505075" cy="21081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clientData/>
  </xdr:twoCellAnchor>
  <xdr:twoCellAnchor>
    <xdr:from>
      <xdr:col>2</xdr:col>
      <xdr:colOff>23409</xdr:colOff>
      <xdr:row>2</xdr:row>
      <xdr:rowOff>19050</xdr:rowOff>
    </xdr:from>
    <xdr:to>
      <xdr:col>3</xdr:col>
      <xdr:colOff>533400</xdr:colOff>
      <xdr:row>3</xdr:row>
      <xdr:rowOff>76200</xdr:rowOff>
    </xdr:to>
    <xdr:sp macro="" textlink="Linkovi_Link_Aneks">
      <xdr:nvSpPr>
        <xdr:cNvPr id="25" name="Link Aneks">
          <a:hlinkClick xmlns:r="http://schemas.openxmlformats.org/officeDocument/2006/relationships" r:id="rId5" tooltip="04"/>
          <a:extLst>
            <a:ext uri="{FF2B5EF4-FFF2-40B4-BE49-F238E27FC236}">
              <a16:creationId xmlns:a16="http://schemas.microsoft.com/office/drawing/2014/main" xmlns="" id="{00000000-0008-0000-0300-000019000000}"/>
            </a:ext>
          </a:extLst>
        </xdr:cNvPr>
        <xdr:cNvSpPr txBox="1"/>
      </xdr:nvSpPr>
      <xdr:spPr bwMode="auto">
        <a:xfrm>
          <a:off x="337734" y="342900"/>
          <a:ext cx="1767291"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clientData/>
  </xdr:twoCellAnchor>
  <xdr:twoCellAnchor>
    <xdr:from>
      <xdr:col>3</xdr:col>
      <xdr:colOff>581025</xdr:colOff>
      <xdr:row>2</xdr:row>
      <xdr:rowOff>28575</xdr:rowOff>
    </xdr:from>
    <xdr:to>
      <xdr:col>6</xdr:col>
      <xdr:colOff>219075</xdr:colOff>
      <xdr:row>3</xdr:row>
      <xdr:rowOff>85725</xdr:rowOff>
    </xdr:to>
    <xdr:sp macro="" textlink="Linkovi_Link_BPK">
      <xdr:nvSpPr>
        <xdr:cNvPr id="26" name="Link BPK">
          <a:hlinkClick xmlns:r="http://schemas.openxmlformats.org/officeDocument/2006/relationships" r:id="rId6" tooltip="05"/>
          <a:extLst>
            <a:ext uri="{FF2B5EF4-FFF2-40B4-BE49-F238E27FC236}">
              <a16:creationId xmlns:a16="http://schemas.microsoft.com/office/drawing/2014/main" xmlns="" id="{00000000-0008-0000-0300-00001A000000}"/>
            </a:ext>
          </a:extLst>
        </xdr:cNvPr>
        <xdr:cNvSpPr txBox="1"/>
      </xdr:nvSpPr>
      <xdr:spPr bwMode="auto">
        <a:xfrm>
          <a:off x="2152650" y="352425"/>
          <a:ext cx="3038475"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clientData/>
  </xdr:twoCellAnchor>
  <xdr:twoCellAnchor>
    <xdr:from>
      <xdr:col>3</xdr:col>
      <xdr:colOff>542925</xdr:colOff>
      <xdr:row>0</xdr:row>
      <xdr:rowOff>142875</xdr:rowOff>
    </xdr:from>
    <xdr:to>
      <xdr:col>4</xdr:col>
      <xdr:colOff>723900</xdr:colOff>
      <xdr:row>2</xdr:row>
      <xdr:rowOff>28575</xdr:rowOff>
    </xdr:to>
    <xdr:sp macro="" textlink="Linkovi_Link_Osnovni_podaci">
      <xdr:nvSpPr>
        <xdr:cNvPr id="27" name="Link Osnovni podaci">
          <a:hlinkClick xmlns:r="http://schemas.openxmlformats.org/officeDocument/2006/relationships" r:id="rId7" tooltip="Osnovni podaci"/>
          <a:extLst>
            <a:ext uri="{FF2B5EF4-FFF2-40B4-BE49-F238E27FC236}">
              <a16:creationId xmlns:a16="http://schemas.microsoft.com/office/drawing/2014/main" xmlns="" id="{00000000-0008-0000-0300-00001B000000}"/>
            </a:ext>
          </a:extLst>
        </xdr:cNvPr>
        <xdr:cNvSpPr txBox="1"/>
      </xdr:nvSpPr>
      <xdr:spPr bwMode="auto">
        <a:xfrm>
          <a:off x="2114550" y="142875"/>
          <a:ext cx="1314450"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clientData/>
  </xdr:twoCellAnchor>
  <xdr:twoCellAnchor>
    <xdr:from>
      <xdr:col>0</xdr:col>
      <xdr:colOff>314323</xdr:colOff>
      <xdr:row>0</xdr:row>
      <xdr:rowOff>142875</xdr:rowOff>
    </xdr:from>
    <xdr:to>
      <xdr:col>3</xdr:col>
      <xdr:colOff>495299</xdr:colOff>
      <xdr:row>2</xdr:row>
      <xdr:rowOff>28575</xdr:rowOff>
    </xdr:to>
    <xdr:sp macro="" textlink="Linkovi_Link_Uputstvo">
      <xdr:nvSpPr>
        <xdr:cNvPr id="28" name="Link Uputstvo">
          <a:hlinkClick xmlns:r="http://schemas.openxmlformats.org/officeDocument/2006/relationships" r:id="rId8" tooltip="Uputstvo za popunjavanje"/>
          <a:extLst>
            <a:ext uri="{FF2B5EF4-FFF2-40B4-BE49-F238E27FC236}">
              <a16:creationId xmlns:a16="http://schemas.microsoft.com/office/drawing/2014/main" xmlns="" id="{00000000-0008-0000-0300-00001C000000}"/>
            </a:ext>
          </a:extLst>
        </xdr:cNvPr>
        <xdr:cNvSpPr txBox="1"/>
      </xdr:nvSpPr>
      <xdr:spPr bwMode="auto">
        <a:xfrm>
          <a:off x="314323" y="142875"/>
          <a:ext cx="1752601"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clientData/>
  </xdr:twoCellAnchor>
  <mc:AlternateContent xmlns:mc="http://schemas.openxmlformats.org/markup-compatibility/2006">
    <mc:Choice xmlns:a14="http://schemas.microsoft.com/office/drawing/2010/main" Requires="a14">
      <xdr:twoCellAnchor>
        <xdr:from>
          <xdr:col>2</xdr:col>
          <xdr:colOff>9525</xdr:colOff>
          <xdr:row>0</xdr:row>
          <xdr:rowOff>9525</xdr:rowOff>
        </xdr:from>
        <xdr:to>
          <xdr:col>16384</xdr:col>
          <xdr:colOff>0</xdr:colOff>
          <xdr:row>4</xdr:row>
          <xdr:rowOff>57150</xdr:rowOff>
        </xdr:to>
        <xdr:sp macro="" textlink="">
          <xdr:nvSpPr>
            <xdr:cNvPr id="29044" name="Navigacija" hidden="1">
              <a:extLst>
                <a:ext uri="{63B3BB69-23CF-44E3-9099-C40C66FF867C}">
                  <a14:compatExt spid="_x0000_s2904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xmlns=""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xmlns=""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xmlns=""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xmlns=""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xmlns=""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xmlns=""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xmlns=""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xmlns=""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xmlns="" id="{00000000-0008-0000-0500-000002000000}"/>
            </a:ext>
          </a:extLst>
        </xdr:cNvPr>
        <xdr:cNvGrpSpPr/>
      </xdr:nvGrpSpPr>
      <xdr:grpSpPr>
        <a:xfrm>
          <a:off x="257174" y="28575"/>
          <a:ext cx="9552110" cy="567104"/>
          <a:chOff x="257174" y="28575"/>
          <a:chExt cx="8943975" cy="528271"/>
        </a:xfrm>
      </xdr:grpSpPr>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xmlns=""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xmlns=""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xmlns=""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xmlns=""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xmlns=""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xmlns=""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xmlns=""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xmlns=""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xdr:from>
          <xdr:col>0</xdr:col>
          <xdr:colOff>257175</xdr:colOff>
          <xdr:row>0</xdr:row>
          <xdr:rowOff>28575</xdr:rowOff>
        </xdr:from>
        <xdr:to>
          <xdr:col>11</xdr:col>
          <xdr:colOff>381000</xdr:colOff>
          <xdr:row>3</xdr:row>
          <xdr:rowOff>114300</xdr:rowOff>
        </xdr:to>
        <xdr:sp macro="" textlink="">
          <xdr:nvSpPr>
            <xdr:cNvPr id="85669" name="Navigacija" hidden="1">
              <a:extLst>
                <a:ext uri="{63B3BB69-23CF-44E3-9099-C40C66FF867C}">
                  <a14:compatExt spid="_x0000_s8566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7.xml><?xml version="1.0" encoding="utf-8"?>
<xdr:wsDr xmlns:xdr="http://schemas.openxmlformats.org/drawingml/2006/spreadsheetDrawing" xmlns:a="http://schemas.openxmlformats.org/drawingml/2006/main">
  <xdr:twoCellAnchor editAs="absolute">
    <xdr:from>
      <xdr:col>4</xdr:col>
      <xdr:colOff>723900</xdr:colOff>
      <xdr:row>1</xdr:row>
      <xdr:rowOff>0</xdr:rowOff>
    </xdr:from>
    <xdr:to>
      <xdr:col>6</xdr:col>
      <xdr:colOff>47625</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xmlns=""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76199</xdr:colOff>
      <xdr:row>0</xdr:row>
      <xdr:rowOff>143013</xdr:rowOff>
    </xdr:from>
    <xdr:to>
      <xdr:col>7</xdr:col>
      <xdr:colOff>895349</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xmlns=""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76205</xdr:colOff>
      <xdr:row>2</xdr:row>
      <xdr:rowOff>47763</xdr:rowOff>
    </xdr:from>
    <xdr:to>
      <xdr:col>9</xdr:col>
      <xdr:colOff>400051</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xmlns=""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923925</xdr:colOff>
      <xdr:row>0</xdr:row>
      <xdr:rowOff>143012</xdr:rowOff>
    </xdr:from>
    <xdr:to>
      <xdr:col>10</xdr:col>
      <xdr:colOff>800100</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xmlns=""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152401</xdr:colOff>
      <xdr:row>2</xdr:row>
      <xdr:rowOff>47763</xdr:rowOff>
    </xdr:from>
    <xdr:to>
      <xdr:col>3</xdr:col>
      <xdr:colOff>561976</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xmlns=""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628650</xdr:colOff>
      <xdr:row>2</xdr:row>
      <xdr:rowOff>47626</xdr:rowOff>
    </xdr:from>
    <xdr:to>
      <xdr:col>6</xdr:col>
      <xdr:colOff>51456</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xmlns=""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581025</xdr:colOff>
      <xdr:row>0</xdr:row>
      <xdr:rowOff>152538</xdr:rowOff>
    </xdr:from>
    <xdr:to>
      <xdr:col>4</xdr:col>
      <xdr:colOff>676275</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xmlns=""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142880</xdr:colOff>
      <xdr:row>0</xdr:row>
      <xdr:rowOff>143013</xdr:rowOff>
    </xdr:from>
    <xdr:to>
      <xdr:col>3</xdr:col>
      <xdr:colOff>552450</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xmlns=""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12</xdr:col>
      <xdr:colOff>561975</xdr:colOff>
      <xdr:row>3</xdr:row>
      <xdr:rowOff>152400</xdr:rowOff>
    </xdr:to>
    <xdr:grpSp>
      <xdr:nvGrpSpPr>
        <xdr:cNvPr id="129020" name="Okvir Navigacija">
          <a:extLst>
            <a:ext uri="{FF2B5EF4-FFF2-40B4-BE49-F238E27FC236}">
              <a16:creationId xmlns:a16="http://schemas.microsoft.com/office/drawing/2014/main" xmlns="" id="{00000000-0008-0000-0700-0000FCF70100}"/>
            </a:ext>
          </a:extLst>
        </xdr:cNvPr>
        <xdr:cNvGrpSpPr>
          <a:grpSpLocks/>
        </xdr:cNvGrpSpPr>
      </xdr:nvGrpSpPr>
      <xdr:grpSpPr bwMode="auto">
        <a:xfrm>
          <a:off x="381000" y="47625"/>
          <a:ext cx="11706225" cy="590550"/>
          <a:chOff x="7343770" y="3809627"/>
          <a:chExt cx="7258050" cy="590549"/>
        </a:xfrm>
      </xdr:grpSpPr>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xmlns="" id="{00000000-0008-0000-07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xmlns="" id="{00000000-0008-0000-07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xmlns="" id="{00000000-0008-0000-07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xmlns="" id="{00000000-0008-0000-07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xmlns="" id="{00000000-0008-0000-07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xmlns="" id="{00000000-0008-0000-07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xmlns="" id="{00000000-0008-0000-07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xmlns="" id="{00000000-0008-0000-07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xdr:from>
          <xdr:col>1</xdr:col>
          <xdr:colOff>0</xdr:colOff>
          <xdr:row>0</xdr:row>
          <xdr:rowOff>47625</xdr:rowOff>
        </xdr:from>
        <xdr:to>
          <xdr:col>12</xdr:col>
          <xdr:colOff>561975</xdr:colOff>
          <xdr:row>3</xdr:row>
          <xdr:rowOff>152400</xdr:rowOff>
        </xdr:to>
        <xdr:sp macro="" textlink="">
          <xdr:nvSpPr>
            <xdr:cNvPr id="7723" name="Navigacija" hidden="1">
              <a:extLst>
                <a:ext uri="{63B3BB69-23CF-44E3-9099-C40C66FF867C}">
                  <a14:compatExt spid="_x0000_s772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15</xdr:col>
      <xdr:colOff>0</xdr:colOff>
      <xdr:row>2</xdr:row>
      <xdr:rowOff>57981</xdr:rowOff>
    </xdr:from>
    <xdr:to>
      <xdr:col>21</xdr:col>
      <xdr:colOff>410218</xdr:colOff>
      <xdr:row>10</xdr:row>
      <xdr:rowOff>113716</xdr:rowOff>
    </xdr:to>
    <xdr:pic>
      <xdr:nvPicPr>
        <xdr:cNvPr id="8" name="Picture 7">
          <a:extLst>
            <a:ext uri="{FF2B5EF4-FFF2-40B4-BE49-F238E27FC236}">
              <a16:creationId xmlns:a16="http://schemas.microsoft.com/office/drawing/2014/main" xmlns="" id="{00000000-0008-0000-0D00-000008000000}"/>
            </a:ext>
          </a:extLst>
        </xdr:cNvPr>
        <xdr:cNvPicPr>
          <a:picLocks noChangeAspect="1"/>
        </xdr:cNvPicPr>
      </xdr:nvPicPr>
      <xdr:blipFill>
        <a:blip xmlns:r="http://schemas.openxmlformats.org/officeDocument/2006/relationships" r:embed="rId1" cstate="print"/>
        <a:stretch>
          <a:fillRect/>
        </a:stretch>
      </xdr:blipFill>
      <xdr:spPr>
        <a:xfrm>
          <a:off x="7603435" y="596351"/>
          <a:ext cx="4800000" cy="1380952"/>
        </a:xfrm>
        <a:prstGeom prst="rect">
          <a:avLst/>
        </a:prstGeom>
      </xdr:spPr>
    </xdr:pic>
    <xdr:clientData/>
  </xdr:twoCellAnchor>
</xdr:wsDr>
</file>

<file path=xl/tables/table1.xml><?xml version="1.0" encoding="utf-8"?>
<table xmlns="http://schemas.openxmlformats.org/spreadsheetml/2006/main" id="1" name="T_Prevod" displayName="T_Prevod" ref="A1:I102" totalsRowShown="0" headerRowDxfId="212" headerRowCellStyle="Normal" dataCellStyle="Normal">
  <autoFilter ref="A1:I102"/>
  <tableColumns count="9">
    <tableColumn id="1" name="Grupa" dataCellStyle="Normal"/>
    <tableColumn id="6" name="Naziv Celije" dataCellStyle="Normal"/>
    <tableColumn id="2" name="Latinica" dataCellStyle="Normal"/>
    <tableColumn id="3" name="Ћирилица" dataCellStyle="Normal"/>
    <tableColumn id="4" name="English" dataCellStyle="Normal"/>
    <tableColumn id="9" name="Русский"/>
    <tableColumn id="5" name="Prikaz" dataDxfId="211" dataCellStyle="Normal">
      <calculatedColumnFormula>CHOOSE( ID_Jezik, C2, D2, E2,F2)</calculatedColumnFormula>
    </tableColumn>
    <tableColumn id="7" name="Kolona za pravljenje imena" dataDxfId="210" dataCellStyle="Normal">
      <calculatedColumnFormula>SUBSTITUTE(A2&amp;"_"&amp;B2," ","_")</calculatedColumnFormula>
    </tableColumn>
    <tableColumn id="8" name="Kontrola broj" dataDxfId="209" dataCellStyle="Normal">
      <calculatedColumnFormula>COUNTIF($B$2:$B$1028,"="&amp;B2)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id="56" name="T_Baza_BPK" displayName="T_Baza_BPK" ref="A1:S35" totalsRowShown="0" headerRowDxfId="43" dataDxfId="41" headerRowBorderDxfId="42" tableBorderDxfId="40" totalsRowBorderDxfId="39" headerRowCellStyle="Normal" dataCellStyle="Normal">
  <autoFilter ref="A1:S35"/>
  <tableColumns count="19">
    <tableColumn id="1" name="Id" dataDxfId="38" dataCellStyle="Normal"/>
    <tableColumn id="2" name="Bilans" dataDxfId="37" dataCellStyle="Normal">
      <calculatedColumnFormula>VLOOKUP( $A2, Aop!$A$2:$P$456, 2, 0)</calculatedColumnFormula>
    </tableColumn>
    <tableColumn id="10" name="MB" dataDxfId="36" dataCellStyle="Normal">
      <calculatedColumnFormula>Podatak_MB</calculatedColumnFormula>
    </tableColumn>
    <tableColumn id="11" name="JIB" dataDxfId="35" dataCellStyle="Normal">
      <calculatedColumnFormula>Podatak_JIB</calculatedColumnFormula>
    </tableColumn>
    <tableColumn id="17" name="Konsolidovan" dataDxfId="34" dataCellStyle="Normal">
      <calculatedColumnFormula>Konsolidovan_izvjestaj</calculatedColumnFormula>
    </tableColumn>
    <tableColumn id="3" name="AOP" dataDxfId="33" dataCellStyle="Normal">
      <calculatedColumnFormula>VLOOKUP( $A2, Aop!$A$2:$P$456, 4, 0)</calculatedColumnFormula>
    </tableColumn>
    <tableColumn id="4" name="Godina" dataDxfId="32" dataCellStyle="Normal">
      <calculatedColumnFormula>Godina</calculatedColumnFormula>
    </tableColumn>
    <tableColumn id="12" name="Datum" dataDxfId="31" dataCellStyle="Normal">
      <calculatedColumnFormula>Datum_Broj</calculatedColumnFormula>
    </tableColumn>
    <tableColumn id="5" name="Vrsta_izvjestaja" dataDxfId="30" dataCellStyle="Normal">
      <calculatedColumnFormula>ID_Izvjestaj</calculatedColumnFormula>
    </tableColumn>
    <tableColumn id="6" name="3" dataDxfId="29" dataCellStyle="Normal">
      <calculatedColumnFormula>IF(VLOOKUP($F2,INDIRECT("Lookup_"&amp;$B2),J$1-1,0)="","",VLOOKUP($F2,INDIRECT("Lookup_"&amp;$B2),J$1-1,0))</calculatedColumnFormula>
    </tableColumn>
    <tableColumn id="7" name="4" dataDxfId="28" dataCellStyle="Normal"/>
    <tableColumn id="8" name="5" dataDxfId="27" dataCellStyle="Normal"/>
    <tableColumn id="18" name="6" dataDxfId="26"/>
    <tableColumn id="19" name="7" dataDxfId="25"/>
    <tableColumn id="9" name="8" dataDxfId="24" dataCellStyle="Normal"/>
    <tableColumn id="13" name="9" dataDxfId="23" dataCellStyle="Normal"/>
    <tableColumn id="14" name="10" dataDxfId="22" dataCellStyle="Normal"/>
    <tableColumn id="15" name="11" dataDxfId="21" dataCellStyle="Normal"/>
    <tableColumn id="16" name="12" dataDxfId="20" dataCellStyle="Normal"/>
  </tableColumns>
  <tableStyleInfo name="TableStyleMedium9" showFirstColumn="0" showLastColumn="0" showRowStripes="1" showColumnStripes="0"/>
</table>
</file>

<file path=xl/tables/table11.xml><?xml version="1.0" encoding="utf-8"?>
<table xmlns="http://schemas.openxmlformats.org/spreadsheetml/2006/main" id="4" name="T_ApifImport" displayName="T_ApifImport" ref="B1:O445" totalsRowShown="0" headerRowDxfId="15" dataDxfId="14">
  <tableColumns count="14">
    <tableColumn id="1" name="Id izvještaja" dataDxfId="13">
      <calculatedColumnFormula>VLOOKUP( T_ApifImport[[#This Row],[Kolona10]], T_Bilansi[], 4, 0)</calculatedColumnFormula>
    </tableColumn>
    <tableColumn id="11" name="AOP" dataDxfId="12">
      <calculatedColumnFormula>VLOOKUP( T_ApifImport[[#This Row],[ld]], T_Aop[], 4, 0)</calculatedColumnFormula>
    </tableColumn>
    <tableColumn id="3" name="Kolona1" dataDxfId="11">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name="Kolona2" dataDxfId="10">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name="Kolona3" dataDxfId="9">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name="Kolona4" dataDxfId="8">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name="Kolona5" dataDxfId="7">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name="Kolona6" dataDxfId="6">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name="Kolona7" dataDxfId="5">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name="Kolona8" dataDxfId="4">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name="Kolona9" dataDxfId="3"/>
    <tableColumn id="12" name="Kolona10" dataDxfId="2"/>
    <tableColumn id="2" name="ld" dataDxfId="1"/>
    <tableColumn id="14" name="Bilans" dataDxfId="0"/>
  </tableColumns>
  <tableStyleInfo name="TableStyleMedium9" showFirstColumn="0" showLastColumn="0" showRowStripes="1" showColumnStripes="0"/>
</table>
</file>

<file path=xl/tables/table2.xml><?xml version="1.0" encoding="utf-8"?>
<table xmlns="http://schemas.openxmlformats.org/spreadsheetml/2006/main" id="5" name="T_Aop" displayName="T_Aop" ref="A1:P456" totalsRowShown="0" headerRowDxfId="88">
  <autoFilter ref="A1:P456"/>
  <tableColumns count="16">
    <tableColumn id="1" name="Id" dataDxfId="87">
      <calculatedColumnFormula>ROW()-ROW($A$1)</calculatedColumnFormula>
    </tableColumn>
    <tableColumn id="10" name="Bilans"/>
    <tableColumn id="2" name="Aop nivo" dataDxfId="86"/>
    <tableColumn id="4" name="AOP" dataDxfId="85"/>
    <tableColumn id="14" name="Grupa Prikaz" dataDxfId="84">
      <calculatedColumnFormula>VLOOKUP( T_Aop[[#This Row],[Id]], T_Aop[], ID_Jezik +10, 1)</calculatedColumnFormula>
    </tableColumn>
    <tableColumn id="7" name="Pozicija Prikaz" dataDxfId="83">
      <calculatedColumnFormula>REPT( "  ", T_Aop[[#This Row],[Aop nivo]]) &amp; VLOOKUP( T_Aop[[#This Row],[Id]], T_Aop[], ID_Jezik + 6, 1)</calculatedColumnFormula>
    </tableColumn>
    <tableColumn id="5" name="Pozicija Srpski - latinica" dataDxfId="82"/>
    <tableColumn id="9" name="Pozicija Srpski - cirilica" dataDxfId="81"/>
    <tableColumn id="6" name="Pozicija Engleski" dataDxfId="80"/>
    <tableColumn id="3" name="Pozicija Руски" dataDxfId="79"/>
    <tableColumn id="11" name="Grupa Sr - latinica" dataDxfId="78"/>
    <tableColumn id="12" name="Grupa Sr - cirilica" dataDxfId="77"/>
    <tableColumn id="13" name="Grupa En" dataDxfId="76"/>
    <tableColumn id="8" name="Grupa Rus" dataDxfId="75"/>
    <tableColumn id="16" name="Bold" dataDxfId="74"/>
    <tableColumn id="17" name="Visina reda" dataDxfId="73"/>
  </tableColumns>
  <tableStyleInfo name="TableStyleMedium9" showFirstColumn="0" showLastColumn="0" showRowStripes="1" showColumnStripes="0"/>
</table>
</file>

<file path=xl/tables/table3.xml><?xml version="1.0" encoding="utf-8"?>
<table xmlns="http://schemas.openxmlformats.org/spreadsheetml/2006/main" id="2" name="T_Jezik" displayName="T_Jezik" ref="B2:C6" totalsRowShown="0" headerRowCellStyle="Normal" dataCellStyle="Normal">
  <autoFilter ref="B2:C6"/>
  <tableColumns count="2">
    <tableColumn id="3" name="Jezik_Id" dataCellStyle="Normal"/>
    <tableColumn id="1" name="Jezik" dataCellStyle="Normal"/>
  </tableColumns>
  <tableStyleInfo name="TableStyleMedium9" showFirstColumn="0" showLastColumn="0" showRowStripes="1" showColumnStripes="0"/>
</table>
</file>

<file path=xl/tables/table4.xml><?xml version="1.0" encoding="utf-8"?>
<table xmlns="http://schemas.openxmlformats.org/spreadsheetml/2006/main" id="3" name="T_Vrsta_izvjestaja" displayName="T_Vrsta_izvjestaja" ref="H2:L6" totalsRowShown="0" headerRowCellStyle="Normal" dataCellStyle="Normal">
  <autoFilter ref="H2:L6"/>
  <tableColumns count="5">
    <tableColumn id="1" name="Datum izvještaja" dataDxfId="72" dataCellStyle="Normal">
      <calculatedColumnFormula>DATE(Godina, K3, L3)</calculatedColumnFormula>
    </tableColumn>
    <tableColumn id="6" name="Vrsta_Id" dataCellStyle="Normal"/>
    <tableColumn id="5" name="Vrsta izvještaja" dataCellStyle="Normal"/>
    <tableColumn id="2" name="Mjesec" dataDxfId="71" dataCellStyle="Normal"/>
    <tableColumn id="3" name="Dan" dataDxfId="70" dataCellStyle="Normal"/>
  </tableColumns>
  <tableStyleInfo name="TableStyleMedium9" showFirstColumn="0" showLastColumn="0" showRowStripes="1" showColumnStripes="0"/>
</table>
</file>

<file path=xl/tables/table5.xml><?xml version="1.0" encoding="utf-8"?>
<table xmlns="http://schemas.openxmlformats.org/spreadsheetml/2006/main" id="21" name="T_Bilansi" displayName="T_Bilansi" ref="N2:Q9" totalsRowShown="0">
  <autoFilter ref="N2:Q9"/>
  <tableColumns count="4">
    <tableColumn id="6" name="Bilans"/>
    <tableColumn id="5" name="Min Id" dataDxfId="69"/>
    <tableColumn id="1" name="Max Id"/>
    <tableColumn id="2" name="APIF_Id"/>
  </tableColumns>
  <tableStyleInfo name="TableStyleMedium9" showFirstColumn="0" showLastColumn="0" showRowStripes="1" showColumnStripes="0"/>
</table>
</file>

<file path=xl/tables/table6.xml><?xml version="1.0" encoding="utf-8"?>
<table xmlns="http://schemas.openxmlformats.org/spreadsheetml/2006/main" id="489" name="T_Misljenje" displayName="T_Misljenje" ref="E2:F6" totalsRowShown="0">
  <autoFilter ref="E2:F6"/>
  <tableColumns count="2">
    <tableColumn id="1" name="Misljenje_Id" dataDxfId="68"/>
    <tableColumn id="2" name="Opis" dataDxfId="67"/>
  </tableColumns>
  <tableStyleInfo name="TableStyleMedium9" showFirstColumn="0" showLastColumn="0" showRowStripes="1" showColumnStripes="0"/>
</table>
</file>

<file path=xl/tables/table7.xml><?xml version="1.0" encoding="utf-8"?>
<table xmlns="http://schemas.openxmlformats.org/spreadsheetml/2006/main" id="490" name="T_Datum_BPK" displayName="T_Datum_BPK" ref="S2:Y6" totalsRowShown="0">
  <autoFilter ref="S2:Y6"/>
  <tableColumns count="7">
    <tableColumn id="1" name="Opis Datum IOPK"/>
    <tableColumn id="2" name="Godina"/>
    <tableColumn id="3" name="Mjesec"/>
    <tableColumn id="4" name="Dan"/>
    <tableColumn id="5" name="Datum" dataDxfId="66">
      <calculatedColumnFormula>DATE( Godina + T3, U3, V3)</calculatedColumnFormula>
    </tableColumn>
    <tableColumn id="6" name="Datum format" dataDxfId="65">
      <calculatedColumnFormula>TEXT(W3, "dd.mm.yyyy.")</calculatedColumnFormula>
    </tableColumn>
    <tableColumn id="7" name="Datum format eng" dataDxfId="64">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id="8" name="T_ApifKolone" displayName="T_ApifKolone" ref="AA2:AD28" totalsRowShown="0">
  <autoFilter ref="AA2:AD28"/>
  <tableColumns count="4">
    <tableColumn id="4" name="LookupText" dataDxfId="63">
      <calculatedColumnFormula>CONCATENATE(T_ApifKolone[[#This Row],[Bilans]],T_ApifKolone[[#This Row],[ApifKolona]])</calculatedColumnFormula>
    </tableColumn>
    <tableColumn id="1" name="Bilans"/>
    <tableColumn id="2" name="ApifKolona"/>
    <tableColumn id="3" name="LookupBroj"/>
  </tableColumns>
  <tableStyleInfo name="TableStyleMedium9" showFirstColumn="0" showLastColumn="0" showRowStripes="1" showColumnStripes="0"/>
</table>
</file>

<file path=xl/tables/table9.xml><?xml version="1.0" encoding="utf-8"?>
<table xmlns="http://schemas.openxmlformats.org/spreadsheetml/2006/main" id="20" name="T_Baza" displayName="T_Baza" ref="A1:N444" totalsRowShown="0" headerRowDxfId="62" dataDxfId="60" headerRowBorderDxfId="61" tableBorderDxfId="59" totalsRowBorderDxfId="58" headerRowCellStyle="Normal" dataCellStyle="Normal">
  <autoFilter ref="A1:N444"/>
  <tableColumns count="14">
    <tableColumn id="1" name="Id" dataDxfId="57" dataCellStyle="Normal"/>
    <tableColumn id="2" name="Bilans" dataDxfId="56" dataCellStyle="Normal">
      <calculatedColumnFormula>VLOOKUP( $A2, Aop!$A$2:$P$456, 2, 0)</calculatedColumnFormula>
    </tableColumn>
    <tableColumn id="5" name="Vrsta_izvjestaja" dataDxfId="55" dataCellStyle="Normal">
      <calculatedColumnFormula>ID_Izvjestaj</calculatedColumnFormula>
    </tableColumn>
    <tableColumn id="10" name="MB" dataDxfId="54" dataCellStyle="Normal">
      <calculatedColumnFormula>Podatak_MB</calculatedColumnFormula>
    </tableColumn>
    <tableColumn id="11" name="JIB" dataDxfId="53" dataCellStyle="Normal">
      <calculatedColumnFormula>Podatak_JIB</calculatedColumnFormula>
    </tableColumn>
    <tableColumn id="13" name="Konsolidovan" dataDxfId="52" dataCellStyle="Normal">
      <calculatedColumnFormula>Konsolidovan_izvjestaj</calculatedColumnFormula>
    </tableColumn>
    <tableColumn id="12" name="Datum" dataDxfId="51" dataCellStyle="Normal">
      <calculatedColumnFormula>Datum_Broj</calculatedColumnFormula>
    </tableColumn>
    <tableColumn id="3" name="AOP" dataDxfId="50" dataCellStyle="Normal">
      <calculatedColumnFormula>VLOOKUP( $A2, Aop!$A$2:$P$456, 4, 0)</calculatedColumnFormula>
    </tableColumn>
    <tableColumn id="4" name="Godina" dataDxfId="49" dataCellStyle="Normal">
      <calculatedColumnFormula>Godina</calculatedColumnFormula>
    </tableColumn>
    <tableColumn id="14" name="Napomena" dataDxfId="48"/>
    <tableColumn id="6" name="Bruto" dataDxfId="47" dataCellStyle="Normal">
      <calculatedColumnFormula>IF( VLOOKUP( $H2, INDIRECT( "Lookup_" &amp; $B2), IF( LEFT( $B2, 2) = "BS", Q$2, Q$1), 0) = "", "", VLOOKUP( $H2, INDIRECT( "Lookup_" &amp; $B2), IF( $B2 = "BSa", Q$2, Q$1), 0))</calculatedColumnFormula>
    </tableColumn>
    <tableColumn id="7" name="Ispravka" dataDxfId="46" dataCellStyle="Normal">
      <calculatedColumnFormula>IF( VLOOKUP( $H2, INDIRECT( "Lookup_" &amp; $B2), IF( LEFT( $B2, 2) = "BS", R$2, R$1), 0) = "", "", VLOOKUP( $H2, INDIRECT( "Lookup_" &amp; $B2), IF( $B2 = "BSa", R$2, R$1), 0))</calculatedColumnFormula>
    </tableColumn>
    <tableColumn id="8" name="Neto" dataDxfId="45" dataCellStyle="Normal">
      <calculatedColumnFormula>IF( VLOOKUP( $H2, INDIRECT( "Lookup_" &amp; $B2), IF( LEFT( $B2, 2) = "BS", S$2, S$1), 0) = "", "", VLOOKUP( $H2, INDIRECT( "Lookup_" &amp; $B2), IF( LEFT( $B2, 2) = "BS", S$2, S$1), 0))</calculatedColumnFormula>
    </tableColumn>
    <tableColumn id="9" name="NetoPr" dataDxfId="44" dataCellStyle="Normal">
      <calculatedColumnFormula>IF( VLOOKUP( $H2, INDIRECT( "Lookup_" &amp; $B2), IF( LEFT( $B2, 2) = "BS", T$2, T$1), 0) = "", "", VLOOKUP( $H2, INDIRECT( "Lookup_" &amp; $B2), IF( LEFT( $B2, 2) = "BS", T$2, T$1),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4.xml"/><Relationship Id="rId7" Type="http://schemas.openxmlformats.org/officeDocument/2006/relationships/table" Target="../tables/table8.xml"/><Relationship Id="rId2" Type="http://schemas.openxmlformats.org/officeDocument/2006/relationships/table" Target="../tables/table3.xml"/><Relationship Id="rId1" Type="http://schemas.openxmlformats.org/officeDocument/2006/relationships/printerSettings" Target="../printerSettings/printerSettings11.bin"/><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trlProp" Target="../ctrlProps/ctrlProp12.xml"/></Relationships>
</file>

<file path=xl/worksheets/_rels/sheet9.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a">
    <tabColor rgb="FFB2B2B2"/>
    <pageSetUpPr fitToPage="1"/>
  </sheetPr>
  <dimension ref="A1:U60"/>
  <sheetViews>
    <sheetView showGridLines="0" showRowColHeaders="0" zoomScaleSheetLayoutView="85" workbookViewId="0">
      <pane ySplit="4" topLeftCell="A5" activePane="bottomLeft" state="frozen"/>
      <selection activeCell="A5" sqref="A5"/>
      <selection pane="bottomLeft" activeCell="N44" sqref="N44"/>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82" t="s">
        <v>58</v>
      </c>
      <c r="C5" s="582"/>
      <c r="D5" s="582"/>
      <c r="E5" s="582"/>
      <c r="F5" s="582"/>
      <c r="G5" s="582"/>
      <c r="H5" s="582"/>
      <c r="I5" s="582"/>
      <c r="J5" s="582"/>
      <c r="K5" s="582"/>
      <c r="L5" s="582"/>
      <c r="M5" s="582"/>
      <c r="N5" s="582"/>
      <c r="O5" s="582"/>
      <c r="P5" s="582"/>
      <c r="Q5" s="582"/>
      <c r="R5" s="582"/>
      <c r="S5" s="582"/>
      <c r="T5" s="582"/>
      <c r="U5" s="582"/>
    </row>
    <row r="6" spans="2:21" ht="18.75" x14ac:dyDescent="0.25">
      <c r="B6" s="146" t="s">
        <v>510</v>
      </c>
      <c r="C6" s="147"/>
      <c r="D6" s="147"/>
      <c r="E6" s="147"/>
      <c r="F6" s="147"/>
      <c r="G6" s="147"/>
      <c r="H6" s="147"/>
      <c r="I6" s="147"/>
      <c r="J6" s="147"/>
      <c r="K6" s="147"/>
      <c r="L6" s="147"/>
      <c r="M6" s="147"/>
      <c r="N6" s="147"/>
      <c r="O6" s="147"/>
      <c r="P6" s="147"/>
      <c r="Q6" s="147"/>
    </row>
    <row r="7" spans="2:21" ht="15" x14ac:dyDescent="0.25">
      <c r="B7" s="145" t="s">
        <v>308</v>
      </c>
      <c r="C7" s="18"/>
      <c r="D7" s="18"/>
      <c r="E7" s="18"/>
      <c r="F7" s="18"/>
      <c r="G7" s="18"/>
      <c r="H7" s="18"/>
      <c r="I7" s="18"/>
      <c r="J7" s="18"/>
      <c r="K7" s="18"/>
      <c r="L7" s="18"/>
      <c r="M7" s="18"/>
      <c r="N7" s="18"/>
      <c r="O7" s="18"/>
      <c r="P7" s="18"/>
      <c r="Q7" s="18"/>
    </row>
    <row r="8" spans="2:21" ht="15" x14ac:dyDescent="0.25">
      <c r="B8" s="450" t="s">
        <v>2903</v>
      </c>
      <c r="C8" s="451"/>
      <c r="D8" s="451"/>
      <c r="E8" s="451"/>
      <c r="F8" s="451"/>
      <c r="G8" s="451"/>
      <c r="H8" s="18"/>
      <c r="I8" s="18"/>
      <c r="J8" s="18"/>
      <c r="K8" s="18"/>
      <c r="L8" s="18"/>
      <c r="M8" s="18"/>
      <c r="N8" s="18"/>
      <c r="O8" s="18"/>
      <c r="P8" s="18"/>
      <c r="Q8" s="18"/>
    </row>
    <row r="9" spans="2:21" ht="15" x14ac:dyDescent="0.25">
      <c r="B9" s="145" t="s">
        <v>314</v>
      </c>
      <c r="C9" s="18"/>
      <c r="D9" s="18"/>
      <c r="E9" s="18"/>
      <c r="F9" s="18"/>
      <c r="G9" s="18"/>
      <c r="H9" s="18"/>
      <c r="I9" s="18"/>
      <c r="J9" s="18"/>
      <c r="K9" s="18"/>
      <c r="L9" s="18"/>
      <c r="M9" s="18"/>
      <c r="N9" s="18"/>
      <c r="O9" s="18"/>
      <c r="P9" s="18"/>
      <c r="Q9" s="18"/>
    </row>
    <row r="10" spans="2:21" ht="15" x14ac:dyDescent="0.25">
      <c r="B10" s="145" t="s">
        <v>853</v>
      </c>
      <c r="C10" s="18"/>
      <c r="D10" s="18"/>
      <c r="E10" s="18"/>
      <c r="F10" s="18"/>
      <c r="G10" s="18"/>
      <c r="H10" s="18"/>
      <c r="I10" s="18"/>
      <c r="J10" s="18"/>
      <c r="K10" s="18"/>
      <c r="L10" s="18"/>
      <c r="M10" s="18"/>
      <c r="N10" s="18"/>
      <c r="O10" s="18"/>
      <c r="P10" s="18"/>
      <c r="Q10" s="18"/>
    </row>
    <row r="11" spans="2:21" ht="15" x14ac:dyDescent="0.25">
      <c r="B11" s="145"/>
      <c r="C11" s="18"/>
      <c r="D11" s="18"/>
      <c r="E11" s="18"/>
      <c r="F11" s="18"/>
      <c r="G11" s="18"/>
      <c r="H11" s="18"/>
      <c r="I11" s="18"/>
      <c r="J11" s="18"/>
      <c r="K11" s="18"/>
      <c r="L11" s="18"/>
      <c r="M11" s="18"/>
      <c r="N11" s="18"/>
      <c r="O11" s="18"/>
      <c r="P11" s="18"/>
      <c r="Q11" s="18"/>
    </row>
    <row r="12" spans="2:21" ht="15" x14ac:dyDescent="0.25">
      <c r="B12" s="146" t="s">
        <v>512</v>
      </c>
      <c r="C12" s="18"/>
      <c r="D12" s="18"/>
      <c r="E12" s="18"/>
      <c r="F12" s="18"/>
      <c r="G12" s="18"/>
      <c r="H12" s="18"/>
      <c r="I12" s="18"/>
      <c r="J12" s="18"/>
      <c r="K12" s="18"/>
      <c r="L12" s="18"/>
      <c r="M12" s="18"/>
      <c r="N12" s="18"/>
      <c r="O12" s="18"/>
      <c r="P12" s="18"/>
      <c r="Q12" s="18"/>
    </row>
    <row r="13" spans="2:21" ht="15" x14ac:dyDescent="0.25">
      <c r="B13" s="145" t="s">
        <v>511</v>
      </c>
      <c r="C13" s="18"/>
      <c r="D13" s="18"/>
      <c r="E13" s="18"/>
      <c r="F13" s="18"/>
      <c r="G13" s="18"/>
      <c r="H13" s="18"/>
      <c r="I13" s="18"/>
      <c r="J13" s="18"/>
      <c r="K13" s="18"/>
      <c r="L13" s="18"/>
      <c r="M13" s="18"/>
      <c r="N13" s="18"/>
      <c r="O13" s="18"/>
      <c r="P13" s="18"/>
      <c r="Q13" s="18"/>
    </row>
    <row r="14" spans="2:21" ht="15" x14ac:dyDescent="0.25">
      <c r="B14" s="145"/>
      <c r="C14" s="18"/>
      <c r="D14" s="18"/>
      <c r="E14" s="18"/>
      <c r="F14" s="18"/>
      <c r="G14" s="18"/>
      <c r="H14" s="18"/>
      <c r="I14" s="18"/>
      <c r="J14" s="18"/>
      <c r="K14" s="18"/>
      <c r="L14" s="18"/>
      <c r="M14" s="18"/>
      <c r="N14" s="18"/>
      <c r="O14" s="18"/>
      <c r="P14" s="18"/>
      <c r="Q14" s="18"/>
    </row>
    <row r="15" spans="2:21" ht="15" x14ac:dyDescent="0.25">
      <c r="B15" s="226" t="s">
        <v>21</v>
      </c>
      <c r="C15" s="227"/>
      <c r="D15" s="227"/>
      <c r="E15" s="227"/>
      <c r="F15" s="227"/>
      <c r="G15" s="227"/>
      <c r="H15" s="227"/>
      <c r="I15" s="227"/>
      <c r="J15" s="227"/>
      <c r="K15" s="227"/>
      <c r="L15" s="227"/>
      <c r="M15" s="228"/>
      <c r="N15" s="18"/>
      <c r="O15" s="18"/>
      <c r="P15" s="18"/>
      <c r="Q15" s="18"/>
    </row>
    <row r="16" spans="2:21" ht="15" x14ac:dyDescent="0.25">
      <c r="B16" s="229" t="s">
        <v>25</v>
      </c>
      <c r="C16" s="140"/>
      <c r="D16" s="140"/>
      <c r="E16" s="140"/>
      <c r="F16" s="140"/>
      <c r="G16" s="140"/>
      <c r="H16" s="140"/>
      <c r="I16" s="140"/>
      <c r="J16" s="140"/>
      <c r="K16" s="140"/>
      <c r="L16" s="140"/>
      <c r="M16" s="230"/>
      <c r="N16" s="18"/>
      <c r="O16" s="18"/>
      <c r="P16" s="18"/>
      <c r="Q16" s="18"/>
    </row>
    <row r="17" spans="2:17" ht="15" x14ac:dyDescent="0.25">
      <c r="B17" s="231" t="s">
        <v>22</v>
      </c>
      <c r="C17" s="140"/>
      <c r="D17" s="140"/>
      <c r="E17" s="140"/>
      <c r="F17" s="140"/>
      <c r="G17" s="140"/>
      <c r="H17" s="140"/>
      <c r="I17" s="140"/>
      <c r="J17" s="140"/>
      <c r="K17" s="140"/>
      <c r="L17" s="140"/>
      <c r="M17" s="230"/>
      <c r="N17" s="18"/>
      <c r="O17" s="18"/>
      <c r="P17" s="18"/>
      <c r="Q17" s="18"/>
    </row>
    <row r="18" spans="2:17" ht="15" x14ac:dyDescent="0.25">
      <c r="B18" s="232" t="s">
        <v>23</v>
      </c>
      <c r="C18" s="233"/>
      <c r="D18" s="233"/>
      <c r="E18" s="233"/>
      <c r="F18" s="233"/>
      <c r="G18" s="233"/>
      <c r="H18" s="233"/>
      <c r="I18" s="233"/>
      <c r="J18" s="233"/>
      <c r="K18" s="233"/>
      <c r="L18" s="233"/>
      <c r="M18" s="234"/>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6" t="s">
        <v>16</v>
      </c>
      <c r="C20" s="18"/>
      <c r="D20" s="18"/>
      <c r="E20" s="18"/>
      <c r="F20" s="18"/>
      <c r="G20" s="18"/>
      <c r="H20" s="18"/>
      <c r="I20" s="18"/>
      <c r="J20" s="18"/>
      <c r="K20" s="18"/>
      <c r="L20" s="18"/>
      <c r="M20" s="18"/>
      <c r="N20" s="18"/>
      <c r="O20" s="18"/>
      <c r="P20" s="18"/>
      <c r="Q20" s="18"/>
    </row>
    <row r="21" spans="2:17" ht="15" x14ac:dyDescent="0.25">
      <c r="B21" s="145" t="s">
        <v>2896</v>
      </c>
      <c r="C21" s="18"/>
      <c r="D21" s="18"/>
      <c r="E21" s="18"/>
      <c r="F21" s="18"/>
      <c r="G21" s="18"/>
      <c r="H21" s="18"/>
      <c r="I21" s="18"/>
      <c r="J21" s="18"/>
      <c r="K21" s="18"/>
      <c r="L21" s="18"/>
      <c r="M21" s="18"/>
      <c r="N21" s="18"/>
      <c r="O21" s="18"/>
      <c r="P21" s="18"/>
      <c r="Q21" s="18"/>
    </row>
    <row r="22" spans="2:17" ht="15" x14ac:dyDescent="0.25">
      <c r="B22" s="145" t="s">
        <v>2897</v>
      </c>
      <c r="C22" s="18"/>
      <c r="D22" s="18"/>
      <c r="E22" s="18"/>
      <c r="F22" s="18"/>
      <c r="G22" s="18"/>
      <c r="H22" s="18"/>
      <c r="I22" s="18"/>
      <c r="J22" s="18"/>
      <c r="K22" s="18"/>
      <c r="L22" s="18"/>
      <c r="M22" s="18"/>
      <c r="N22" s="18"/>
      <c r="O22" s="18"/>
      <c r="P22" s="18"/>
      <c r="Q22" s="18"/>
    </row>
    <row r="23" spans="2:17" ht="15" x14ac:dyDescent="0.25">
      <c r="B23" s="148" t="s">
        <v>2901</v>
      </c>
      <c r="C23" s="18"/>
      <c r="D23" s="18"/>
      <c r="E23" s="18"/>
      <c r="F23" s="18"/>
      <c r="G23" s="18"/>
      <c r="H23" s="18"/>
      <c r="I23" s="18"/>
      <c r="J23" s="18"/>
      <c r="K23" s="18"/>
      <c r="L23" s="18"/>
      <c r="M23" s="18"/>
      <c r="N23" s="18"/>
      <c r="O23" s="18"/>
      <c r="P23" s="18"/>
      <c r="Q23" s="18"/>
    </row>
    <row r="24" spans="2:17" ht="15" x14ac:dyDescent="0.25">
      <c r="B24" s="145"/>
      <c r="C24" s="18"/>
      <c r="D24" s="18"/>
      <c r="E24" s="18"/>
      <c r="F24" s="18"/>
      <c r="G24" s="18"/>
      <c r="H24" s="18"/>
      <c r="I24" s="18"/>
      <c r="J24" s="18"/>
      <c r="K24" s="18"/>
      <c r="L24" s="18"/>
      <c r="M24" s="18"/>
      <c r="N24" s="18"/>
      <c r="O24" s="18"/>
      <c r="P24" s="18"/>
      <c r="Q24" s="18"/>
    </row>
    <row r="25" spans="2:17" ht="15" x14ac:dyDescent="0.25">
      <c r="B25" s="146" t="s">
        <v>17</v>
      </c>
      <c r="C25" s="18"/>
      <c r="D25" s="18"/>
      <c r="E25" s="18"/>
      <c r="F25" s="18"/>
      <c r="G25" s="18"/>
      <c r="H25" s="18"/>
      <c r="I25" s="18"/>
      <c r="J25" s="18"/>
      <c r="K25" s="18"/>
      <c r="L25" s="18"/>
      <c r="M25" s="18"/>
      <c r="N25" s="18"/>
      <c r="O25" s="18"/>
      <c r="P25" s="18"/>
      <c r="Q25" s="18"/>
    </row>
    <row r="26" spans="2:17" ht="15" x14ac:dyDescent="0.25">
      <c r="B26" s="145" t="s">
        <v>2898</v>
      </c>
      <c r="C26" s="18"/>
      <c r="D26" s="18"/>
      <c r="E26" s="18"/>
      <c r="F26" s="18"/>
      <c r="G26" s="18"/>
      <c r="H26" s="18"/>
      <c r="I26" s="18"/>
      <c r="J26" s="18"/>
      <c r="K26" s="18"/>
      <c r="L26" s="18"/>
      <c r="M26" s="18"/>
      <c r="N26" s="18"/>
      <c r="O26" s="18"/>
      <c r="P26" s="18"/>
      <c r="Q26" s="18"/>
    </row>
    <row r="27" spans="2:17" ht="15" x14ac:dyDescent="0.25">
      <c r="B27" s="145"/>
      <c r="C27" s="18"/>
      <c r="D27" s="18"/>
      <c r="E27" s="18"/>
      <c r="F27" s="18"/>
      <c r="G27" s="18"/>
      <c r="H27" s="18"/>
      <c r="I27" s="18"/>
      <c r="J27" s="18"/>
      <c r="K27" s="18"/>
      <c r="L27" s="18"/>
      <c r="M27" s="18"/>
      <c r="N27" s="18"/>
      <c r="O27" s="18"/>
      <c r="P27" s="18"/>
      <c r="Q27" s="18"/>
    </row>
    <row r="28" spans="2:17" ht="15" x14ac:dyDescent="0.25">
      <c r="B28" s="146" t="s">
        <v>513</v>
      </c>
      <c r="C28" s="18"/>
      <c r="D28" s="18"/>
      <c r="E28" s="18"/>
      <c r="F28" s="18"/>
      <c r="G28" s="18"/>
      <c r="H28" s="18"/>
      <c r="I28" s="18"/>
      <c r="J28" s="18"/>
      <c r="K28" s="18"/>
      <c r="L28" s="18"/>
      <c r="M28" s="18"/>
      <c r="N28" s="18"/>
      <c r="O28" s="18"/>
      <c r="P28" s="18"/>
      <c r="Q28" s="18"/>
    </row>
    <row r="29" spans="2:17" ht="15" x14ac:dyDescent="0.25">
      <c r="B29" s="145" t="s">
        <v>854</v>
      </c>
      <c r="C29" s="18"/>
      <c r="D29" s="18"/>
      <c r="E29" s="18"/>
      <c r="F29" s="18"/>
      <c r="G29" s="18"/>
      <c r="H29" s="18"/>
      <c r="I29" s="18"/>
      <c r="J29" s="18"/>
      <c r="K29" s="18"/>
      <c r="L29" s="18"/>
      <c r="M29" s="18"/>
      <c r="N29" s="18"/>
      <c r="O29" s="18"/>
      <c r="P29" s="18"/>
      <c r="Q29" s="18"/>
    </row>
    <row r="30" spans="2:17" ht="15" x14ac:dyDescent="0.25">
      <c r="B30" s="145"/>
      <c r="C30" s="18"/>
      <c r="D30" s="18"/>
      <c r="E30" s="18"/>
      <c r="F30" s="18"/>
      <c r="G30" s="18"/>
      <c r="H30" s="18"/>
      <c r="I30" s="18"/>
      <c r="J30" s="18"/>
      <c r="K30" s="18"/>
      <c r="L30" s="18"/>
      <c r="M30" s="18"/>
      <c r="N30" s="18"/>
      <c r="O30" s="18"/>
      <c r="P30" s="18"/>
      <c r="Q30" s="18"/>
    </row>
    <row r="31" spans="2:17" ht="15" x14ac:dyDescent="0.25">
      <c r="B31" s="146" t="s">
        <v>18</v>
      </c>
      <c r="C31" s="18"/>
      <c r="D31" s="18"/>
      <c r="E31" s="18"/>
      <c r="F31" s="18"/>
      <c r="G31" s="18"/>
      <c r="H31" s="18"/>
      <c r="I31" s="18"/>
      <c r="J31" s="18"/>
      <c r="K31" s="18"/>
      <c r="L31" s="18"/>
      <c r="M31" s="18"/>
      <c r="N31" s="18"/>
      <c r="O31" s="18"/>
      <c r="P31" s="18"/>
      <c r="Q31" s="18"/>
    </row>
    <row r="32" spans="2:17" ht="15" x14ac:dyDescent="0.25">
      <c r="B32" s="145" t="s">
        <v>2899</v>
      </c>
      <c r="C32" s="18"/>
      <c r="D32" s="18"/>
      <c r="E32" s="18"/>
      <c r="F32" s="18"/>
      <c r="G32" s="18"/>
      <c r="H32" s="18"/>
      <c r="I32" s="18"/>
      <c r="J32" s="18"/>
      <c r="K32" s="18"/>
      <c r="L32" s="18"/>
      <c r="M32" s="18"/>
      <c r="N32" s="18"/>
      <c r="O32" s="18"/>
      <c r="P32" s="18"/>
      <c r="Q32" s="18"/>
    </row>
    <row r="33" spans="2:21" ht="15" x14ac:dyDescent="0.25">
      <c r="B33" s="145"/>
      <c r="C33" s="18"/>
      <c r="D33" s="18"/>
      <c r="E33" s="18"/>
      <c r="F33" s="18"/>
      <c r="G33" s="18"/>
      <c r="H33" s="18"/>
      <c r="I33" s="18"/>
      <c r="J33" s="18"/>
      <c r="K33" s="18"/>
      <c r="L33" s="18"/>
      <c r="M33" s="18"/>
      <c r="N33" s="18"/>
      <c r="O33" s="18"/>
      <c r="P33" s="18"/>
      <c r="Q33" s="18"/>
    </row>
    <row r="34" spans="2:21" ht="15" x14ac:dyDescent="0.25">
      <c r="B34" s="146" t="s">
        <v>134</v>
      </c>
      <c r="C34" s="18"/>
      <c r="D34" s="18"/>
      <c r="E34" s="18"/>
      <c r="F34" s="18"/>
      <c r="G34" s="18"/>
      <c r="H34" s="18"/>
      <c r="I34" s="18"/>
      <c r="J34" s="18"/>
      <c r="K34" s="18"/>
      <c r="L34" s="18"/>
      <c r="M34" s="18"/>
      <c r="N34" s="18"/>
      <c r="O34" s="18"/>
      <c r="P34" s="18"/>
      <c r="Q34" s="18"/>
    </row>
    <row r="35" spans="2:21" ht="15" x14ac:dyDescent="0.25">
      <c r="B35" s="145" t="s">
        <v>855</v>
      </c>
      <c r="C35" s="18"/>
      <c r="D35" s="18"/>
      <c r="E35" s="18"/>
      <c r="F35" s="18"/>
      <c r="G35" s="18"/>
      <c r="H35" s="18"/>
      <c r="I35" s="18"/>
      <c r="J35" s="18"/>
      <c r="K35" s="18"/>
      <c r="L35" s="18"/>
      <c r="M35" s="18"/>
      <c r="N35" s="18"/>
      <c r="O35" s="18"/>
      <c r="P35" s="18"/>
      <c r="Q35" s="18"/>
    </row>
    <row r="36" spans="2:21" ht="15" x14ac:dyDescent="0.25">
      <c r="B36" s="145"/>
      <c r="C36" s="18"/>
      <c r="D36" s="18"/>
      <c r="E36" s="18"/>
      <c r="F36" s="18"/>
      <c r="G36" s="18"/>
      <c r="H36" s="18"/>
      <c r="I36" s="18"/>
      <c r="J36" s="18"/>
      <c r="K36" s="18"/>
      <c r="L36" s="18"/>
      <c r="M36" s="18"/>
      <c r="N36" s="18"/>
      <c r="O36" s="18"/>
      <c r="P36" s="18"/>
      <c r="Q36" s="18"/>
    </row>
    <row r="37" spans="2:21" ht="15" x14ac:dyDescent="0.25">
      <c r="B37" s="146" t="s">
        <v>514</v>
      </c>
      <c r="C37" s="18"/>
      <c r="D37" s="18"/>
      <c r="E37" s="18"/>
      <c r="F37" s="18"/>
      <c r="G37" s="18"/>
      <c r="H37" s="18"/>
      <c r="I37" s="18"/>
      <c r="J37" s="18"/>
      <c r="K37" s="18"/>
      <c r="L37" s="18"/>
      <c r="M37" s="18"/>
      <c r="N37" s="18"/>
      <c r="O37" s="18"/>
      <c r="P37" s="18"/>
      <c r="Q37" s="18"/>
    </row>
    <row r="38" spans="2:21" ht="15" x14ac:dyDescent="0.25">
      <c r="B38" s="145" t="s">
        <v>31</v>
      </c>
      <c r="C38" s="18"/>
      <c r="D38" s="18"/>
      <c r="E38" s="18"/>
      <c r="F38" s="18"/>
      <c r="G38" s="18"/>
      <c r="H38" s="18"/>
      <c r="I38" s="18"/>
      <c r="J38" s="18"/>
      <c r="K38" s="18"/>
      <c r="L38" s="18"/>
      <c r="M38" s="18"/>
      <c r="N38" s="18"/>
      <c r="O38" s="18"/>
      <c r="P38" s="18"/>
      <c r="Q38" s="18"/>
    </row>
    <row r="39" spans="2:21" ht="15" x14ac:dyDescent="0.25">
      <c r="B39" s="145" t="s">
        <v>57</v>
      </c>
      <c r="C39" s="18"/>
      <c r="D39" s="18"/>
      <c r="E39" s="18"/>
      <c r="F39" s="18"/>
      <c r="G39" s="18"/>
      <c r="H39" s="18"/>
      <c r="I39" s="18"/>
      <c r="J39" s="18"/>
      <c r="K39" s="18"/>
      <c r="L39" s="18"/>
      <c r="M39" s="18"/>
      <c r="N39" s="18"/>
      <c r="O39" s="18"/>
      <c r="P39" s="18"/>
      <c r="Q39" s="18"/>
    </row>
    <row r="40" spans="2:21" ht="15" x14ac:dyDescent="0.25">
      <c r="B40" s="145" t="s">
        <v>2902</v>
      </c>
      <c r="C40" s="18"/>
      <c r="D40" s="18"/>
      <c r="E40" s="18"/>
      <c r="F40" s="18"/>
      <c r="G40" s="18"/>
      <c r="H40" s="18"/>
      <c r="I40" s="18"/>
      <c r="J40" s="18"/>
      <c r="K40" s="18"/>
      <c r="L40" s="18"/>
      <c r="M40" s="18"/>
      <c r="N40" s="18"/>
      <c r="O40" s="18"/>
      <c r="P40" s="18"/>
      <c r="Q40" s="18"/>
    </row>
    <row r="41" spans="2:21" ht="15" x14ac:dyDescent="0.25">
      <c r="B41" s="145" t="s">
        <v>2900</v>
      </c>
      <c r="C41" s="18"/>
      <c r="D41" s="18"/>
      <c r="E41" s="18"/>
      <c r="F41" s="18"/>
      <c r="G41" s="18"/>
      <c r="H41" s="18"/>
      <c r="I41" s="18"/>
      <c r="J41" s="18"/>
      <c r="K41" s="18"/>
      <c r="L41" s="18"/>
      <c r="M41" s="18"/>
      <c r="N41" s="18"/>
      <c r="O41" s="18"/>
      <c r="P41" s="18"/>
      <c r="Q41" s="18"/>
    </row>
    <row r="42" spans="2:21" ht="15" x14ac:dyDescent="0.25">
      <c r="B42" s="145"/>
      <c r="C42" s="18"/>
      <c r="D42" s="18"/>
      <c r="E42" s="18"/>
      <c r="F42" s="18"/>
      <c r="G42" s="18"/>
      <c r="H42" s="18"/>
      <c r="I42" s="18"/>
      <c r="J42" s="18"/>
      <c r="K42" s="18"/>
      <c r="L42" s="18"/>
      <c r="M42" s="18"/>
      <c r="N42" s="18"/>
      <c r="O42" s="18"/>
      <c r="P42" s="18"/>
      <c r="Q42" s="18"/>
    </row>
    <row r="43" spans="2:21" ht="15" x14ac:dyDescent="0.25">
      <c r="B43" s="146" t="s">
        <v>786</v>
      </c>
      <c r="C43" s="18"/>
      <c r="D43" s="18"/>
      <c r="E43" s="18"/>
      <c r="F43" s="18"/>
      <c r="G43" s="18"/>
      <c r="H43" s="18"/>
      <c r="I43" s="18"/>
      <c r="J43" s="18"/>
      <c r="K43" s="18"/>
      <c r="L43" s="18"/>
      <c r="M43" s="18"/>
      <c r="N43" s="18"/>
      <c r="O43" s="18"/>
      <c r="P43" s="18"/>
      <c r="Q43" s="18"/>
    </row>
    <row r="44" spans="2:21" ht="45" x14ac:dyDescent="0.2">
      <c r="B44" s="222" t="s">
        <v>789</v>
      </c>
      <c r="C44" s="222" t="s">
        <v>787</v>
      </c>
      <c r="D44" s="222" t="s">
        <v>788</v>
      </c>
      <c r="E44" s="18"/>
      <c r="F44" s="18"/>
      <c r="G44" s="18"/>
      <c r="H44" s="18"/>
      <c r="I44" s="18"/>
      <c r="J44" s="18"/>
      <c r="K44" s="18"/>
      <c r="L44" s="18"/>
      <c r="M44" s="18"/>
      <c r="N44" s="18"/>
      <c r="O44" s="18"/>
      <c r="P44" s="18"/>
      <c r="Q44" s="18"/>
    </row>
    <row r="45" spans="2:21" ht="15" x14ac:dyDescent="0.25">
      <c r="B45" s="225" t="s">
        <v>772</v>
      </c>
      <c r="C45" s="223">
        <f>--(VLOOKUP( 66, Lookup_BSa,5, 0) = VLOOKUP( 169, Lookup_BSp, 5, 0))</f>
        <v>1</v>
      </c>
      <c r="D45" s="223">
        <f>--(VLOOKUP( 66, Lookup_BSa, 6, 0) = VLOOKUP( 169, Lookup_BSp, 6, 0))</f>
        <v>1</v>
      </c>
      <c r="E45" s="221" t="s">
        <v>3047</v>
      </c>
      <c r="F45" s="18"/>
      <c r="G45" s="18"/>
      <c r="H45" s="18"/>
      <c r="I45" s="18"/>
      <c r="J45" s="18"/>
      <c r="K45" s="18"/>
      <c r="L45" s="18"/>
      <c r="O45" s="18"/>
      <c r="P45" s="18"/>
      <c r="Q45" s="18"/>
      <c r="S45" s="18"/>
      <c r="T45" s="18"/>
      <c r="U45" s="18"/>
    </row>
    <row r="46" spans="2:21" ht="15" x14ac:dyDescent="0.25">
      <c r="B46" s="225" t="s">
        <v>773</v>
      </c>
      <c r="C46" s="223">
        <f>--(VLOOKUP( 67, Lookup_BSa, 5, 0) = VLOOKUP( 170, Lookup_BSp, 5, 0))</f>
        <v>1</v>
      </c>
      <c r="D46" s="223">
        <f>--(VLOOKUP( 67, Lookup_BSa, 6, 0) = VLOOKUP( 170, Lookup_BSp, 6, 0))</f>
        <v>1</v>
      </c>
      <c r="E46" s="221" t="s">
        <v>3048</v>
      </c>
      <c r="F46" s="18"/>
      <c r="G46" s="18"/>
      <c r="H46" s="18"/>
      <c r="I46" s="18"/>
      <c r="J46" s="18"/>
      <c r="K46" s="18"/>
      <c r="L46" s="18"/>
      <c r="O46" s="18"/>
      <c r="P46" s="18"/>
      <c r="Q46" s="18"/>
      <c r="S46" s="18"/>
      <c r="T46" s="18"/>
      <c r="U46" s="18"/>
    </row>
    <row r="47" spans="2:21" ht="15" x14ac:dyDescent="0.25">
      <c r="B47" s="225" t="s">
        <v>774</v>
      </c>
      <c r="C47" s="223">
        <f>--(VLOOKUP( 316, Lookup_BUa,3, 0) = VLOOKUP( 126, Lookup_BSp, 5, 0))</f>
        <v>0</v>
      </c>
      <c r="D47" s="223">
        <f>IF(ID_Izvjestaj=4,--(VLOOKUP( 316, Lookup_BUa,4, 0) = VLOOKUP( 126, Lookup_BSp, 6, 0)),"")</f>
        <v>0</v>
      </c>
      <c r="E47" s="221" t="s">
        <v>3049</v>
      </c>
      <c r="F47" s="18"/>
      <c r="G47" s="18"/>
      <c r="H47" s="18"/>
      <c r="I47" s="18"/>
      <c r="J47" s="18"/>
      <c r="K47" s="18"/>
      <c r="L47" s="18"/>
      <c r="O47" s="18"/>
      <c r="P47" s="18"/>
      <c r="Q47" s="18"/>
      <c r="S47" s="18"/>
      <c r="T47" s="18"/>
      <c r="U47" s="18"/>
    </row>
    <row r="48" spans="2:21" ht="15" x14ac:dyDescent="0.25">
      <c r="B48" s="225" t="s">
        <v>775</v>
      </c>
      <c r="C48" s="223">
        <f>--(VLOOKUP( 317, Lookup_BUa,3, 0) = VLOOKUP( 130, Lookup_BSp, 5, 0))</f>
        <v>1</v>
      </c>
      <c r="D48" s="223">
        <f>IF(ID_Izvjestaj=4,--(VLOOKUP( 317, Lookup_BUa,4, 0) = VLOOKUP( 130, Lookup_BSp, 6, 0)),"")</f>
        <v>1</v>
      </c>
      <c r="E48" s="221" t="s">
        <v>3050</v>
      </c>
      <c r="F48" s="18"/>
      <c r="G48" s="18"/>
      <c r="H48" s="18"/>
      <c r="I48" s="18"/>
      <c r="J48" s="18"/>
      <c r="K48" s="18"/>
      <c r="L48" s="18"/>
      <c r="O48" s="18"/>
      <c r="P48" s="18"/>
      <c r="Q48" s="18"/>
      <c r="S48" s="18"/>
      <c r="T48" s="18"/>
      <c r="U48" s="18"/>
    </row>
    <row r="49" spans="1:21" ht="15" x14ac:dyDescent="0.25">
      <c r="B49" s="225" t="s">
        <v>776</v>
      </c>
      <c r="C49" s="223">
        <f>--(VLOOKUP( 568, Lookup_BTG, 3, 0) = VLOOKUP( 61, Lookup_BSa, 5, 0))</f>
        <v>1</v>
      </c>
      <c r="D49" s="223">
        <f>IF(ID_Izvjestaj=4,--(VLOOKUP( 568, Lookup_BTG, 4, 0) = VLOOKUP( 61, Lookup_BSa, 6, 0)),"")</f>
        <v>1</v>
      </c>
      <c r="E49" s="221" t="s">
        <v>3051</v>
      </c>
      <c r="F49" s="18"/>
      <c r="G49" s="18"/>
      <c r="H49" s="18"/>
      <c r="I49" s="18"/>
      <c r="J49" s="18"/>
      <c r="K49" s="18"/>
      <c r="L49" s="18"/>
      <c r="O49" s="18"/>
      <c r="P49" s="18"/>
      <c r="Q49" s="18"/>
      <c r="S49" s="18"/>
      <c r="T49" s="18"/>
      <c r="U49" s="18"/>
    </row>
    <row r="50" spans="1:21" ht="15" x14ac:dyDescent="0.25">
      <c r="B50" s="225" t="s">
        <v>777</v>
      </c>
      <c r="C50" s="224"/>
      <c r="D50" s="223">
        <f>--( IF( VLOOKUP( 101, Lookup_BSp, 6, 0) &gt; 0, VLOOKUP( 913, Lookup_BPK,  9, 0) = VLOOKUP( 101, Lookup_BSp, 6, 0), TRUE))</f>
        <v>0</v>
      </c>
      <c r="E50" s="221" t="s">
        <v>3052</v>
      </c>
      <c r="F50" s="18"/>
      <c r="G50" s="18"/>
      <c r="H50" s="18"/>
      <c r="I50" s="18"/>
      <c r="J50" s="18"/>
      <c r="K50" s="18"/>
      <c r="L50" s="18"/>
      <c r="O50" s="18"/>
      <c r="P50" s="18"/>
      <c r="Q50" s="18"/>
      <c r="S50" s="18"/>
      <c r="T50" s="18"/>
      <c r="U50" s="18"/>
    </row>
    <row r="51" spans="1:21" ht="15" x14ac:dyDescent="0.25">
      <c r="B51" s="225" t="s">
        <v>778</v>
      </c>
      <c r="C51" s="223">
        <f>--( IF( VLOOKUP( 101, Lookup_BSp, 5, 0) &gt; 0, VLOOKUP( 925, Lookup_BPK, 9, 0) = VLOOKUP( 101, Lookup_BSp, 5, 0), TRUE))</f>
        <v>1</v>
      </c>
      <c r="D51" s="223"/>
      <c r="E51" s="221" t="s">
        <v>2582</v>
      </c>
      <c r="F51" s="18"/>
      <c r="G51" s="18"/>
      <c r="H51" s="18"/>
      <c r="I51" s="18"/>
      <c r="J51" s="18"/>
      <c r="K51" s="18"/>
      <c r="L51" s="18"/>
      <c r="O51" s="18"/>
      <c r="P51" s="18"/>
      <c r="Q51" s="18"/>
      <c r="S51" s="18"/>
      <c r="T51" s="18"/>
      <c r="U51" s="18"/>
    </row>
    <row r="52" spans="1:21" ht="15" x14ac:dyDescent="0.25">
      <c r="B52" s="145"/>
      <c r="C52" s="18"/>
      <c r="D52" s="18"/>
      <c r="E52" s="18"/>
      <c r="F52" s="18"/>
      <c r="G52" s="18"/>
      <c r="H52" s="18"/>
      <c r="I52" s="18"/>
      <c r="J52" s="18"/>
      <c r="K52" s="18"/>
      <c r="L52" s="18"/>
      <c r="O52" s="18"/>
      <c r="P52" s="18"/>
      <c r="Q52" s="18"/>
      <c r="S52" s="18"/>
      <c r="T52" s="18"/>
      <c r="U52" s="18"/>
    </row>
    <row r="53" spans="1:21" ht="15" x14ac:dyDescent="0.25">
      <c r="B53" s="146" t="s">
        <v>856</v>
      </c>
      <c r="E53" s="18"/>
      <c r="F53" s="18"/>
      <c r="G53" s="18"/>
      <c r="H53" s="18"/>
      <c r="I53" s="18"/>
      <c r="J53" s="18"/>
      <c r="K53" s="18"/>
      <c r="L53" s="18"/>
      <c r="O53" s="18"/>
      <c r="P53" s="18"/>
      <c r="Q53" s="18"/>
      <c r="S53" s="18"/>
      <c r="T53" s="18"/>
      <c r="U53" s="18"/>
    </row>
    <row r="54" spans="1:21" ht="15" x14ac:dyDescent="0.25">
      <c r="B54" s="145" t="s">
        <v>790</v>
      </c>
      <c r="E54" s="18"/>
      <c r="F54" s="18"/>
      <c r="G54" s="18"/>
      <c r="H54" s="18"/>
      <c r="I54" s="18"/>
      <c r="J54" s="18"/>
      <c r="K54" s="18"/>
      <c r="L54" s="18"/>
      <c r="O54" s="18"/>
      <c r="P54" s="18"/>
      <c r="Q54" s="18"/>
      <c r="S54" s="18"/>
      <c r="T54" s="18"/>
      <c r="U54" s="18"/>
    </row>
    <row r="55" spans="1:21" ht="15" x14ac:dyDescent="0.25">
      <c r="A55" s="8" t="s">
        <v>888</v>
      </c>
      <c r="B55" s="145"/>
      <c r="G55" s="18"/>
      <c r="H55" s="18"/>
      <c r="I55" s="18"/>
      <c r="J55" s="18"/>
      <c r="K55" s="18"/>
      <c r="L55" s="18"/>
      <c r="O55" s="18"/>
      <c r="P55" s="18"/>
      <c r="Q55" s="18"/>
      <c r="S55" s="18"/>
      <c r="T55" s="18"/>
      <c r="U55" s="18"/>
    </row>
    <row r="56" spans="1:21" x14ac:dyDescent="0.2">
      <c r="G56" s="18"/>
      <c r="H56" s="18"/>
      <c r="I56" s="18"/>
      <c r="J56" s="18"/>
      <c r="K56" s="18"/>
      <c r="L56" s="18"/>
      <c r="O56" s="18"/>
      <c r="P56" s="18"/>
      <c r="Q56" s="18"/>
      <c r="S56" s="18"/>
      <c r="T56" s="18"/>
      <c r="U56" s="18"/>
    </row>
    <row r="57" spans="1:21" ht="15" x14ac:dyDescent="0.25">
      <c r="B57" s="146" t="s">
        <v>3039</v>
      </c>
      <c r="C57" s="146"/>
      <c r="D57" s="146"/>
      <c r="E57" s="146"/>
      <c r="F57" s="146"/>
      <c r="G57" s="18"/>
      <c r="H57" s="18"/>
      <c r="I57" s="18"/>
      <c r="J57" s="18"/>
      <c r="K57" s="18"/>
      <c r="L57" s="18"/>
      <c r="M57" s="18"/>
      <c r="N57" s="18"/>
      <c r="O57" s="18"/>
      <c r="P57" s="18"/>
      <c r="Q57" s="18"/>
    </row>
    <row r="58" spans="1:21" x14ac:dyDescent="0.2">
      <c r="M58" s="18"/>
      <c r="N58" s="18"/>
      <c r="O58" s="18"/>
      <c r="P58" s="18"/>
      <c r="Q58" s="18"/>
    </row>
    <row r="59" spans="1:21" x14ac:dyDescent="0.2">
      <c r="M59" s="18"/>
      <c r="N59" s="18"/>
      <c r="O59" s="18"/>
      <c r="P59" s="18"/>
      <c r="Q59" s="18"/>
    </row>
    <row r="60" spans="1:21" x14ac:dyDescent="0.2">
      <c r="M60" s="18"/>
      <c r="N60" s="18"/>
      <c r="O60" s="18"/>
      <c r="P60" s="18"/>
    </row>
  </sheetData>
  <sheetProtection sheet="1" objects="1" scenarios="1"/>
  <mergeCells count="1">
    <mergeCell ref="B5:U5"/>
  </mergeCells>
  <phoneticPr fontId="3" type="noConversion"/>
  <conditionalFormatting sqref="C45:D51">
    <cfRule type="expression" dxfId="268" priority="1" stopIfTrue="1">
      <formula>C45=0</formula>
    </cfRule>
  </conditionalFormatting>
  <pageMargins left="0.39370078740157483" right="0.39370078740157483" top="0.39370078740157483" bottom="0.39370078740157483" header="0.51181102362204722" footer="0.51181102362204722"/>
  <pageSetup paperSize="9" scale="61"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P456"/>
  <sheetViews>
    <sheetView showGridLines="0" showRowColHeaders="0" workbookViewId="0">
      <pane xSplit="5" ySplit="1" topLeftCell="F423" activePane="bottomRight" state="frozen"/>
      <selection activeCell="C12" sqref="C12:O12"/>
      <selection pane="topRight" activeCell="C12" sqref="C12:O12"/>
      <selection pane="bottomLeft" activeCell="C12" sqref="C12:O12"/>
      <selection pane="bottomRight" activeCell="H433" sqref="H433"/>
    </sheetView>
  </sheetViews>
  <sheetFormatPr defaultRowHeight="12.75" x14ac:dyDescent="0.2"/>
  <cols>
    <col min="1" max="1" width="8" customWidth="1"/>
    <col min="2" max="2" width="8.5703125" customWidth="1"/>
    <col min="3" max="3" width="10.140625" customWidth="1"/>
    <col min="4" max="4" width="7.140625" customWidth="1"/>
    <col min="5" max="5" width="18.5703125" customWidth="1"/>
    <col min="6" max="6" width="147.140625" customWidth="1"/>
    <col min="7" max="7" width="112.28515625" style="309" customWidth="1"/>
    <col min="8" max="8" width="57.7109375" style="309" customWidth="1"/>
    <col min="9" max="9" width="73" style="309" customWidth="1"/>
    <col min="10" max="10" width="67.85546875" style="309" customWidth="1"/>
    <col min="11" max="13" width="19.7109375" style="307" customWidth="1"/>
    <col min="14" max="14" width="19.7109375" style="308" customWidth="1"/>
    <col min="17" max="16384" width="9.140625" style="106"/>
  </cols>
  <sheetData>
    <row r="1" spans="1:16" ht="25.5" customHeight="1" x14ac:dyDescent="0.2">
      <c r="A1" s="375" t="s">
        <v>123</v>
      </c>
      <c r="B1" s="375" t="s">
        <v>249</v>
      </c>
      <c r="C1" s="375" t="s">
        <v>248</v>
      </c>
      <c r="D1" s="375" t="s">
        <v>74</v>
      </c>
      <c r="E1" s="376" t="s">
        <v>312</v>
      </c>
      <c r="F1" s="376" t="s">
        <v>254</v>
      </c>
      <c r="G1" s="377" t="s">
        <v>251</v>
      </c>
      <c r="H1" s="377" t="s">
        <v>252</v>
      </c>
      <c r="I1" s="377" t="s">
        <v>253</v>
      </c>
      <c r="J1" s="377" t="s">
        <v>2580</v>
      </c>
      <c r="K1" s="377" t="s">
        <v>769</v>
      </c>
      <c r="L1" s="377" t="s">
        <v>770</v>
      </c>
      <c r="M1" s="377" t="s">
        <v>771</v>
      </c>
      <c r="N1" s="378" t="s">
        <v>2319</v>
      </c>
      <c r="O1" s="375" t="s">
        <v>759</v>
      </c>
      <c r="P1" s="375" t="s">
        <v>760</v>
      </c>
    </row>
    <row r="2" spans="1:16" ht="36.75" customHeight="1" x14ac:dyDescent="0.2">
      <c r="A2">
        <f t="shared" ref="A2:A65" si="0">ROW()-ROW($A$1)</f>
        <v>1</v>
      </c>
      <c r="B2" t="s">
        <v>873</v>
      </c>
      <c r="C2">
        <v>1</v>
      </c>
      <c r="D2" s="239">
        <v>1</v>
      </c>
      <c r="E2" s="2">
        <f>VLOOKUP( T_Aop[[#This Row],[Id]], T_Aop[], ID_Jezik +10, 1)</f>
        <v>0</v>
      </c>
      <c r="F2" t="str">
        <f>REPT( "  ", T_Aop[[#This Row],[Aop nivo]]) &amp; VLOOKUP( T_Aop[[#This Row],[Id]], T_Aop[], ID_Jezik + 6, 1)</f>
        <v xml:space="preserve">  BILANSNA AKTIVA
A. STALNA SREDSTVA (002+008+015+016+017+022+034)</v>
      </c>
      <c r="G2" s="299" t="s">
        <v>2912</v>
      </c>
      <c r="H2" s="299" t="s">
        <v>2913</v>
      </c>
      <c r="I2" s="299" t="s">
        <v>2914</v>
      </c>
      <c r="J2" s="299" t="s">
        <v>2915</v>
      </c>
      <c r="K2" s="374">
        <v>0</v>
      </c>
      <c r="L2" s="374">
        <v>0</v>
      </c>
      <c r="O2" s="10">
        <v>1</v>
      </c>
      <c r="P2" s="10"/>
    </row>
    <row r="3" spans="1:16" x14ac:dyDescent="0.2">
      <c r="A3">
        <f t="shared" si="0"/>
        <v>2</v>
      </c>
      <c r="B3" t="s">
        <v>873</v>
      </c>
      <c r="C3">
        <v>1</v>
      </c>
      <c r="D3" s="239">
        <v>2</v>
      </c>
      <c r="E3" s="2" t="str">
        <f>VLOOKUP( T_Aop[[#This Row],[Id]], T_Aop[], ID_Jezik +10, 1)</f>
        <v>01</v>
      </c>
      <c r="F3" t="str">
        <f>REPT( "  ", T_Aop[[#This Row],[Aop nivo]]) &amp; VLOOKUP( T_Aop[[#This Row],[Id]], T_Aop[], ID_Jezik + 6, 1)</f>
        <v xml:space="preserve">  I  NEMATERIJALNA SREDSTVA  (003 do 007)</v>
      </c>
      <c r="G3" s="300" t="s">
        <v>1149</v>
      </c>
      <c r="H3" s="300" t="s">
        <v>1107</v>
      </c>
      <c r="I3" s="309" t="s">
        <v>2944</v>
      </c>
      <c r="J3" s="320" t="s">
        <v>2089</v>
      </c>
      <c r="K3" s="393" t="s">
        <v>344</v>
      </c>
      <c r="L3" s="286" t="s">
        <v>344</v>
      </c>
      <c r="M3" s="310" t="s">
        <v>344</v>
      </c>
      <c r="N3" s="285" t="s">
        <v>344</v>
      </c>
      <c r="O3" s="10">
        <v>1</v>
      </c>
      <c r="P3" s="10"/>
    </row>
    <row r="4" spans="1:16" x14ac:dyDescent="0.2">
      <c r="A4">
        <f t="shared" si="0"/>
        <v>3</v>
      </c>
      <c r="B4" t="s">
        <v>873</v>
      </c>
      <c r="C4">
        <v>2</v>
      </c>
      <c r="D4" s="239">
        <v>3</v>
      </c>
      <c r="E4" s="2" t="str">
        <f>VLOOKUP( T_Aop[[#This Row],[Id]], T_Aop[], ID_Jezik +10, 1)</f>
        <v>010, dio 019</v>
      </c>
      <c r="F4" t="str">
        <f>REPT( "  ", T_Aop[[#This Row],[Aop nivo]]) &amp; VLOOKUP( T_Aop[[#This Row],[Id]], T_Aop[], ID_Jezik + 6, 1)</f>
        <v xml:space="preserve">    1. Ulaganja u razvoj</v>
      </c>
      <c r="G4" s="309" t="s">
        <v>1150</v>
      </c>
      <c r="H4" s="299" t="s">
        <v>1124</v>
      </c>
      <c r="I4" s="309" t="s">
        <v>2827</v>
      </c>
      <c r="J4" s="395" t="s">
        <v>2090</v>
      </c>
      <c r="K4" s="394" t="s">
        <v>641</v>
      </c>
      <c r="L4" s="288" t="s">
        <v>642</v>
      </c>
      <c r="M4" s="310" t="s">
        <v>643</v>
      </c>
      <c r="N4" s="274" t="s">
        <v>2374</v>
      </c>
      <c r="O4" s="10"/>
      <c r="P4" s="10"/>
    </row>
    <row r="5" spans="1:16" x14ac:dyDescent="0.2">
      <c r="A5">
        <f t="shared" si="0"/>
        <v>4</v>
      </c>
      <c r="B5" t="s">
        <v>873</v>
      </c>
      <c r="C5">
        <v>2</v>
      </c>
      <c r="D5" s="239">
        <v>4</v>
      </c>
      <c r="E5" s="2" t="str">
        <f>VLOOKUP( T_Aop[[#This Row],[Id]], T_Aop[], ID_Jezik +10, 1)</f>
        <v>011, 013 dio 019</v>
      </c>
      <c r="F5" t="str">
        <f>REPT( "  ", T_Aop[[#This Row],[Aop nivo]]) &amp; VLOOKUP( T_Aop[[#This Row],[Id]], T_Aop[], ID_Jezik + 6, 1)</f>
        <v xml:space="preserve">    2. Koncesije, patenti, licence, softver i ostala prava</v>
      </c>
      <c r="G5" s="309" t="s">
        <v>1151</v>
      </c>
      <c r="H5" s="300" t="s">
        <v>883</v>
      </c>
      <c r="I5" s="309" t="s">
        <v>2828</v>
      </c>
      <c r="J5" s="395" t="s">
        <v>2091</v>
      </c>
      <c r="K5" s="394" t="s">
        <v>918</v>
      </c>
      <c r="L5" s="287" t="s">
        <v>889</v>
      </c>
      <c r="M5" s="310" t="s">
        <v>1077</v>
      </c>
      <c r="N5" s="274" t="s">
        <v>2375</v>
      </c>
      <c r="O5" s="10"/>
      <c r="P5" s="10"/>
    </row>
    <row r="6" spans="1:16" x14ac:dyDescent="0.2">
      <c r="A6">
        <f t="shared" si="0"/>
        <v>5</v>
      </c>
      <c r="B6" t="s">
        <v>873</v>
      </c>
      <c r="C6">
        <v>2</v>
      </c>
      <c r="D6" s="239">
        <v>5</v>
      </c>
      <c r="E6" s="2" t="str">
        <f>VLOOKUP( T_Aop[[#This Row],[Id]], T_Aop[], ID_Jezik +10, 1)</f>
        <v>012, dio 019</v>
      </c>
      <c r="F6" t="str">
        <f>REPT( "  ", T_Aop[[#This Row],[Aop nivo]]) &amp; VLOOKUP( T_Aop[[#This Row],[Id]], T_Aop[], ID_Jezik + 6, 1)</f>
        <v xml:space="preserve">    3. Goodwill</v>
      </c>
      <c r="G6" s="309" t="s">
        <v>1152</v>
      </c>
      <c r="H6" s="299" t="s">
        <v>1125</v>
      </c>
      <c r="I6" s="309" t="s">
        <v>1152</v>
      </c>
      <c r="J6" s="395" t="s">
        <v>1152</v>
      </c>
      <c r="K6" s="394" t="s">
        <v>644</v>
      </c>
      <c r="L6" s="287" t="s">
        <v>645</v>
      </c>
      <c r="M6" s="310" t="s">
        <v>646</v>
      </c>
      <c r="N6" s="274" t="s">
        <v>2376</v>
      </c>
      <c r="O6" s="10"/>
      <c r="P6" s="10"/>
    </row>
    <row r="7" spans="1:16" x14ac:dyDescent="0.2">
      <c r="A7">
        <f t="shared" si="0"/>
        <v>6</v>
      </c>
      <c r="B7" t="s">
        <v>873</v>
      </c>
      <c r="C7">
        <v>2</v>
      </c>
      <c r="D7" s="239">
        <v>6</v>
      </c>
      <c r="E7" s="2" t="str">
        <f>VLOOKUP( T_Aop[[#This Row],[Id]], T_Aop[], ID_Jezik +10, 1)</f>
        <v>014, dio 019</v>
      </c>
      <c r="F7" t="str">
        <f>REPT( "  ", T_Aop[[#This Row],[Aop nivo]]) &amp; VLOOKUP( T_Aop[[#This Row],[Id]], T_Aop[], ID_Jezik + 6, 1)</f>
        <v xml:space="preserve">    4. Ostala nematerijalna sredstva</v>
      </c>
      <c r="G7" s="309" t="s">
        <v>1153</v>
      </c>
      <c r="H7" s="300" t="s">
        <v>1127</v>
      </c>
      <c r="I7" s="309" t="s">
        <v>2829</v>
      </c>
      <c r="J7" s="395" t="s">
        <v>2092</v>
      </c>
      <c r="K7" s="394" t="s">
        <v>647</v>
      </c>
      <c r="L7" s="287" t="s">
        <v>648</v>
      </c>
      <c r="M7" s="310" t="s">
        <v>649</v>
      </c>
      <c r="N7" s="274" t="s">
        <v>2377</v>
      </c>
      <c r="O7" s="10"/>
      <c r="P7" s="10"/>
    </row>
    <row r="8" spans="1:16" x14ac:dyDescent="0.2">
      <c r="A8">
        <f t="shared" si="0"/>
        <v>7</v>
      </c>
      <c r="B8" t="s">
        <v>873</v>
      </c>
      <c r="C8">
        <v>2</v>
      </c>
      <c r="D8" s="239">
        <v>7</v>
      </c>
      <c r="E8" s="2" t="str">
        <f>VLOOKUP( T_Aop[[#This Row],[Id]], T_Aop[], ID_Jezik +10, 1)</f>
        <v>015, 016, dio 019</v>
      </c>
      <c r="F8" t="str">
        <f>REPT( "  ", T_Aop[[#This Row],[Aop nivo]]) &amp; VLOOKUP( T_Aop[[#This Row],[Id]], T_Aop[], ID_Jezik + 6, 1)</f>
        <v xml:space="preserve">    5. Avansi i nematerijalna sredstva u pripremi </v>
      </c>
      <c r="G8" s="309" t="s">
        <v>1154</v>
      </c>
      <c r="H8" s="299" t="s">
        <v>1126</v>
      </c>
      <c r="I8" s="309" t="s">
        <v>2830</v>
      </c>
      <c r="J8" s="395" t="s">
        <v>2093</v>
      </c>
      <c r="K8" s="394" t="s">
        <v>650</v>
      </c>
      <c r="L8" s="287" t="s">
        <v>2885</v>
      </c>
      <c r="M8" s="310" t="s">
        <v>651</v>
      </c>
      <c r="N8" s="274" t="s">
        <v>2378</v>
      </c>
      <c r="O8" s="10"/>
      <c r="P8" s="10"/>
    </row>
    <row r="9" spans="1:16" x14ac:dyDescent="0.2">
      <c r="A9">
        <f t="shared" si="0"/>
        <v>8</v>
      </c>
      <c r="B9" t="s">
        <v>873</v>
      </c>
      <c r="C9">
        <v>1</v>
      </c>
      <c r="D9" s="239">
        <v>8</v>
      </c>
      <c r="E9" s="2" t="str">
        <f>VLOOKUP( T_Aop[[#This Row],[Id]], T_Aop[], ID_Jezik +10, 1)</f>
        <v>02</v>
      </c>
      <c r="F9" t="str">
        <f>REPT( "  ", T_Aop[[#This Row],[Aop nivo]]) &amp; VLOOKUP( T_Aop[[#This Row],[Id]], T_Aop[], ID_Jezik + 6, 1)</f>
        <v xml:space="preserve">  II  NEKRETNINE, POSTROJENJA I OPREMA (009 do 014) </v>
      </c>
      <c r="G9" s="300" t="s">
        <v>2920</v>
      </c>
      <c r="H9" s="300" t="s">
        <v>1108</v>
      </c>
      <c r="I9" s="309" t="s">
        <v>2943</v>
      </c>
      <c r="J9" s="395" t="s">
        <v>2094</v>
      </c>
      <c r="K9" s="393" t="s">
        <v>345</v>
      </c>
      <c r="L9" s="286" t="s">
        <v>345</v>
      </c>
      <c r="M9" s="310" t="s">
        <v>345</v>
      </c>
      <c r="N9" s="285" t="s">
        <v>345</v>
      </c>
      <c r="O9" s="10">
        <v>1</v>
      </c>
      <c r="P9" s="10"/>
    </row>
    <row r="10" spans="1:16" x14ac:dyDescent="0.2">
      <c r="A10">
        <f t="shared" si="0"/>
        <v>9</v>
      </c>
      <c r="B10" t="s">
        <v>873</v>
      </c>
      <c r="C10">
        <v>2</v>
      </c>
      <c r="D10" s="239">
        <v>9</v>
      </c>
      <c r="E10" s="2" t="str">
        <f>VLOOKUP( T_Aop[[#This Row],[Id]], T_Aop[], ID_Jezik +10, 1)</f>
        <v>020, dio 029</v>
      </c>
      <c r="F10" t="str">
        <f>REPT( "  ", T_Aop[[#This Row],[Aop nivo]]) &amp; VLOOKUP( T_Aop[[#This Row],[Id]], T_Aop[], ID_Jezik + 6, 1)</f>
        <v xml:space="preserve">    1. Zemljište</v>
      </c>
      <c r="G10" s="309" t="s">
        <v>1155</v>
      </c>
      <c r="H10" s="299" t="s">
        <v>1128</v>
      </c>
      <c r="I10" s="309" t="s">
        <v>2834</v>
      </c>
      <c r="J10" s="395" t="s">
        <v>2095</v>
      </c>
      <c r="K10" s="394" t="s">
        <v>652</v>
      </c>
      <c r="L10" s="287" t="s">
        <v>653</v>
      </c>
      <c r="M10" s="310" t="s">
        <v>654</v>
      </c>
      <c r="N10" s="274" t="s">
        <v>2379</v>
      </c>
      <c r="O10" s="10"/>
      <c r="P10" s="10"/>
    </row>
    <row r="11" spans="1:16" x14ac:dyDescent="0.2">
      <c r="A11">
        <f t="shared" si="0"/>
        <v>10</v>
      </c>
      <c r="B11" t="s">
        <v>873</v>
      </c>
      <c r="C11">
        <v>2</v>
      </c>
      <c r="D11" s="239">
        <v>10</v>
      </c>
      <c r="E11" s="2" t="str">
        <f>VLOOKUP( T_Aop[[#This Row],[Id]], T_Aop[], ID_Jezik +10, 1)</f>
        <v>021, dio 029</v>
      </c>
      <c r="F11" t="str">
        <f>REPT( "  ", T_Aop[[#This Row],[Aop nivo]]) &amp; VLOOKUP( T_Aop[[#This Row],[Id]], T_Aop[], ID_Jezik + 6, 1)</f>
        <v xml:space="preserve">    2. Građevinski objekti</v>
      </c>
      <c r="G11" s="309" t="s">
        <v>1156</v>
      </c>
      <c r="H11" s="300" t="s">
        <v>1129</v>
      </c>
      <c r="I11" s="309" t="s">
        <v>2835</v>
      </c>
      <c r="J11" s="395" t="s">
        <v>2096</v>
      </c>
      <c r="K11" s="394" t="s">
        <v>655</v>
      </c>
      <c r="L11" s="287" t="s">
        <v>656</v>
      </c>
      <c r="M11" s="310" t="s">
        <v>657</v>
      </c>
      <c r="N11" s="274" t="s">
        <v>2380</v>
      </c>
      <c r="O11" s="10"/>
      <c r="P11" s="10"/>
    </row>
    <row r="12" spans="1:16" x14ac:dyDescent="0.2">
      <c r="A12">
        <f t="shared" si="0"/>
        <v>11</v>
      </c>
      <c r="B12" t="s">
        <v>873</v>
      </c>
      <c r="C12">
        <v>2</v>
      </c>
      <c r="D12" s="239">
        <v>11</v>
      </c>
      <c r="E12" s="2" t="str">
        <f>VLOOKUP( T_Aop[[#This Row],[Id]], T_Aop[], ID_Jezik +10, 1)</f>
        <v>022, dio 029</v>
      </c>
      <c r="F12" t="str">
        <f>REPT( "  ", T_Aop[[#This Row],[Aop nivo]]) &amp; VLOOKUP( T_Aop[[#This Row],[Id]], T_Aop[], ID_Jezik + 6, 1)</f>
        <v xml:space="preserve">    3. Postrojenja i oprema</v>
      </c>
      <c r="G12" s="309" t="s">
        <v>1157</v>
      </c>
      <c r="H12" s="299" t="s">
        <v>1130</v>
      </c>
      <c r="I12" s="309" t="s">
        <v>2836</v>
      </c>
      <c r="J12" s="395" t="s">
        <v>2097</v>
      </c>
      <c r="K12" s="394" t="s">
        <v>658</v>
      </c>
      <c r="L12" s="287" t="s">
        <v>659</v>
      </c>
      <c r="M12" s="310" t="s">
        <v>660</v>
      </c>
      <c r="N12" s="274" t="s">
        <v>2381</v>
      </c>
      <c r="O12" s="10"/>
      <c r="P12" s="10"/>
    </row>
    <row r="13" spans="1:16" x14ac:dyDescent="0.2">
      <c r="A13">
        <f t="shared" si="0"/>
        <v>12</v>
      </c>
      <c r="B13" t="s">
        <v>873</v>
      </c>
      <c r="C13">
        <v>2</v>
      </c>
      <c r="D13" s="239">
        <v>12</v>
      </c>
      <c r="E13" s="2" t="str">
        <f>VLOOKUP( T_Aop[[#This Row],[Id]], T_Aop[], ID_Jezik +10, 1)</f>
        <v>023, dio 029</v>
      </c>
      <c r="F13" t="str">
        <f>REPT( "  ", T_Aop[[#This Row],[Aop nivo]]) &amp; VLOOKUP( T_Aop[[#This Row],[Id]], T_Aop[], ID_Jezik + 6, 1)</f>
        <v xml:space="preserve">    4. Ostale nekretnine, postrojenja i oprema</v>
      </c>
      <c r="G13" s="309" t="s">
        <v>1158</v>
      </c>
      <c r="H13" s="300" t="s">
        <v>1131</v>
      </c>
      <c r="I13" s="309" t="s">
        <v>2837</v>
      </c>
      <c r="J13" s="395" t="s">
        <v>2098</v>
      </c>
      <c r="K13" s="394" t="s">
        <v>661</v>
      </c>
      <c r="L13" s="287" t="s">
        <v>662</v>
      </c>
      <c r="M13" s="310" t="s">
        <v>663</v>
      </c>
      <c r="N13" s="274" t="s">
        <v>2382</v>
      </c>
      <c r="O13" s="10"/>
      <c r="P13" s="10"/>
    </row>
    <row r="14" spans="1:16" x14ac:dyDescent="0.2">
      <c r="A14">
        <f t="shared" si="0"/>
        <v>13</v>
      </c>
      <c r="B14" t="s">
        <v>873</v>
      </c>
      <c r="C14">
        <v>2</v>
      </c>
      <c r="D14" s="239">
        <v>13</v>
      </c>
      <c r="E14" s="2" t="str">
        <f>VLOOKUP( T_Aop[[#This Row],[Id]], T_Aop[], ID_Jezik +10, 1)</f>
        <v>024, dio 029</v>
      </c>
      <c r="F14" t="str">
        <f>REPT( "  ", T_Aop[[#This Row],[Aop nivo]]) &amp; VLOOKUP( T_Aop[[#This Row],[Id]], T_Aop[], ID_Jezik + 6, 1)</f>
        <v xml:space="preserve">    5. Ulaganje na tuđim nekretninama, postrojenjima i opremi</v>
      </c>
      <c r="G14" s="309" t="s">
        <v>1159</v>
      </c>
      <c r="H14" s="299" t="s">
        <v>1132</v>
      </c>
      <c r="I14" s="309" t="s">
        <v>2838</v>
      </c>
      <c r="J14" s="395" t="s">
        <v>2099</v>
      </c>
      <c r="K14" s="394" t="s">
        <v>664</v>
      </c>
      <c r="L14" s="287" t="s">
        <v>665</v>
      </c>
      <c r="M14" s="310" t="s">
        <v>666</v>
      </c>
      <c r="N14" s="274" t="s">
        <v>2383</v>
      </c>
      <c r="O14" s="10"/>
      <c r="P14" s="10"/>
    </row>
    <row r="15" spans="1:16" x14ac:dyDescent="0.2">
      <c r="A15">
        <f t="shared" si="0"/>
        <v>14</v>
      </c>
      <c r="B15" t="s">
        <v>873</v>
      </c>
      <c r="C15">
        <v>2</v>
      </c>
      <c r="D15" s="239">
        <v>14</v>
      </c>
      <c r="E15" s="2" t="str">
        <f>VLOOKUP( T_Aop[[#This Row],[Id]], T_Aop[], ID_Jezik +10, 1)</f>
        <v>025, 026, dio 029</v>
      </c>
      <c r="F15" t="str">
        <f>REPT( "  ", T_Aop[[#This Row],[Aop nivo]]) &amp; VLOOKUP( T_Aop[[#This Row],[Id]], T_Aop[], ID_Jezik + 6, 1)</f>
        <v xml:space="preserve">    6. Avansi i nekretnine, postrojenja i opremu u pripremi</v>
      </c>
      <c r="G15" s="309" t="s">
        <v>1160</v>
      </c>
      <c r="H15" s="300" t="s">
        <v>1133</v>
      </c>
      <c r="I15" s="309" t="s">
        <v>2839</v>
      </c>
      <c r="J15" s="395" t="s">
        <v>2100</v>
      </c>
      <c r="K15" s="394" t="s">
        <v>919</v>
      </c>
      <c r="L15" s="287" t="s">
        <v>890</v>
      </c>
      <c r="M15" s="310" t="s">
        <v>1078</v>
      </c>
      <c r="N15" s="274" t="s">
        <v>2384</v>
      </c>
      <c r="O15" s="10"/>
      <c r="P15" s="10"/>
    </row>
    <row r="16" spans="1:16" x14ac:dyDescent="0.2">
      <c r="A16">
        <f t="shared" si="0"/>
        <v>15</v>
      </c>
      <c r="B16" t="s">
        <v>873</v>
      </c>
      <c r="C16">
        <v>1</v>
      </c>
      <c r="D16" s="239">
        <v>15</v>
      </c>
      <c r="E16" s="2" t="str">
        <f>VLOOKUP( T_Aop[[#This Row],[Id]], T_Aop[], ID_Jezik +10, 1)</f>
        <v>03</v>
      </c>
      <c r="F16" t="str">
        <f>REPT( "  ", T_Aop[[#This Row],[Aop nivo]]) &amp; VLOOKUP( T_Aop[[#This Row],[Id]], T_Aop[], ID_Jezik + 6, 1)</f>
        <v xml:space="preserve">  III INVESTICIONE NEKRETNINE</v>
      </c>
      <c r="G16" s="300" t="s">
        <v>1161</v>
      </c>
      <c r="H16" s="299" t="s">
        <v>1110</v>
      </c>
      <c r="I16" s="309" t="s">
        <v>1833</v>
      </c>
      <c r="J16" s="395" t="s">
        <v>2101</v>
      </c>
      <c r="K16" s="394" t="s">
        <v>346</v>
      </c>
      <c r="L16" s="288" t="s">
        <v>346</v>
      </c>
      <c r="M16" s="310" t="s">
        <v>346</v>
      </c>
      <c r="N16" s="285" t="s">
        <v>346</v>
      </c>
      <c r="O16" s="10"/>
      <c r="P16" s="10"/>
    </row>
    <row r="17" spans="1:16" x14ac:dyDescent="0.2">
      <c r="A17">
        <f t="shared" si="0"/>
        <v>16</v>
      </c>
      <c r="B17" t="s">
        <v>873</v>
      </c>
      <c r="C17">
        <v>1</v>
      </c>
      <c r="D17" s="239">
        <v>16</v>
      </c>
      <c r="E17" s="2" t="str">
        <f>VLOOKUP( T_Aop[[#This Row],[Id]], T_Aop[], ID_Jezik +10, 1)</f>
        <v>04</v>
      </c>
      <c r="F17" t="str">
        <f>REPT( "  ", T_Aop[[#This Row],[Aop nivo]]) &amp; VLOOKUP( T_Aop[[#This Row],[Id]], T_Aop[], ID_Jezik + 6, 1)</f>
        <v xml:space="preserve">  IV SREDSTVA UZETA U ZAKUP </v>
      </c>
      <c r="G17" s="300" t="s">
        <v>1162</v>
      </c>
      <c r="H17" s="300" t="s">
        <v>1111</v>
      </c>
      <c r="I17" s="309" t="s">
        <v>1100</v>
      </c>
      <c r="J17" s="395" t="s">
        <v>2102</v>
      </c>
      <c r="K17" s="394" t="s">
        <v>347</v>
      </c>
      <c r="L17" s="288" t="s">
        <v>347</v>
      </c>
      <c r="M17" s="310" t="s">
        <v>347</v>
      </c>
      <c r="N17" s="285" t="s">
        <v>347</v>
      </c>
      <c r="O17" s="10"/>
      <c r="P17" s="10"/>
    </row>
    <row r="18" spans="1:16" x14ac:dyDescent="0.2">
      <c r="A18">
        <f t="shared" si="0"/>
        <v>17</v>
      </c>
      <c r="B18" t="s">
        <v>873</v>
      </c>
      <c r="C18">
        <v>1</v>
      </c>
      <c r="D18" s="239">
        <v>17</v>
      </c>
      <c r="E18" s="2" t="str">
        <f>VLOOKUP( T_Aop[[#This Row],[Id]], T_Aop[], ID_Jezik +10, 1)</f>
        <v>05</v>
      </c>
      <c r="F18" t="str">
        <f>REPT( "  ", T_Aop[[#This Row],[Aop nivo]]) &amp; VLOOKUP( T_Aop[[#This Row],[Id]], T_Aop[], ID_Jezik + 6, 1)</f>
        <v xml:space="preserve">  V BIOLOŠKA SREDSTVA   (018 do 021)</v>
      </c>
      <c r="G18" s="300" t="s">
        <v>1163</v>
      </c>
      <c r="H18" s="299" t="s">
        <v>1112</v>
      </c>
      <c r="I18" s="309" t="s">
        <v>1101</v>
      </c>
      <c r="J18" s="395" t="s">
        <v>2103</v>
      </c>
      <c r="K18" s="394" t="s">
        <v>920</v>
      </c>
      <c r="L18" s="288" t="s">
        <v>920</v>
      </c>
      <c r="M18" s="310" t="s">
        <v>920</v>
      </c>
      <c r="N18" s="285" t="s">
        <v>920</v>
      </c>
      <c r="O18" s="10">
        <v>1</v>
      </c>
      <c r="P18" s="10"/>
    </row>
    <row r="19" spans="1:16" x14ac:dyDescent="0.2">
      <c r="A19">
        <f t="shared" si="0"/>
        <v>18</v>
      </c>
      <c r="B19" t="s">
        <v>873</v>
      </c>
      <c r="C19">
        <v>2</v>
      </c>
      <c r="D19" s="239">
        <v>18</v>
      </c>
      <c r="E19" s="2" t="str">
        <f>VLOOKUP( T_Aop[[#This Row],[Id]], T_Aop[], ID_Jezik +10, 1)</f>
        <v>050, dio 059</v>
      </c>
      <c r="F19" t="str">
        <f>REPT( "  ", T_Aop[[#This Row],[Aop nivo]]) &amp; VLOOKUP( T_Aop[[#This Row],[Id]], T_Aop[], ID_Jezik + 6, 1)</f>
        <v xml:space="preserve">    1. Šume</v>
      </c>
      <c r="G19" s="309" t="s">
        <v>1164</v>
      </c>
      <c r="H19" s="300" t="s">
        <v>1134</v>
      </c>
      <c r="I19" s="309" t="s">
        <v>2840</v>
      </c>
      <c r="J19" s="395" t="s">
        <v>2104</v>
      </c>
      <c r="K19" s="394" t="s">
        <v>921</v>
      </c>
      <c r="L19" s="287" t="s">
        <v>891</v>
      </c>
      <c r="M19" s="310" t="s">
        <v>1079</v>
      </c>
      <c r="N19" s="274" t="s">
        <v>2385</v>
      </c>
      <c r="O19" s="10"/>
      <c r="P19" s="10"/>
    </row>
    <row r="20" spans="1:16" x14ac:dyDescent="0.2">
      <c r="A20">
        <f t="shared" si="0"/>
        <v>19</v>
      </c>
      <c r="B20" t="s">
        <v>873</v>
      </c>
      <c r="C20">
        <v>2</v>
      </c>
      <c r="D20" s="239">
        <v>19</v>
      </c>
      <c r="E20" s="2" t="str">
        <f>VLOOKUP( T_Aop[[#This Row],[Id]], T_Aop[], ID_Jezik +10, 1)</f>
        <v>051, dio 059</v>
      </c>
      <c r="F20" t="str">
        <f>REPT( "  ", T_Aop[[#This Row],[Aop nivo]]) &amp; VLOOKUP( T_Aop[[#This Row],[Id]], T_Aop[], ID_Jezik + 6, 1)</f>
        <v xml:space="preserve">    2. Višegodišnji zasadi</v>
      </c>
      <c r="G20" s="309" t="s">
        <v>1165</v>
      </c>
      <c r="H20" s="299" t="s">
        <v>1135</v>
      </c>
      <c r="I20" s="309" t="s">
        <v>2831</v>
      </c>
      <c r="J20" s="395" t="s">
        <v>2105</v>
      </c>
      <c r="K20" s="394" t="s">
        <v>922</v>
      </c>
      <c r="L20" s="287" t="s">
        <v>892</v>
      </c>
      <c r="M20" s="310" t="s">
        <v>1080</v>
      </c>
      <c r="N20" s="274" t="s">
        <v>2386</v>
      </c>
      <c r="O20" s="10"/>
      <c r="P20" s="10"/>
    </row>
    <row r="21" spans="1:16" x14ac:dyDescent="0.2">
      <c r="A21">
        <f t="shared" si="0"/>
        <v>20</v>
      </c>
      <c r="B21" t="s">
        <v>873</v>
      </c>
      <c r="C21">
        <v>2</v>
      </c>
      <c r="D21" s="239">
        <v>20</v>
      </c>
      <c r="E21" s="2" t="str">
        <f>VLOOKUP( T_Aop[[#This Row],[Id]], T_Aop[], ID_Jezik +10, 1)</f>
        <v>052, 053 dio 059</v>
      </c>
      <c r="F21" t="str">
        <f>REPT( "  ", T_Aop[[#This Row],[Aop nivo]]) &amp; VLOOKUP( T_Aop[[#This Row],[Id]], T_Aop[], ID_Jezik + 6, 1)</f>
        <v xml:space="preserve">    3. Osnovno stado i ostala biološka sredstva</v>
      </c>
      <c r="G21" s="309" t="s">
        <v>1166</v>
      </c>
      <c r="H21" s="300" t="s">
        <v>1136</v>
      </c>
      <c r="I21" s="309" t="s">
        <v>2832</v>
      </c>
      <c r="J21" s="395" t="s">
        <v>2106</v>
      </c>
      <c r="K21" s="394" t="s">
        <v>923</v>
      </c>
      <c r="L21" s="287" t="s">
        <v>893</v>
      </c>
      <c r="M21" s="310" t="s">
        <v>1081</v>
      </c>
      <c r="N21" s="274" t="s">
        <v>2387</v>
      </c>
      <c r="O21" s="10"/>
      <c r="P21" s="10"/>
    </row>
    <row r="22" spans="1:16" x14ac:dyDescent="0.2">
      <c r="A22">
        <f t="shared" si="0"/>
        <v>21</v>
      </c>
      <c r="B22" t="s">
        <v>873</v>
      </c>
      <c r="C22">
        <v>2</v>
      </c>
      <c r="D22" s="239">
        <v>21</v>
      </c>
      <c r="E22" s="2" t="str">
        <f>VLOOKUP( T_Aop[[#This Row],[Id]], T_Aop[], ID_Jezik +10, 1)</f>
        <v>055, 056 i dio 059</v>
      </c>
      <c r="F22" t="str">
        <f>REPT( "  ", T_Aop[[#This Row],[Aop nivo]]) &amp; VLOOKUP( T_Aop[[#This Row],[Id]], T_Aop[], ID_Jezik + 6, 1)</f>
        <v xml:space="preserve">    4. Avansi i biološka sredstva u pripremi </v>
      </c>
      <c r="G22" s="309" t="s">
        <v>1167</v>
      </c>
      <c r="H22" s="299" t="s">
        <v>1137</v>
      </c>
      <c r="I22" s="309" t="s">
        <v>2833</v>
      </c>
      <c r="J22" s="395" t="s">
        <v>2107</v>
      </c>
      <c r="K22" s="394" t="s">
        <v>924</v>
      </c>
      <c r="L22" s="287" t="s">
        <v>894</v>
      </c>
      <c r="M22" s="310" t="s">
        <v>1082</v>
      </c>
      <c r="N22" s="274" t="s">
        <v>2388</v>
      </c>
      <c r="O22" s="10"/>
      <c r="P22" s="10"/>
    </row>
    <row r="23" spans="1:16" ht="12.75" customHeight="1" x14ac:dyDescent="0.2">
      <c r="A23">
        <f t="shared" si="0"/>
        <v>22</v>
      </c>
      <c r="B23" t="s">
        <v>873</v>
      </c>
      <c r="C23">
        <v>1</v>
      </c>
      <c r="D23" s="239">
        <v>22</v>
      </c>
      <c r="E23" s="2">
        <f>VLOOKUP( T_Aop[[#This Row],[Id]], T_Aop[], ID_Jezik +10, 1)</f>
        <v>6</v>
      </c>
      <c r="F23" t="str">
        <f>REPT( "  ", T_Aop[[#This Row],[Aop nivo]]) &amp; VLOOKUP( T_Aop[[#This Row],[Id]], T_Aop[], ID_Jezik + 6, 1)</f>
        <v xml:space="preserve">  VI  DUGOROČNI FINANSIJSKI PLASMANI (023+024+025+030+033)</v>
      </c>
      <c r="G23" s="300" t="s">
        <v>1168</v>
      </c>
      <c r="H23" s="300" t="s">
        <v>1109</v>
      </c>
      <c r="I23" s="309" t="s">
        <v>2942</v>
      </c>
      <c r="J23" s="395" t="s">
        <v>2108</v>
      </c>
      <c r="K23" s="393">
        <v>6</v>
      </c>
      <c r="L23" s="287">
        <v>6</v>
      </c>
      <c r="M23" s="310">
        <v>6</v>
      </c>
      <c r="N23" s="285" t="s">
        <v>2389</v>
      </c>
      <c r="O23" s="10">
        <v>1</v>
      </c>
      <c r="P23" s="10"/>
    </row>
    <row r="24" spans="1:16" x14ac:dyDescent="0.2">
      <c r="A24">
        <f t="shared" si="0"/>
        <v>23</v>
      </c>
      <c r="B24" t="s">
        <v>873</v>
      </c>
      <c r="C24">
        <v>2</v>
      </c>
      <c r="D24" s="239">
        <v>23</v>
      </c>
      <c r="E24" s="2" t="str">
        <f>VLOOKUP( T_Aop[[#This Row],[Id]], T_Aop[], ID_Jezik +10, 1)</f>
        <v>060, dio 069</v>
      </c>
      <c r="F24" t="str">
        <f>REPT( "  ", T_Aop[[#This Row],[Aop nivo]]) &amp; VLOOKUP( T_Aop[[#This Row],[Id]], T_Aop[], ID_Jezik + 6, 1)</f>
        <v xml:space="preserve">    1. Učešće u kapitalu zavisnih subjekata</v>
      </c>
      <c r="G24" s="309" t="s">
        <v>1169</v>
      </c>
      <c r="H24" s="299" t="s">
        <v>1138</v>
      </c>
      <c r="I24" s="309" t="s">
        <v>2817</v>
      </c>
      <c r="J24" s="395" t="s">
        <v>2109</v>
      </c>
      <c r="K24" s="394" t="s">
        <v>925</v>
      </c>
      <c r="L24" s="287" t="s">
        <v>895</v>
      </c>
      <c r="M24" s="310" t="s">
        <v>1083</v>
      </c>
      <c r="N24" s="274" t="s">
        <v>2390</v>
      </c>
      <c r="O24" s="10"/>
      <c r="P24" s="10"/>
    </row>
    <row r="25" spans="1:16" ht="12.75" customHeight="1" x14ac:dyDescent="0.2">
      <c r="A25">
        <f t="shared" si="0"/>
        <v>24</v>
      </c>
      <c r="B25" t="s">
        <v>873</v>
      </c>
      <c r="C25">
        <v>2</v>
      </c>
      <c r="D25" s="239">
        <v>24</v>
      </c>
      <c r="E25" s="2" t="str">
        <f>VLOOKUP( T_Aop[[#This Row],[Id]], T_Aop[], ID_Jezik +10, 1)</f>
        <v>061, dio 069</v>
      </c>
      <c r="F25" t="str">
        <f>REPT( "  ", T_Aop[[#This Row],[Aop nivo]]) &amp; VLOOKUP( T_Aop[[#This Row],[Id]], T_Aop[], ID_Jezik + 6, 1)</f>
        <v xml:space="preserve">    2. Učešće u kapitalu pridruženih subjekata i zajedničkih poduhvata</v>
      </c>
      <c r="G25" s="309" t="s">
        <v>1170</v>
      </c>
      <c r="H25" s="300" t="s">
        <v>1139</v>
      </c>
      <c r="I25" s="309" t="s">
        <v>2818</v>
      </c>
      <c r="J25" s="395" t="s">
        <v>2110</v>
      </c>
      <c r="K25" s="394" t="s">
        <v>2584</v>
      </c>
      <c r="L25" s="287" t="s">
        <v>896</v>
      </c>
      <c r="M25" s="310" t="s">
        <v>2585</v>
      </c>
      <c r="N25" s="274" t="s">
        <v>2391</v>
      </c>
      <c r="O25" s="10"/>
      <c r="P25" s="10"/>
    </row>
    <row r="26" spans="1:16" ht="15" customHeight="1" x14ac:dyDescent="0.2">
      <c r="A26">
        <f t="shared" si="0"/>
        <v>25</v>
      </c>
      <c r="B26" t="s">
        <v>873</v>
      </c>
      <c r="C26">
        <v>2</v>
      </c>
      <c r="D26" s="239">
        <v>25</v>
      </c>
      <c r="E26" s="2" t="str">
        <f>VLOOKUP( T_Aop[[#This Row],[Id]], T_Aop[], ID_Jezik +10, 1)</f>
        <v>dio 06</v>
      </c>
      <c r="F26" t="str">
        <f>REPT( "  ", T_Aop[[#This Row],[Aop nivo]]) &amp; VLOOKUP( T_Aop[[#This Row],[Id]], T_Aop[], ID_Jezik + 6, 1)</f>
        <v xml:space="preserve">    3. Finansijska sredstva po amortizovanoj vrijednosti (026 do 029)</v>
      </c>
      <c r="G26" s="309" t="s">
        <v>1171</v>
      </c>
      <c r="H26" s="305" t="s">
        <v>1146</v>
      </c>
      <c r="I26" s="309" t="s">
        <v>2819</v>
      </c>
      <c r="J26" s="395" t="s">
        <v>2111</v>
      </c>
      <c r="K26" s="394" t="s">
        <v>926</v>
      </c>
      <c r="L26" s="287" t="s">
        <v>897</v>
      </c>
      <c r="M26" s="310" t="s">
        <v>1084</v>
      </c>
      <c r="N26" s="274" t="s">
        <v>2392</v>
      </c>
      <c r="O26" s="10">
        <v>1</v>
      </c>
      <c r="P26" s="10"/>
    </row>
    <row r="27" spans="1:16" x14ac:dyDescent="0.2">
      <c r="A27">
        <f t="shared" si="0"/>
        <v>26</v>
      </c>
      <c r="B27" t="s">
        <v>873</v>
      </c>
      <c r="C27">
        <v>3</v>
      </c>
      <c r="D27" s="239">
        <v>26</v>
      </c>
      <c r="E27" s="2" t="str">
        <f>VLOOKUP( T_Aop[[#This Row],[Id]], T_Aop[], ID_Jezik +10, 1)</f>
        <v>062, dio 069</v>
      </c>
      <c r="F27" t="str">
        <f>REPT( "  ", T_Aop[[#This Row],[Aop nivo]]) &amp; VLOOKUP( T_Aop[[#This Row],[Id]], T_Aop[], ID_Jezik + 6, 1)</f>
        <v xml:space="preserve">      3.1. Dugoročni krediti povezanim pravnim licima</v>
      </c>
      <c r="G27" s="309" t="s">
        <v>1172</v>
      </c>
      <c r="H27" s="300" t="s">
        <v>1140</v>
      </c>
      <c r="I27" s="309" t="s">
        <v>2820</v>
      </c>
      <c r="J27" s="395" t="s">
        <v>2112</v>
      </c>
      <c r="K27" s="394" t="s">
        <v>927</v>
      </c>
      <c r="L27" s="287" t="s">
        <v>898</v>
      </c>
      <c r="M27" s="310" t="s">
        <v>1085</v>
      </c>
      <c r="N27" s="274" t="s">
        <v>2393</v>
      </c>
      <c r="O27" s="10"/>
      <c r="P27" s="10"/>
    </row>
    <row r="28" spans="1:16" x14ac:dyDescent="0.2">
      <c r="A28">
        <f t="shared" si="0"/>
        <v>27</v>
      </c>
      <c r="B28" t="s">
        <v>873</v>
      </c>
      <c r="C28">
        <v>3</v>
      </c>
      <c r="D28" s="239">
        <v>27</v>
      </c>
      <c r="E28" s="2" t="str">
        <f>VLOOKUP( T_Aop[[#This Row],[Id]], T_Aop[], ID_Jezik +10, 1)</f>
        <v>063, dio 069</v>
      </c>
      <c r="F28" t="str">
        <f>REPT( "  ", T_Aop[[#This Row],[Aop nivo]]) &amp; VLOOKUP( T_Aop[[#This Row],[Id]], T_Aop[], ID_Jezik + 6, 1)</f>
        <v xml:space="preserve">      3.2. Dugoročni krediti u zemlji</v>
      </c>
      <c r="G28" s="309" t="s">
        <v>1173</v>
      </c>
      <c r="H28" s="299" t="s">
        <v>1143</v>
      </c>
      <c r="I28" s="309" t="s">
        <v>2821</v>
      </c>
      <c r="J28" s="395" t="s">
        <v>2113</v>
      </c>
      <c r="K28" s="394" t="s">
        <v>928</v>
      </c>
      <c r="L28" s="287" t="s">
        <v>899</v>
      </c>
      <c r="M28" s="310" t="s">
        <v>1086</v>
      </c>
      <c r="N28" s="274" t="s">
        <v>2394</v>
      </c>
      <c r="O28" s="10"/>
      <c r="P28" s="10"/>
    </row>
    <row r="29" spans="1:16" x14ac:dyDescent="0.2">
      <c r="A29">
        <f t="shared" si="0"/>
        <v>28</v>
      </c>
      <c r="B29" t="s">
        <v>873</v>
      </c>
      <c r="C29">
        <v>3</v>
      </c>
      <c r="D29" s="239">
        <v>28</v>
      </c>
      <c r="E29" s="2" t="str">
        <f>VLOOKUP( T_Aop[[#This Row],[Id]], T_Aop[], ID_Jezik +10, 1)</f>
        <v>064, dio 069</v>
      </c>
      <c r="F29" t="str">
        <f>REPT( "  ", T_Aop[[#This Row],[Aop nivo]]) &amp; VLOOKUP( T_Aop[[#This Row],[Id]], T_Aop[], ID_Jezik + 6, 1)</f>
        <v xml:space="preserve">      3.3. Dugoročni krediti u inostranstvu</v>
      </c>
      <c r="G29" s="309" t="s">
        <v>1174</v>
      </c>
      <c r="H29" s="300" t="s">
        <v>1141</v>
      </c>
      <c r="I29" s="309" t="s">
        <v>2822</v>
      </c>
      <c r="J29" s="395" t="s">
        <v>2114</v>
      </c>
      <c r="K29" s="394" t="s">
        <v>929</v>
      </c>
      <c r="L29" s="287" t="s">
        <v>900</v>
      </c>
      <c r="M29" s="310" t="s">
        <v>1087</v>
      </c>
      <c r="N29" s="274" t="s">
        <v>2395</v>
      </c>
      <c r="O29" s="10"/>
      <c r="P29" s="10"/>
    </row>
    <row r="30" spans="1:16" ht="12.75" customHeight="1" x14ac:dyDescent="0.2">
      <c r="A30">
        <f t="shared" si="0"/>
        <v>29</v>
      </c>
      <c r="B30" t="s">
        <v>873</v>
      </c>
      <c r="C30">
        <v>3</v>
      </c>
      <c r="D30" s="239">
        <v>29</v>
      </c>
      <c r="E30" s="2" t="str">
        <f>VLOOKUP( T_Aop[[#This Row],[Id]], T_Aop[], ID_Jezik +10, 1)</f>
        <v>065, dio 069</v>
      </c>
      <c r="F30" t="str">
        <f>REPT( "  ", T_Aop[[#This Row],[Aop nivo]]) &amp; VLOOKUP( T_Aop[[#This Row],[Id]], T_Aop[], ID_Jezik + 6, 1)</f>
        <v xml:space="preserve">      3.4. Ostala finansijska sredstva po amortizovanoj vrijednosti</v>
      </c>
      <c r="G30" s="309" t="s">
        <v>1175</v>
      </c>
      <c r="H30" s="299" t="s">
        <v>1142</v>
      </c>
      <c r="I30" s="309" t="s">
        <v>2823</v>
      </c>
      <c r="J30" s="395" t="s">
        <v>2115</v>
      </c>
      <c r="K30" s="394" t="s">
        <v>930</v>
      </c>
      <c r="L30" s="287" t="s">
        <v>901</v>
      </c>
      <c r="M30" s="310" t="s">
        <v>1088</v>
      </c>
      <c r="N30" s="274" t="s">
        <v>2396</v>
      </c>
      <c r="O30" s="10"/>
      <c r="P30" s="10"/>
    </row>
    <row r="31" spans="1:16" ht="15" customHeight="1" x14ac:dyDescent="0.2">
      <c r="A31">
        <f t="shared" si="0"/>
        <v>30</v>
      </c>
      <c r="B31" t="s">
        <v>873</v>
      </c>
      <c r="C31">
        <v>2</v>
      </c>
      <c r="D31" s="239">
        <v>30</v>
      </c>
      <c r="E31" s="2" t="str">
        <f>VLOOKUP( T_Aop[[#This Row],[Id]], T_Aop[], ID_Jezik +10, 1)</f>
        <v>dio 06</v>
      </c>
      <c r="F31" t="str">
        <f>REPT( "  ", T_Aop[[#This Row],[Aop nivo]]) &amp; VLOOKUP( T_Aop[[#This Row],[Id]], T_Aop[], ID_Jezik + 6, 1)</f>
        <v xml:space="preserve">    4. Finansijska sredstva po fer vrijednosti kroz ostali ukupan rezultat (031+032)</v>
      </c>
      <c r="G31" s="300" t="s">
        <v>1176</v>
      </c>
      <c r="H31" s="300" t="s">
        <v>1145</v>
      </c>
      <c r="I31" s="309" t="s">
        <v>1834</v>
      </c>
      <c r="J31" s="395" t="s">
        <v>2116</v>
      </c>
      <c r="K31" s="394" t="s">
        <v>926</v>
      </c>
      <c r="L31" s="287" t="s">
        <v>897</v>
      </c>
      <c r="M31" s="310" t="s">
        <v>1084</v>
      </c>
      <c r="N31" s="274" t="s">
        <v>2392</v>
      </c>
      <c r="O31" s="10">
        <v>1</v>
      </c>
      <c r="P31" s="10"/>
    </row>
    <row r="32" spans="1:16" x14ac:dyDescent="0.2">
      <c r="A32">
        <f t="shared" si="0"/>
        <v>31</v>
      </c>
      <c r="B32" t="s">
        <v>873</v>
      </c>
      <c r="C32">
        <v>3</v>
      </c>
      <c r="D32" s="239">
        <v>31</v>
      </c>
      <c r="E32" s="2" t="str">
        <f>VLOOKUP( T_Aop[[#This Row],[Id]], T_Aop[], ID_Jezik +10, 1)</f>
        <v>066, dio 069</v>
      </c>
      <c r="F32" t="str">
        <f>REPT( "  ", T_Aop[[#This Row],[Aop nivo]]) &amp; VLOOKUP( T_Aop[[#This Row],[Id]], T_Aop[], ID_Jezik + 6, 1)</f>
        <v xml:space="preserve">      4.1. Vlasnički instrumenti</v>
      </c>
      <c r="G32" s="309" t="s">
        <v>942</v>
      </c>
      <c r="H32" s="299" t="s">
        <v>1144</v>
      </c>
      <c r="I32" s="309" t="s">
        <v>2824</v>
      </c>
      <c r="J32" s="395" t="s">
        <v>2117</v>
      </c>
      <c r="K32" s="394" t="s">
        <v>931</v>
      </c>
      <c r="L32" s="287" t="s">
        <v>902</v>
      </c>
      <c r="M32" s="310" t="s">
        <v>1089</v>
      </c>
      <c r="N32" s="274" t="s">
        <v>2397</v>
      </c>
      <c r="O32" s="10"/>
      <c r="P32" s="10"/>
    </row>
    <row r="33" spans="1:16" x14ac:dyDescent="0.2">
      <c r="A33">
        <f t="shared" si="0"/>
        <v>32</v>
      </c>
      <c r="B33" t="s">
        <v>873</v>
      </c>
      <c r="C33">
        <v>3</v>
      </c>
      <c r="D33" s="239">
        <v>32</v>
      </c>
      <c r="E33" s="2" t="str">
        <f>VLOOKUP( T_Aop[[#This Row],[Id]], T_Aop[], ID_Jezik +10, 1)</f>
        <v>067, dio 069</v>
      </c>
      <c r="F33" t="str">
        <f>REPT( "  ", T_Aop[[#This Row],[Aop nivo]]) &amp; VLOOKUP( T_Aop[[#This Row],[Id]], T_Aop[], ID_Jezik + 6, 1)</f>
        <v xml:space="preserve">      4.2. Dužnički instrumenti</v>
      </c>
      <c r="G33" s="309" t="s">
        <v>943</v>
      </c>
      <c r="H33" s="300" t="s">
        <v>1147</v>
      </c>
      <c r="I33" s="309" t="s">
        <v>2825</v>
      </c>
      <c r="J33" s="395" t="s">
        <v>2118</v>
      </c>
      <c r="K33" s="394" t="s">
        <v>2886</v>
      </c>
      <c r="L33" s="287" t="s">
        <v>903</v>
      </c>
      <c r="M33" s="310" t="s">
        <v>2887</v>
      </c>
      <c r="N33" s="274" t="s">
        <v>2398</v>
      </c>
      <c r="O33" s="10"/>
      <c r="P33" s="10"/>
    </row>
    <row r="34" spans="1:16" x14ac:dyDescent="0.2">
      <c r="A34">
        <f t="shared" si="0"/>
        <v>33</v>
      </c>
      <c r="B34" t="s">
        <v>873</v>
      </c>
      <c r="C34">
        <v>2</v>
      </c>
      <c r="D34" s="239">
        <v>33</v>
      </c>
      <c r="E34" s="2" t="str">
        <f>VLOOKUP( T_Aop[[#This Row],[Id]], T_Aop[], ID_Jezik +10, 1)</f>
        <v>068, dio 069</v>
      </c>
      <c r="F34" t="str">
        <f>REPT( "  ", T_Aop[[#This Row],[Aop nivo]]) &amp; VLOOKUP( T_Aop[[#This Row],[Id]], T_Aop[], ID_Jezik + 6, 1)</f>
        <v xml:space="preserve">    5. Potraživanja po finansijskom lizingu</v>
      </c>
      <c r="G34" s="309" t="s">
        <v>944</v>
      </c>
      <c r="H34" s="299" t="s">
        <v>1148</v>
      </c>
      <c r="I34" s="309" t="s">
        <v>2826</v>
      </c>
      <c r="J34" s="395" t="s">
        <v>2119</v>
      </c>
      <c r="K34" s="394" t="s">
        <v>932</v>
      </c>
      <c r="L34" s="287" t="s">
        <v>904</v>
      </c>
      <c r="M34" s="310" t="s">
        <v>1090</v>
      </c>
      <c r="N34" s="274" t="s">
        <v>2399</v>
      </c>
      <c r="O34" s="10"/>
      <c r="P34" s="10"/>
    </row>
    <row r="35" spans="1:16" x14ac:dyDescent="0.2">
      <c r="A35">
        <f t="shared" si="0"/>
        <v>34</v>
      </c>
      <c r="B35" t="s">
        <v>873</v>
      </c>
      <c r="C35">
        <v>1</v>
      </c>
      <c r="D35" s="239">
        <v>34</v>
      </c>
      <c r="E35" s="2" t="str">
        <f>VLOOKUP( T_Aop[[#This Row],[Id]], T_Aop[], ID_Jezik +10, 1)</f>
        <v>07 i 08</v>
      </c>
      <c r="F35" t="str">
        <f>REPT( "  ", T_Aop[[#This Row],[Aop nivo]]) &amp; VLOOKUP( T_Aop[[#This Row],[Id]], T_Aop[], ID_Jezik + 6, 1)</f>
        <v xml:space="preserve">  VII OSTALA DUGOROČNA SREDSTVA I RAZGRANIČENJA</v>
      </c>
      <c r="G35" s="300" t="s">
        <v>3032</v>
      </c>
      <c r="H35" s="300" t="s">
        <v>884</v>
      </c>
      <c r="I35" s="309" t="s">
        <v>1102</v>
      </c>
      <c r="J35" s="395" t="s">
        <v>2120</v>
      </c>
      <c r="K35" s="394" t="s">
        <v>933</v>
      </c>
      <c r="L35" s="287" t="s">
        <v>905</v>
      </c>
      <c r="M35" s="310" t="s">
        <v>1091</v>
      </c>
      <c r="N35" s="274" t="s">
        <v>905</v>
      </c>
      <c r="O35" s="10"/>
      <c r="P35" s="10"/>
    </row>
    <row r="36" spans="1:16" x14ac:dyDescent="0.2">
      <c r="A36">
        <f t="shared" si="0"/>
        <v>35</v>
      </c>
      <c r="B36" t="s">
        <v>873</v>
      </c>
      <c r="C36">
        <v>1</v>
      </c>
      <c r="D36" s="239">
        <v>35</v>
      </c>
      <c r="E36" s="2">
        <f>VLOOKUP( T_Aop[[#This Row],[Id]], T_Aop[], ID_Jezik +10, 1)</f>
        <v>90</v>
      </c>
      <c r="F36" t="str">
        <f>REPT( "  ", T_Aop[[#This Row],[Aop nivo]]) &amp; VLOOKUP( T_Aop[[#This Row],[Id]], T_Aop[], ID_Jezik + 6, 1)</f>
        <v xml:space="preserve">  B. ODLOŽENA PORESKA SREDSTVA</v>
      </c>
      <c r="G36" s="300" t="s">
        <v>1177</v>
      </c>
      <c r="H36" s="299" t="s">
        <v>885</v>
      </c>
      <c r="I36" s="309" t="s">
        <v>2945</v>
      </c>
      <c r="J36" s="395" t="s">
        <v>2121</v>
      </c>
      <c r="K36" s="394">
        <v>90</v>
      </c>
      <c r="L36" s="288">
        <v>90</v>
      </c>
      <c r="M36" s="310">
        <v>90</v>
      </c>
      <c r="N36" s="285" t="s">
        <v>2400</v>
      </c>
      <c r="O36" s="10"/>
      <c r="P36" s="10"/>
    </row>
    <row r="37" spans="1:16" x14ac:dyDescent="0.2">
      <c r="A37">
        <f t="shared" si="0"/>
        <v>36</v>
      </c>
      <c r="B37" t="s">
        <v>873</v>
      </c>
      <c r="C37">
        <v>1</v>
      </c>
      <c r="D37" s="239">
        <v>36</v>
      </c>
      <c r="E37" s="2" t="str">
        <f>VLOOKUP( T_Aop[[#This Row],[Id]], T_Aop[], ID_Jezik +10, 1)</f>
        <v xml:space="preserve"> </v>
      </c>
      <c r="F37" t="str">
        <f>REPT( "  ", T_Aop[[#This Row],[Aop nivo]]) &amp; VLOOKUP( T_Aop[[#This Row],[Id]], T_Aop[], ID_Jezik + 6, 1)</f>
        <v xml:space="preserve">  V. TEKUĆA SREDSTVA (037+044)</v>
      </c>
      <c r="G37" s="300" t="s">
        <v>1178</v>
      </c>
      <c r="H37" s="300" t="s">
        <v>886</v>
      </c>
      <c r="I37" s="309" t="s">
        <v>2946</v>
      </c>
      <c r="J37" s="395" t="s">
        <v>2122</v>
      </c>
      <c r="K37" s="394" t="s">
        <v>888</v>
      </c>
      <c r="L37" s="288" t="s">
        <v>888</v>
      </c>
      <c r="M37" s="310" t="s">
        <v>888</v>
      </c>
      <c r="N37" s="274"/>
      <c r="O37" s="10">
        <v>1</v>
      </c>
      <c r="P37" s="10"/>
    </row>
    <row r="38" spans="1:16" ht="15" customHeight="1" x14ac:dyDescent="0.2">
      <c r="A38">
        <f t="shared" si="0"/>
        <v>37</v>
      </c>
      <c r="B38" t="s">
        <v>873</v>
      </c>
      <c r="C38">
        <v>1</v>
      </c>
      <c r="D38" s="239">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300" t="s">
        <v>2921</v>
      </c>
      <c r="H38" s="299" t="s">
        <v>1114</v>
      </c>
      <c r="I38" s="309" t="s">
        <v>2947</v>
      </c>
      <c r="J38" s="395" t="s">
        <v>2123</v>
      </c>
      <c r="K38" s="394" t="s">
        <v>71</v>
      </c>
      <c r="L38" s="287" t="s">
        <v>667</v>
      </c>
      <c r="M38" s="310" t="s">
        <v>45</v>
      </c>
      <c r="N38" s="274" t="s">
        <v>667</v>
      </c>
      <c r="O38" s="10">
        <v>1</v>
      </c>
      <c r="P38" s="10"/>
    </row>
    <row r="39" spans="1:16" x14ac:dyDescent="0.2">
      <c r="A39">
        <f t="shared" si="0"/>
        <v>38</v>
      </c>
      <c r="B39" t="s">
        <v>873</v>
      </c>
      <c r="C39">
        <v>2</v>
      </c>
      <c r="D39" s="239">
        <v>38</v>
      </c>
      <c r="E39" s="2" t="str">
        <f>VLOOKUP( T_Aop[[#This Row],[Id]], T_Aop[], ID_Jezik +10, 1)</f>
        <v>100 do 109</v>
      </c>
      <c r="F39" t="str">
        <f>REPT( "  ", T_Aop[[#This Row],[Aop nivo]]) &amp; VLOOKUP( T_Aop[[#This Row],[Id]], T_Aop[], ID_Jezik + 6, 1)</f>
        <v xml:space="preserve">    1. Zalihe materijala</v>
      </c>
      <c r="G39" s="309" t="s">
        <v>81</v>
      </c>
      <c r="H39" s="300" t="s">
        <v>1118</v>
      </c>
      <c r="I39" s="309" t="s">
        <v>1835</v>
      </c>
      <c r="J39" s="395" t="s">
        <v>2124</v>
      </c>
      <c r="K39" s="394" t="s">
        <v>80</v>
      </c>
      <c r="L39" s="287" t="s">
        <v>668</v>
      </c>
      <c r="M39" s="310" t="s">
        <v>46</v>
      </c>
      <c r="N39" s="274" t="s">
        <v>668</v>
      </c>
      <c r="O39" s="10"/>
      <c r="P39" s="10"/>
    </row>
    <row r="40" spans="1:16" ht="12.75" customHeight="1" x14ac:dyDescent="0.2">
      <c r="A40">
        <f t="shared" si="0"/>
        <v>39</v>
      </c>
      <c r="B40" t="s">
        <v>873</v>
      </c>
      <c r="C40">
        <v>2</v>
      </c>
      <c r="D40" s="239">
        <v>39</v>
      </c>
      <c r="E40" s="2" t="str">
        <f>VLOOKUP( T_Aop[[#This Row],[Id]], T_Aop[], ID_Jezik +10, 1)</f>
        <v>110 do 119</v>
      </c>
      <c r="F40" t="str">
        <f>REPT( "  ", T_Aop[[#This Row],[Aop nivo]]) &amp; VLOOKUP( T_Aop[[#This Row],[Id]], T_Aop[], ID_Jezik + 6, 1)</f>
        <v xml:space="preserve">    2. Zalihe nedovršene proizvodnje, poluproizvoda i nedovršenih usluga</v>
      </c>
      <c r="G40" s="309" t="s">
        <v>82</v>
      </c>
      <c r="H40" s="299" t="s">
        <v>1119</v>
      </c>
      <c r="I40" s="309" t="s">
        <v>1836</v>
      </c>
      <c r="J40" s="395" t="s">
        <v>2125</v>
      </c>
      <c r="K40" s="394" t="s">
        <v>669</v>
      </c>
      <c r="L40" s="287" t="s">
        <v>670</v>
      </c>
      <c r="M40" s="310" t="s">
        <v>671</v>
      </c>
      <c r="N40" s="274" t="s">
        <v>670</v>
      </c>
      <c r="O40" s="10"/>
      <c r="P40" s="10"/>
    </row>
    <row r="41" spans="1:16" x14ac:dyDescent="0.2">
      <c r="A41">
        <f t="shared" si="0"/>
        <v>40</v>
      </c>
      <c r="B41" t="s">
        <v>873</v>
      </c>
      <c r="C41">
        <v>2</v>
      </c>
      <c r="D41" s="239">
        <v>40</v>
      </c>
      <c r="E41" s="2" t="str">
        <f>VLOOKUP( T_Aop[[#This Row],[Id]], T_Aop[], ID_Jezik +10, 1)</f>
        <v>120 do 129</v>
      </c>
      <c r="F41" t="str">
        <f>REPT( "  ", T_Aop[[#This Row],[Aop nivo]]) &amp; VLOOKUP( T_Aop[[#This Row],[Id]], T_Aop[], ID_Jezik + 6, 1)</f>
        <v xml:space="preserve">    3. Zalihe gotovih proizvoda</v>
      </c>
      <c r="G41" s="309" t="s">
        <v>83</v>
      </c>
      <c r="H41" s="300" t="s">
        <v>1120</v>
      </c>
      <c r="I41" s="309" t="s">
        <v>1837</v>
      </c>
      <c r="J41" s="395" t="s">
        <v>2126</v>
      </c>
      <c r="K41" s="394" t="s">
        <v>672</v>
      </c>
      <c r="L41" s="287" t="s">
        <v>673</v>
      </c>
      <c r="M41" s="310" t="s">
        <v>674</v>
      </c>
      <c r="N41" s="274" t="s">
        <v>673</v>
      </c>
      <c r="O41" s="10"/>
      <c r="P41" s="10"/>
    </row>
    <row r="42" spans="1:16" x14ac:dyDescent="0.2">
      <c r="A42">
        <f t="shared" si="0"/>
        <v>41</v>
      </c>
      <c r="B42" t="s">
        <v>873</v>
      </c>
      <c r="C42">
        <v>2</v>
      </c>
      <c r="D42" s="239">
        <v>41</v>
      </c>
      <c r="E42" s="2" t="str">
        <f>VLOOKUP( T_Aop[[#This Row],[Id]], T_Aop[], ID_Jezik +10, 1)</f>
        <v>130 do 139</v>
      </c>
      <c r="F42" t="str">
        <f>REPT( "  ", T_Aop[[#This Row],[Aop nivo]]) &amp; VLOOKUP( T_Aop[[#This Row],[Id]], T_Aop[], ID_Jezik + 6, 1)</f>
        <v xml:space="preserve">    4. Zalihe robe</v>
      </c>
      <c r="G42" s="309" t="s">
        <v>85</v>
      </c>
      <c r="H42" s="299" t="s">
        <v>1121</v>
      </c>
      <c r="I42" s="309" t="s">
        <v>1838</v>
      </c>
      <c r="J42" s="395" t="s">
        <v>2127</v>
      </c>
      <c r="K42" s="394" t="s">
        <v>84</v>
      </c>
      <c r="L42" s="287" t="s">
        <v>675</v>
      </c>
      <c r="M42" s="310" t="s">
        <v>47</v>
      </c>
      <c r="N42" s="274" t="s">
        <v>675</v>
      </c>
      <c r="O42" s="10"/>
      <c r="P42" s="10"/>
    </row>
    <row r="43" spans="1:16" ht="12.75" customHeight="1" x14ac:dyDescent="0.2">
      <c r="A43">
        <f t="shared" si="0"/>
        <v>42</v>
      </c>
      <c r="B43" t="s">
        <v>873</v>
      </c>
      <c r="C43">
        <v>2</v>
      </c>
      <c r="D43" s="239">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309" t="s">
        <v>1179</v>
      </c>
      <c r="H43" s="300" t="s">
        <v>1122</v>
      </c>
      <c r="I43" s="309" t="s">
        <v>1839</v>
      </c>
      <c r="J43" s="395" t="s">
        <v>2128</v>
      </c>
      <c r="K43" s="394" t="s">
        <v>86</v>
      </c>
      <c r="L43" s="287" t="s">
        <v>676</v>
      </c>
      <c r="M43" s="310" t="s">
        <v>48</v>
      </c>
      <c r="N43" s="274" t="s">
        <v>676</v>
      </c>
      <c r="O43" s="10"/>
      <c r="P43" s="10"/>
    </row>
    <row r="44" spans="1:16" x14ac:dyDescent="0.2">
      <c r="A44">
        <f t="shared" si="0"/>
        <v>43</v>
      </c>
      <c r="B44" t="s">
        <v>873</v>
      </c>
      <c r="C44">
        <v>2</v>
      </c>
      <c r="D44" s="239">
        <v>43</v>
      </c>
      <c r="E44" s="2" t="str">
        <f>VLOOKUP( T_Aop[[#This Row],[Id]], T_Aop[], ID_Jezik +10, 1)</f>
        <v>150 do 159</v>
      </c>
      <c r="F44" t="str">
        <f>REPT( "  ", T_Aop[[#This Row],[Aop nivo]]) &amp; VLOOKUP( T_Aop[[#This Row],[Id]], T_Aop[], ID_Jezik + 6, 1)</f>
        <v xml:space="preserve">    6. Dati avansi</v>
      </c>
      <c r="G44" s="309" t="s">
        <v>72</v>
      </c>
      <c r="H44" s="299" t="s">
        <v>1123</v>
      </c>
      <c r="I44" s="309" t="s">
        <v>1840</v>
      </c>
      <c r="J44" s="395" t="s">
        <v>2129</v>
      </c>
      <c r="K44" s="394" t="s">
        <v>87</v>
      </c>
      <c r="L44" s="287" t="s">
        <v>677</v>
      </c>
      <c r="M44" s="310" t="s">
        <v>49</v>
      </c>
      <c r="N44" s="274" t="s">
        <v>677</v>
      </c>
      <c r="O44" s="10"/>
      <c r="P44" s="10"/>
    </row>
    <row r="45" spans="1:16" ht="15" customHeight="1" x14ac:dyDescent="0.2">
      <c r="A45">
        <f t="shared" si="0"/>
        <v>44</v>
      </c>
      <c r="B45" t="s">
        <v>873</v>
      </c>
      <c r="C45">
        <v>1</v>
      </c>
      <c r="D45" s="239">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309" t="s">
        <v>2871</v>
      </c>
      <c r="H45" s="300" t="s">
        <v>1113</v>
      </c>
      <c r="I45" s="309" t="s">
        <v>1103</v>
      </c>
      <c r="J45" s="309" t="s">
        <v>2130</v>
      </c>
      <c r="K45" s="288" t="s">
        <v>888</v>
      </c>
      <c r="L45" s="287"/>
      <c r="M45" s="310" t="s">
        <v>888</v>
      </c>
      <c r="N45" s="274"/>
      <c r="O45" s="10">
        <v>1</v>
      </c>
      <c r="P45" s="10"/>
    </row>
    <row r="46" spans="1:16" x14ac:dyDescent="0.2">
      <c r="A46">
        <f t="shared" si="0"/>
        <v>45</v>
      </c>
      <c r="B46" t="s">
        <v>873</v>
      </c>
      <c r="C46">
        <v>2</v>
      </c>
      <c r="D46" s="239">
        <v>45</v>
      </c>
      <c r="E46" s="2" t="str">
        <f>VLOOKUP( T_Aop[[#This Row],[Id]], T_Aop[], ID_Jezik +10, 1)</f>
        <v xml:space="preserve"> </v>
      </c>
      <c r="F46" t="str">
        <f>REPT( "  ", T_Aop[[#This Row],[Aop nivo]]) &amp; VLOOKUP( T_Aop[[#This Row],[Id]], T_Aop[], ID_Jezik + 6, 1)</f>
        <v xml:space="preserve">    1. Kratkoročna potraživanja (046 do 051)</v>
      </c>
      <c r="G46" s="309" t="s">
        <v>945</v>
      </c>
      <c r="H46" s="299" t="s">
        <v>1117</v>
      </c>
      <c r="I46" s="309" t="s">
        <v>1841</v>
      </c>
      <c r="J46" s="395" t="s">
        <v>2131</v>
      </c>
      <c r="K46" s="394" t="s">
        <v>888</v>
      </c>
      <c r="L46" s="287"/>
      <c r="M46" s="310" t="s">
        <v>888</v>
      </c>
      <c r="N46" s="274"/>
      <c r="O46" s="10"/>
      <c r="P46" s="10"/>
    </row>
    <row r="47" spans="1:16" x14ac:dyDescent="0.2">
      <c r="A47">
        <f t="shared" si="0"/>
        <v>46</v>
      </c>
      <c r="B47" t="s">
        <v>873</v>
      </c>
      <c r="C47">
        <v>3</v>
      </c>
      <c r="D47" s="239">
        <v>46</v>
      </c>
      <c r="E47" s="2" t="str">
        <f>VLOOKUP( T_Aop[[#This Row],[Id]], T_Aop[], ID_Jezik +10, 1)</f>
        <v>200, dio 209</v>
      </c>
      <c r="F47" t="str">
        <f>REPT( "  ", T_Aop[[#This Row],[Aop nivo]]) &amp; VLOOKUP( T_Aop[[#This Row],[Id]], T_Aop[], ID_Jezik + 6, 1)</f>
        <v xml:space="preserve">      1.1. Kupci - povezana pravna lica</v>
      </c>
      <c r="G47" s="309" t="s">
        <v>946</v>
      </c>
      <c r="H47" s="300" t="s">
        <v>1702</v>
      </c>
      <c r="I47" s="309" t="s">
        <v>1842</v>
      </c>
      <c r="J47" s="395" t="s">
        <v>2968</v>
      </c>
      <c r="K47" s="394" t="s">
        <v>88</v>
      </c>
      <c r="L47" s="287" t="s">
        <v>678</v>
      </c>
      <c r="M47" s="310" t="s">
        <v>6</v>
      </c>
      <c r="N47" s="274" t="s">
        <v>2401</v>
      </c>
      <c r="O47" s="10"/>
      <c r="P47" s="10"/>
    </row>
    <row r="48" spans="1:16" x14ac:dyDescent="0.2">
      <c r="A48">
        <f t="shared" si="0"/>
        <v>47</v>
      </c>
      <c r="B48" t="s">
        <v>873</v>
      </c>
      <c r="C48">
        <v>3</v>
      </c>
      <c r="D48" s="239">
        <v>47</v>
      </c>
      <c r="E48" s="2" t="str">
        <f>VLOOKUP( T_Aop[[#This Row],[Id]], T_Aop[], ID_Jezik +10, 1)</f>
        <v>201, 202, 203, dio 209</v>
      </c>
      <c r="F48" t="str">
        <f>REPT( "  ", T_Aop[[#This Row],[Aop nivo]]) &amp; VLOOKUP( T_Aop[[#This Row],[Id]], T_Aop[], ID_Jezik + 6, 1)</f>
        <v xml:space="preserve">      1.2. Kupci u zemlji</v>
      </c>
      <c r="G48" s="309" t="s">
        <v>947</v>
      </c>
      <c r="H48" s="299" t="s">
        <v>1699</v>
      </c>
      <c r="I48" s="309" t="s">
        <v>1843</v>
      </c>
      <c r="J48" s="395" t="s">
        <v>2969</v>
      </c>
      <c r="K48" s="394" t="s">
        <v>679</v>
      </c>
      <c r="L48" s="287" t="s">
        <v>906</v>
      </c>
      <c r="M48" s="310" t="s">
        <v>680</v>
      </c>
      <c r="N48" s="274" t="s">
        <v>2402</v>
      </c>
      <c r="O48" s="10"/>
      <c r="P48" s="10"/>
    </row>
    <row r="49" spans="1:16" x14ac:dyDescent="0.2">
      <c r="A49">
        <f t="shared" si="0"/>
        <v>48</v>
      </c>
      <c r="B49" t="s">
        <v>873</v>
      </c>
      <c r="C49">
        <v>3</v>
      </c>
      <c r="D49" s="239">
        <v>48</v>
      </c>
      <c r="E49" s="2" t="str">
        <f>VLOOKUP( T_Aop[[#This Row],[Id]], T_Aop[], ID_Jezik +10, 1)</f>
        <v>204, dio 209</v>
      </c>
      <c r="F49" t="str">
        <f>REPT( "  ", T_Aop[[#This Row],[Aop nivo]]) &amp; VLOOKUP( T_Aop[[#This Row],[Id]], T_Aop[], ID_Jezik + 6, 1)</f>
        <v xml:space="preserve">      1.3. Kupci iz inostranstva</v>
      </c>
      <c r="G49" s="309" t="s">
        <v>948</v>
      </c>
      <c r="H49" s="300" t="s">
        <v>1700</v>
      </c>
      <c r="I49" s="309" t="s">
        <v>1844</v>
      </c>
      <c r="J49" s="395" t="s">
        <v>2970</v>
      </c>
      <c r="K49" s="394" t="s">
        <v>681</v>
      </c>
      <c r="L49" s="287" t="s">
        <v>682</v>
      </c>
      <c r="M49" s="310" t="s">
        <v>683</v>
      </c>
      <c r="N49" s="274" t="s">
        <v>2403</v>
      </c>
      <c r="O49" s="10"/>
      <c r="P49" s="10"/>
    </row>
    <row r="50" spans="1:16" x14ac:dyDescent="0.2">
      <c r="A50">
        <f t="shared" si="0"/>
        <v>49</v>
      </c>
      <c r="B50" t="s">
        <v>873</v>
      </c>
      <c r="C50">
        <v>3</v>
      </c>
      <c r="D50" s="239">
        <v>49</v>
      </c>
      <c r="E50" s="2" t="str">
        <f>VLOOKUP( T_Aop[[#This Row],[Id]], T_Aop[], ID_Jezik +10, 1)</f>
        <v>grupa 21, osim 214</v>
      </c>
      <c r="F50" t="str">
        <f>REPT( "  ", T_Aop[[#This Row],[Aop nivo]]) &amp; VLOOKUP( T_Aop[[#This Row],[Id]], T_Aop[], ID_Jezik + 6, 1)</f>
        <v xml:space="preserve">      1.4.Potraživanja iz specifičnih poslova</v>
      </c>
      <c r="G50" s="309" t="s">
        <v>949</v>
      </c>
      <c r="H50" s="299" t="s">
        <v>1701</v>
      </c>
      <c r="I50" s="309" t="s">
        <v>1845</v>
      </c>
      <c r="J50" s="395" t="s">
        <v>2971</v>
      </c>
      <c r="K50" s="394" t="s">
        <v>934</v>
      </c>
      <c r="L50" s="287" t="s">
        <v>907</v>
      </c>
      <c r="M50" s="310" t="s">
        <v>1092</v>
      </c>
      <c r="N50" s="274" t="s">
        <v>2404</v>
      </c>
      <c r="O50" s="10"/>
      <c r="P50" s="10"/>
    </row>
    <row r="51" spans="1:16" x14ac:dyDescent="0.2">
      <c r="A51">
        <f t="shared" si="0"/>
        <v>50</v>
      </c>
      <c r="B51" t="s">
        <v>873</v>
      </c>
      <c r="C51">
        <v>3</v>
      </c>
      <c r="D51" s="239">
        <v>50</v>
      </c>
      <c r="E51" s="2" t="str">
        <f>VLOOKUP( T_Aop[[#This Row],[Id]], T_Aop[], ID_Jezik +10, 1)</f>
        <v>grupa 22, osim 224</v>
      </c>
      <c r="F51" t="str">
        <f>REPT( "  ", T_Aop[[#This Row],[Aop nivo]]) &amp; VLOOKUP( T_Aop[[#This Row],[Id]], T_Aop[], ID_Jezik + 6, 1)</f>
        <v xml:space="preserve">      1.5. Ostala kratkoročna potraživanja</v>
      </c>
      <c r="G51" s="309" t="s">
        <v>950</v>
      </c>
      <c r="H51" s="300" t="s">
        <v>1703</v>
      </c>
      <c r="I51" s="309" t="s">
        <v>1846</v>
      </c>
      <c r="J51" s="395" t="s">
        <v>2972</v>
      </c>
      <c r="K51" s="394" t="s">
        <v>935</v>
      </c>
      <c r="L51" s="287" t="s">
        <v>908</v>
      </c>
      <c r="M51" s="310" t="s">
        <v>1093</v>
      </c>
      <c r="N51" s="274" t="s">
        <v>2405</v>
      </c>
      <c r="O51" s="10"/>
      <c r="P51" s="10"/>
    </row>
    <row r="52" spans="1:16" x14ac:dyDescent="0.2">
      <c r="A52">
        <f t="shared" si="0"/>
        <v>51</v>
      </c>
      <c r="B52" t="s">
        <v>873</v>
      </c>
      <c r="C52">
        <v>3</v>
      </c>
      <c r="D52" s="239">
        <v>51</v>
      </c>
      <c r="E52" s="2">
        <f>VLOOKUP( T_Aop[[#This Row],[Id]], T_Aop[], ID_Jezik +10, 1)</f>
        <v>224</v>
      </c>
      <c r="F52" t="str">
        <f>REPT( "  ", T_Aop[[#This Row],[Aop nivo]]) &amp; VLOOKUP( T_Aop[[#This Row],[Id]], T_Aop[], ID_Jezik + 6, 1)</f>
        <v xml:space="preserve">      1.6. Potraživanja za više plaćen porez na dobit</v>
      </c>
      <c r="G52" s="309" t="s">
        <v>951</v>
      </c>
      <c r="H52" s="299" t="s">
        <v>1704</v>
      </c>
      <c r="I52" s="309" t="s">
        <v>1847</v>
      </c>
      <c r="J52" s="395" t="s">
        <v>2973</v>
      </c>
      <c r="K52" s="394">
        <v>224</v>
      </c>
      <c r="L52" s="287">
        <v>224</v>
      </c>
      <c r="M52" s="310">
        <v>224</v>
      </c>
      <c r="N52" s="274">
        <v>224</v>
      </c>
      <c r="O52" s="10"/>
      <c r="P52" s="10"/>
    </row>
    <row r="53" spans="1:16" ht="15" customHeight="1" x14ac:dyDescent="0.2">
      <c r="A53">
        <f t="shared" si="0"/>
        <v>52</v>
      </c>
      <c r="B53" t="s">
        <v>873</v>
      </c>
      <c r="C53">
        <v>2</v>
      </c>
      <c r="D53" s="239">
        <v>52</v>
      </c>
      <c r="E53" s="2" t="str">
        <f>VLOOKUP( T_Aop[[#This Row],[Id]], T_Aop[], ID_Jezik +10, 1)</f>
        <v xml:space="preserve"> </v>
      </c>
      <c r="F53" t="str">
        <f>REPT( "  ", T_Aop[[#This Row],[Aop nivo]]) &amp; VLOOKUP( T_Aop[[#This Row],[Id]], T_Aop[], ID_Jezik + 6, 1)</f>
        <v xml:space="preserve">    2. Kratkoročni finansijski plasmani ( 053 + 058 + 059 + 060)</v>
      </c>
      <c r="G53" s="309" t="s">
        <v>952</v>
      </c>
      <c r="H53" s="300" t="s">
        <v>887</v>
      </c>
      <c r="I53" s="309" t="s">
        <v>1104</v>
      </c>
      <c r="J53" s="395" t="s">
        <v>2132</v>
      </c>
      <c r="K53" s="394" t="s">
        <v>888</v>
      </c>
      <c r="L53" s="287"/>
      <c r="M53" s="310" t="s">
        <v>888</v>
      </c>
      <c r="N53" s="274"/>
      <c r="O53" s="10">
        <v>1</v>
      </c>
      <c r="P53" s="10"/>
    </row>
    <row r="54" spans="1:16" ht="12.75" customHeight="1" x14ac:dyDescent="0.2">
      <c r="A54">
        <f t="shared" si="0"/>
        <v>53</v>
      </c>
      <c r="B54" t="s">
        <v>873</v>
      </c>
      <c r="C54">
        <v>3</v>
      </c>
      <c r="D54" s="239">
        <v>53</v>
      </c>
      <c r="E54" s="2" t="str">
        <f>VLOOKUP( T_Aop[[#This Row],[Id]], T_Aop[], ID_Jezik +10, 1)</f>
        <v xml:space="preserve"> </v>
      </c>
      <c r="F54" t="str">
        <f>REPT( "  ", T_Aop[[#This Row],[Aop nivo]]) &amp; VLOOKUP( T_Aop[[#This Row],[Id]], T_Aop[], ID_Jezik + 6, 1)</f>
        <v xml:space="preserve">      2.1. Finansijska sredstva po amortizovanoj vrijednosti (054 do 057)</v>
      </c>
      <c r="G54" s="309" t="s">
        <v>2930</v>
      </c>
      <c r="H54" s="299" t="s">
        <v>1697</v>
      </c>
      <c r="I54" s="309" t="s">
        <v>1848</v>
      </c>
      <c r="J54" s="395" t="s">
        <v>2974</v>
      </c>
      <c r="K54" s="394" t="s">
        <v>888</v>
      </c>
      <c r="L54" s="287"/>
      <c r="M54" s="310" t="s">
        <v>888</v>
      </c>
      <c r="N54" s="274"/>
      <c r="O54" s="10">
        <v>1</v>
      </c>
      <c r="P54" s="10"/>
    </row>
    <row r="55" spans="1:16" x14ac:dyDescent="0.2">
      <c r="A55">
        <f t="shared" si="0"/>
        <v>54</v>
      </c>
      <c r="B55" t="s">
        <v>873</v>
      </c>
      <c r="C55">
        <v>4</v>
      </c>
      <c r="D55" s="239">
        <v>54</v>
      </c>
      <c r="E55" s="2" t="str">
        <f>VLOOKUP( T_Aop[[#This Row],[Id]], T_Aop[], ID_Jezik +10, 1)</f>
        <v>230, dio 238</v>
      </c>
      <c r="F55" t="str">
        <f>REPT( "  ", T_Aop[[#This Row],[Aop nivo]]) &amp; VLOOKUP( T_Aop[[#This Row],[Id]], T_Aop[], ID_Jezik + 6, 1)</f>
        <v xml:space="preserve">        a) Kratkoročni krediti povezanim pravnim licima</v>
      </c>
      <c r="G55" s="309" t="s">
        <v>90</v>
      </c>
      <c r="H55" s="300" t="s">
        <v>1694</v>
      </c>
      <c r="I55" s="309" t="s">
        <v>1849</v>
      </c>
      <c r="J55" s="395" t="s">
        <v>2133</v>
      </c>
      <c r="K55" s="394" t="s">
        <v>936</v>
      </c>
      <c r="L55" s="287" t="s">
        <v>909</v>
      </c>
      <c r="M55" s="310" t="s">
        <v>1094</v>
      </c>
      <c r="N55" s="274" t="s">
        <v>2406</v>
      </c>
      <c r="O55" s="10"/>
      <c r="P55" s="10"/>
    </row>
    <row r="56" spans="1:16" x14ac:dyDescent="0.2">
      <c r="A56">
        <f t="shared" si="0"/>
        <v>55</v>
      </c>
      <c r="B56" t="s">
        <v>873</v>
      </c>
      <c r="C56">
        <v>4</v>
      </c>
      <c r="D56" s="239">
        <v>55</v>
      </c>
      <c r="E56" s="2" t="str">
        <f>VLOOKUP( T_Aop[[#This Row],[Id]], T_Aop[], ID_Jezik +10, 1)</f>
        <v>231, dio 238</v>
      </c>
      <c r="F56" t="str">
        <f>REPT( "  ", T_Aop[[#This Row],[Aop nivo]]) &amp; VLOOKUP( T_Aop[[#This Row],[Id]], T_Aop[], ID_Jezik + 6, 1)</f>
        <v xml:space="preserve">        b) Kratkoročni krediti u zemlji</v>
      </c>
      <c r="G56" s="309" t="s">
        <v>91</v>
      </c>
      <c r="H56" s="299" t="s">
        <v>1695</v>
      </c>
      <c r="I56" s="309" t="s">
        <v>1850</v>
      </c>
      <c r="J56" s="395" t="s">
        <v>2134</v>
      </c>
      <c r="K56" s="394" t="s">
        <v>937</v>
      </c>
      <c r="L56" s="287" t="s">
        <v>910</v>
      </c>
      <c r="M56" s="310" t="s">
        <v>1095</v>
      </c>
      <c r="N56" s="285" t="s">
        <v>2407</v>
      </c>
      <c r="O56" s="10"/>
      <c r="P56" s="10"/>
    </row>
    <row r="57" spans="1:16" x14ac:dyDescent="0.2">
      <c r="A57">
        <f t="shared" si="0"/>
        <v>56</v>
      </c>
      <c r="B57" t="s">
        <v>873</v>
      </c>
      <c r="C57">
        <v>4</v>
      </c>
      <c r="D57" s="239">
        <v>56</v>
      </c>
      <c r="E57" s="2" t="str">
        <f>VLOOKUP( T_Aop[[#This Row],[Id]], T_Aop[], ID_Jezik +10, 1)</f>
        <v>232, dio 238</v>
      </c>
      <c r="F57" t="str">
        <f>REPT( "  ", T_Aop[[#This Row],[Aop nivo]]) &amp; VLOOKUP( T_Aop[[#This Row],[Id]], T_Aop[], ID_Jezik + 6, 1)</f>
        <v xml:space="preserve">        c) Kratkoročni krediti u inostranstvu</v>
      </c>
      <c r="G57" s="309" t="s">
        <v>1180</v>
      </c>
      <c r="H57" s="300" t="s">
        <v>1698</v>
      </c>
      <c r="I57" s="309" t="s">
        <v>1851</v>
      </c>
      <c r="J57" s="395" t="s">
        <v>2135</v>
      </c>
      <c r="K57" s="394" t="s">
        <v>938</v>
      </c>
      <c r="L57" s="287" t="s">
        <v>911</v>
      </c>
      <c r="M57" s="310" t="s">
        <v>1096</v>
      </c>
      <c r="N57" s="285" t="s">
        <v>2408</v>
      </c>
      <c r="O57" s="10"/>
      <c r="P57" s="10"/>
    </row>
    <row r="58" spans="1:16" x14ac:dyDescent="0.2">
      <c r="A58">
        <f t="shared" si="0"/>
        <v>57</v>
      </c>
      <c r="B58" t="s">
        <v>873</v>
      </c>
      <c r="C58">
        <v>4</v>
      </c>
      <c r="D58" s="239">
        <v>57</v>
      </c>
      <c r="E58" s="2" t="str">
        <f>VLOOKUP( T_Aop[[#This Row],[Id]], T_Aop[], ID_Jezik +10, 1)</f>
        <v>233, dio 238</v>
      </c>
      <c r="F58" t="str">
        <f>REPT( "  ", T_Aop[[#This Row],[Aop nivo]]) &amp; VLOOKUP( T_Aop[[#This Row],[Id]], T_Aop[], ID_Jezik + 6, 1)</f>
        <v xml:space="preserve">        d) Ostala finansijska sredstva po amortizovanoj vrijednosti</v>
      </c>
      <c r="G58" s="309" t="s">
        <v>1181</v>
      </c>
      <c r="H58" s="299" t="s">
        <v>1696</v>
      </c>
      <c r="I58" s="309" t="s">
        <v>1852</v>
      </c>
      <c r="J58" s="395" t="s">
        <v>2136</v>
      </c>
      <c r="K58" s="394" t="s">
        <v>939</v>
      </c>
      <c r="L58" s="287" t="s">
        <v>912</v>
      </c>
      <c r="M58" s="310" t="s">
        <v>1097</v>
      </c>
      <c r="N58" s="285" t="s">
        <v>2409</v>
      </c>
      <c r="O58" s="10"/>
      <c r="P58" s="10"/>
    </row>
    <row r="59" spans="1:16" ht="12.75" customHeight="1" x14ac:dyDescent="0.2">
      <c r="A59">
        <f t="shared" si="0"/>
        <v>58</v>
      </c>
      <c r="B59" t="s">
        <v>873</v>
      </c>
      <c r="C59">
        <v>3</v>
      </c>
      <c r="D59" s="239">
        <v>58</v>
      </c>
      <c r="E59" s="2" t="str">
        <f>VLOOKUP( T_Aop[[#This Row],[Id]], T_Aop[], ID_Jezik +10, 1)</f>
        <v>235 i 236</v>
      </c>
      <c r="F59" t="str">
        <f>REPT( "  ", T_Aop[[#This Row],[Aop nivo]]) &amp; VLOOKUP( T_Aop[[#This Row],[Id]], T_Aop[], ID_Jezik + 6, 1)</f>
        <v xml:space="preserve">      2.2. Finansijska sredstva po fer vrijednosti kroz bilans uspjeha</v>
      </c>
      <c r="G59" s="309" t="s">
        <v>2935</v>
      </c>
      <c r="H59" s="300" t="s">
        <v>2936</v>
      </c>
      <c r="I59" s="309" t="s">
        <v>1853</v>
      </c>
      <c r="J59" s="395" t="s">
        <v>2975</v>
      </c>
      <c r="K59" s="394" t="s">
        <v>2888</v>
      </c>
      <c r="L59" s="287" t="s">
        <v>913</v>
      </c>
      <c r="M59" s="310" t="s">
        <v>2889</v>
      </c>
      <c r="N59" s="285" t="s">
        <v>913</v>
      </c>
      <c r="O59" s="10"/>
      <c r="P59" s="10"/>
    </row>
    <row r="60" spans="1:16" x14ac:dyDescent="0.2">
      <c r="A60">
        <f t="shared" si="0"/>
        <v>59</v>
      </c>
      <c r="B60" t="s">
        <v>873</v>
      </c>
      <c r="C60">
        <v>3</v>
      </c>
      <c r="D60" s="239">
        <v>59</v>
      </c>
      <c r="E60" s="2" t="str">
        <f>VLOOKUP( T_Aop[[#This Row],[Id]], T_Aop[], ID_Jezik +10, 1)</f>
        <v>234, 239</v>
      </c>
      <c r="F60" t="str">
        <f>REPT( "  ", T_Aop[[#This Row],[Aop nivo]]) &amp; VLOOKUP( T_Aop[[#This Row],[Id]], T_Aop[], ID_Jezik + 6, 1)</f>
        <v xml:space="preserve">      2.3. Potraživanje po finansijskom lizingu</v>
      </c>
      <c r="G60" s="309" t="s">
        <v>2841</v>
      </c>
      <c r="H60" s="299" t="s">
        <v>1861</v>
      </c>
      <c r="I60" s="309" t="s">
        <v>1854</v>
      </c>
      <c r="J60" s="395" t="s">
        <v>2976</v>
      </c>
      <c r="K60" s="394" t="s">
        <v>914</v>
      </c>
      <c r="L60" s="287" t="s">
        <v>914</v>
      </c>
      <c r="M60" s="310" t="s">
        <v>914</v>
      </c>
      <c r="N60" s="285" t="s">
        <v>914</v>
      </c>
      <c r="O60" s="10"/>
      <c r="P60" s="10"/>
    </row>
    <row r="61" spans="1:16" x14ac:dyDescent="0.2">
      <c r="A61">
        <f t="shared" si="0"/>
        <v>60</v>
      </c>
      <c r="B61" t="s">
        <v>873</v>
      </c>
      <c r="C61">
        <v>3</v>
      </c>
      <c r="D61" s="239">
        <v>60</v>
      </c>
      <c r="E61" s="2">
        <f>VLOOKUP( T_Aop[[#This Row],[Id]], T_Aop[], ID_Jezik +10, 1)</f>
        <v>214</v>
      </c>
      <c r="F61" t="str">
        <f>REPT( "  ", T_Aop[[#This Row],[Aop nivo]]) &amp; VLOOKUP( T_Aop[[#This Row],[Id]], T_Aop[], ID_Jezik + 6, 1)</f>
        <v xml:space="preserve">      2.4. Derivatna finansijska sredstva</v>
      </c>
      <c r="G61" s="309" t="s">
        <v>953</v>
      </c>
      <c r="H61" s="300" t="s">
        <v>1862</v>
      </c>
      <c r="I61" s="309" t="s">
        <v>1855</v>
      </c>
      <c r="J61" s="395" t="s">
        <v>2977</v>
      </c>
      <c r="K61" s="394">
        <v>214</v>
      </c>
      <c r="L61" s="287">
        <v>214</v>
      </c>
      <c r="M61" s="310">
        <v>214</v>
      </c>
      <c r="N61" s="285">
        <v>214</v>
      </c>
      <c r="O61" s="10"/>
      <c r="P61" s="10"/>
    </row>
    <row r="62" spans="1:16" x14ac:dyDescent="0.2">
      <c r="A62">
        <f t="shared" si="0"/>
        <v>61</v>
      </c>
      <c r="B62" t="s">
        <v>873</v>
      </c>
      <c r="C62">
        <v>2</v>
      </c>
      <c r="D62" s="239">
        <v>61</v>
      </c>
      <c r="E62" s="2">
        <f>VLOOKUP( T_Aop[[#This Row],[Id]], T_Aop[], ID_Jezik +10, 1)</f>
        <v>24</v>
      </c>
      <c r="F62" t="str">
        <f>REPT( "  ", T_Aop[[#This Row],[Aop nivo]]) &amp; VLOOKUP( T_Aop[[#This Row],[Id]], T_Aop[], ID_Jezik + 6, 1)</f>
        <v xml:space="preserve">    3. Gotovinski ekvivalenti i gotovina (062 + 063)</v>
      </c>
      <c r="G62" s="309" t="s">
        <v>954</v>
      </c>
      <c r="H62" s="299" t="s">
        <v>1864</v>
      </c>
      <c r="I62" s="309" t="s">
        <v>1856</v>
      </c>
      <c r="J62" s="395" t="s">
        <v>2137</v>
      </c>
      <c r="K62" s="394">
        <v>24</v>
      </c>
      <c r="L62" s="287">
        <v>24</v>
      </c>
      <c r="M62" s="310">
        <v>24</v>
      </c>
      <c r="N62" s="285">
        <v>24</v>
      </c>
      <c r="O62" s="10">
        <v>1</v>
      </c>
      <c r="P62" s="10"/>
    </row>
    <row r="63" spans="1:16" x14ac:dyDescent="0.2">
      <c r="A63">
        <f t="shared" si="0"/>
        <v>62</v>
      </c>
      <c r="B63" t="s">
        <v>873</v>
      </c>
      <c r="C63">
        <v>3</v>
      </c>
      <c r="D63" s="239">
        <v>62</v>
      </c>
      <c r="E63" s="2" t="str">
        <f>VLOOKUP( T_Aop[[#This Row],[Id]], T_Aop[], ID_Jezik +10, 1)</f>
        <v>240, dio 249</v>
      </c>
      <c r="F63" t="str">
        <f>REPT( "  ", T_Aop[[#This Row],[Aop nivo]]) &amp; VLOOKUP( T_Aop[[#This Row],[Id]], T_Aop[], ID_Jezik + 6, 1)</f>
        <v xml:space="preserve">      3.1. Gotovinski ekvivalenti </v>
      </c>
      <c r="G63" s="309" t="s">
        <v>955</v>
      </c>
      <c r="H63" s="300" t="s">
        <v>1863</v>
      </c>
      <c r="I63" s="309" t="s">
        <v>1857</v>
      </c>
      <c r="J63" s="395" t="s">
        <v>2978</v>
      </c>
      <c r="K63" s="394" t="s">
        <v>940</v>
      </c>
      <c r="L63" s="287" t="s">
        <v>915</v>
      </c>
      <c r="M63" s="310" t="s">
        <v>1098</v>
      </c>
      <c r="N63" s="274" t="s">
        <v>2410</v>
      </c>
      <c r="O63" s="10"/>
      <c r="P63" s="10"/>
    </row>
    <row r="64" spans="1:16" x14ac:dyDescent="0.2">
      <c r="A64">
        <f t="shared" si="0"/>
        <v>63</v>
      </c>
      <c r="B64" t="s">
        <v>873</v>
      </c>
      <c r="C64">
        <v>3</v>
      </c>
      <c r="D64" s="239">
        <v>63</v>
      </c>
      <c r="E64" s="2" t="str">
        <f>VLOOKUP( T_Aop[[#This Row],[Id]], T_Aop[], ID_Jezik +10, 1)</f>
        <v>241 do 249</v>
      </c>
      <c r="F64" t="str">
        <f>REPT( "  ", T_Aop[[#This Row],[Aop nivo]]) &amp; VLOOKUP( T_Aop[[#This Row],[Id]], T_Aop[], ID_Jezik + 6, 1)</f>
        <v xml:space="preserve">      3.2. Gotovina</v>
      </c>
      <c r="G64" s="309" t="s">
        <v>956</v>
      </c>
      <c r="H64" s="299" t="s">
        <v>1865</v>
      </c>
      <c r="I64" s="309" t="s">
        <v>1858</v>
      </c>
      <c r="J64" s="395" t="s">
        <v>2979</v>
      </c>
      <c r="K64" s="396" t="s">
        <v>89</v>
      </c>
      <c r="L64" s="287" t="s">
        <v>684</v>
      </c>
      <c r="M64" s="310" t="s">
        <v>7</v>
      </c>
      <c r="N64" s="285" t="s">
        <v>684</v>
      </c>
      <c r="O64" s="10"/>
      <c r="P64" s="10"/>
    </row>
    <row r="65" spans="1:16" x14ac:dyDescent="0.2">
      <c r="A65">
        <f t="shared" si="0"/>
        <v>64</v>
      </c>
      <c r="B65" t="s">
        <v>873</v>
      </c>
      <c r="C65">
        <v>2</v>
      </c>
      <c r="D65" s="239">
        <v>64</v>
      </c>
      <c r="E65" s="2" t="str">
        <f>VLOOKUP( T_Aop[[#This Row],[Id]], T_Aop[], ID_Jezik +10, 1)</f>
        <v>270 do 279</v>
      </c>
      <c r="F65" t="str">
        <f>REPT( "  ", T_Aop[[#This Row],[Aop nivo]]) &amp; VLOOKUP( T_Aop[[#This Row],[Id]], T_Aop[], ID_Jezik + 6, 1)</f>
        <v xml:space="preserve">    4. Porez na dodatu vrijednost</v>
      </c>
      <c r="G65" s="309" t="s">
        <v>92</v>
      </c>
      <c r="H65" s="300" t="s">
        <v>1866</v>
      </c>
      <c r="I65" s="309" t="s">
        <v>1859</v>
      </c>
      <c r="J65" s="395" t="s">
        <v>2138</v>
      </c>
      <c r="K65" s="397" t="s">
        <v>8</v>
      </c>
      <c r="L65" s="287" t="s">
        <v>916</v>
      </c>
      <c r="M65" s="310" t="s">
        <v>9</v>
      </c>
      <c r="N65" s="285" t="s">
        <v>2411</v>
      </c>
      <c r="O65" s="10"/>
      <c r="P65" s="10"/>
    </row>
    <row r="66" spans="1:16" x14ac:dyDescent="0.2">
      <c r="A66">
        <f t="shared" ref="A66:A129" si="1">ROW()-ROW($A$1)</f>
        <v>65</v>
      </c>
      <c r="B66" t="s">
        <v>873</v>
      </c>
      <c r="C66">
        <v>2</v>
      </c>
      <c r="D66" s="239">
        <v>65</v>
      </c>
      <c r="E66" s="2" t="str">
        <f>VLOOKUP( T_Aop[[#This Row],[Id]], T_Aop[], ID_Jezik +10, 1)</f>
        <v>280 do 289</v>
      </c>
      <c r="F66" t="str">
        <f>REPT( "  ", T_Aop[[#This Row],[Aop nivo]]) &amp; VLOOKUP( T_Aop[[#This Row],[Id]], T_Aop[], ID_Jezik + 6, 1)</f>
        <v xml:space="preserve">    5. Kratkoročna  razgraničenja</v>
      </c>
      <c r="G66" s="309" t="s">
        <v>957</v>
      </c>
      <c r="H66" s="299" t="s">
        <v>1867</v>
      </c>
      <c r="I66" s="309" t="s">
        <v>1860</v>
      </c>
      <c r="J66" s="395" t="s">
        <v>2139</v>
      </c>
      <c r="K66" s="397" t="s">
        <v>941</v>
      </c>
      <c r="L66" s="287" t="s">
        <v>917</v>
      </c>
      <c r="M66" s="310" t="s">
        <v>1099</v>
      </c>
      <c r="N66" s="244" t="s">
        <v>917</v>
      </c>
      <c r="O66" s="10"/>
      <c r="P66" s="10"/>
    </row>
    <row r="67" spans="1:16" ht="13.5" thickBot="1" x14ac:dyDescent="0.25">
      <c r="A67">
        <f t="shared" si="1"/>
        <v>66</v>
      </c>
      <c r="B67" t="s">
        <v>873</v>
      </c>
      <c r="C67">
        <v>1</v>
      </c>
      <c r="D67" s="239">
        <v>66</v>
      </c>
      <c r="E67" s="2">
        <f>VLOOKUP( T_Aop[[#This Row],[Id]], T_Aop[], ID_Jezik +10, 1)</f>
        <v>0</v>
      </c>
      <c r="F67" t="str">
        <f>REPT( "  ", T_Aop[[#This Row],[Aop nivo]]) &amp; VLOOKUP( T_Aop[[#This Row],[Id]], T_Aop[], ID_Jezik + 6, 1)</f>
        <v xml:space="preserve">  G. BILANSNA AKTIVA (001 + 035 + 036)</v>
      </c>
      <c r="G67" s="309" t="s">
        <v>958</v>
      </c>
      <c r="H67" s="309" t="s">
        <v>1115</v>
      </c>
      <c r="I67" s="309" t="s">
        <v>1105</v>
      </c>
      <c r="J67" s="395" t="s">
        <v>2140</v>
      </c>
      <c r="K67" s="398">
        <v>0</v>
      </c>
      <c r="L67" s="289"/>
      <c r="M67" s="310"/>
      <c r="N67" s="311"/>
      <c r="O67" s="10">
        <v>1</v>
      </c>
      <c r="P67" s="10"/>
    </row>
    <row r="68" spans="1:16" ht="13.5" thickBot="1" x14ac:dyDescent="0.25">
      <c r="A68">
        <f t="shared" si="1"/>
        <v>67</v>
      </c>
      <c r="B68" t="s">
        <v>873</v>
      </c>
      <c r="C68">
        <v>1</v>
      </c>
      <c r="D68" s="239">
        <v>67</v>
      </c>
      <c r="E68" s="2" t="str">
        <f>VLOOKUP( T_Aop[[#This Row],[Id]], T_Aop[], ID_Jezik +10, 1)</f>
        <v>880 do 888</v>
      </c>
      <c r="F68" s="235" t="str">
        <f>REPT( "  ", T_Aop[[#This Row],[Aop nivo]]) &amp; VLOOKUP( T_Aop[[#This Row],[Id]], T_Aop[], ID_Jezik + 6, 1)</f>
        <v xml:space="preserve">  D. VANBILANSNA AKTIVA</v>
      </c>
      <c r="G68" s="309" t="s">
        <v>959</v>
      </c>
      <c r="H68" s="309" t="s">
        <v>1116</v>
      </c>
      <c r="I68" s="309" t="s">
        <v>1106</v>
      </c>
      <c r="J68" s="395" t="s">
        <v>2141</v>
      </c>
      <c r="K68" s="399" t="s">
        <v>2685</v>
      </c>
      <c r="L68" s="289" t="s">
        <v>685</v>
      </c>
      <c r="M68" s="310" t="s">
        <v>2686</v>
      </c>
      <c r="N68" s="274" t="s">
        <v>685</v>
      </c>
      <c r="O68" s="10">
        <v>1</v>
      </c>
      <c r="P68" s="10"/>
    </row>
    <row r="69" spans="1:16" ht="30" customHeight="1" x14ac:dyDescent="0.2">
      <c r="A69">
        <f t="shared" si="1"/>
        <v>68</v>
      </c>
      <c r="B69" t="s">
        <v>872</v>
      </c>
      <c r="C69">
        <v>1</v>
      </c>
      <c r="D69" s="239">
        <v>101</v>
      </c>
      <c r="E69" s="2">
        <f>VLOOKUP( T_Aop[[#This Row],[Id]], T_Aop[], ID_Jezik +10, 1)</f>
        <v>0</v>
      </c>
      <c r="F69" t="str">
        <f>REPT( "  ", T_Aop[[#This Row],[Aop nivo]]) &amp; VLOOKUP( T_Aop[[#This Row],[Id]], T_Aop[], ID_Jezik + 6, 1)</f>
        <v xml:space="preserve">  BILANSNA PASIVA
A. KAPITAL  (102 -110 + 113 - 114 + 115 + 119 + 122 - 123 + 124 - 128 + 131)</v>
      </c>
      <c r="G69" s="299" t="s">
        <v>2324</v>
      </c>
      <c r="H69" s="309" t="s">
        <v>967</v>
      </c>
      <c r="I69" s="306" t="s">
        <v>1226</v>
      </c>
      <c r="J69" s="377" t="s">
        <v>2142</v>
      </c>
      <c r="K69" s="313"/>
      <c r="L69" s="313"/>
      <c r="M69" s="313"/>
      <c r="N69" s="311"/>
      <c r="O69" s="10">
        <v>1</v>
      </c>
      <c r="P69" s="10"/>
    </row>
    <row r="70" spans="1:16" ht="16.5" customHeight="1" x14ac:dyDescent="0.2">
      <c r="A70">
        <f t="shared" si="1"/>
        <v>69</v>
      </c>
      <c r="B70" t="s">
        <v>872</v>
      </c>
      <c r="C70">
        <v>1</v>
      </c>
      <c r="D70" s="239">
        <v>102</v>
      </c>
      <c r="E70" s="2">
        <f>VLOOKUP( T_Aop[[#This Row],[Id]], T_Aop[], ID_Jezik +10, 1)</f>
        <v>29</v>
      </c>
      <c r="F70" t="str">
        <f>REPT( "  ", T_Aop[[#This Row],[Aop nivo]]) &amp; VLOOKUP( T_Aop[[#This Row],[Id]], T_Aop[], ID_Jezik + 6, 1)</f>
        <v xml:space="preserve">  I OSNOVNI KAPITAL (103 + 106 + 107 + 108 + 109)</v>
      </c>
      <c r="G70" s="309" t="s">
        <v>1231</v>
      </c>
      <c r="H70" s="309" t="s">
        <v>1232</v>
      </c>
      <c r="I70" s="312" t="s">
        <v>2879</v>
      </c>
      <c r="J70" s="395" t="s">
        <v>2143</v>
      </c>
      <c r="K70" s="400">
        <v>29</v>
      </c>
      <c r="L70" s="290">
        <v>29</v>
      </c>
      <c r="M70" s="314" t="s">
        <v>2586</v>
      </c>
      <c r="N70" s="274">
        <v>29</v>
      </c>
      <c r="O70" s="10">
        <v>1</v>
      </c>
      <c r="P70" s="10"/>
    </row>
    <row r="71" spans="1:16" ht="16.5" customHeight="1" x14ac:dyDescent="0.2">
      <c r="A71">
        <f t="shared" si="1"/>
        <v>70</v>
      </c>
      <c r="B71" t="s">
        <v>872</v>
      </c>
      <c r="C71">
        <v>2</v>
      </c>
      <c r="D71" s="239">
        <v>103</v>
      </c>
      <c r="E71" s="2">
        <f>VLOOKUP( T_Aop[[#This Row],[Id]], T_Aop[], ID_Jezik +10, 1)</f>
        <v>300</v>
      </c>
      <c r="F71" t="str">
        <f>REPT( "  ", T_Aop[[#This Row],[Aop nivo]]) &amp; VLOOKUP( T_Aop[[#This Row],[Id]], T_Aop[], ID_Jezik + 6, 1)</f>
        <v xml:space="preserve">    1. Akcijski kapital (104 + 105)</v>
      </c>
      <c r="G71" s="309" t="s">
        <v>1182</v>
      </c>
      <c r="H71" s="309" t="s">
        <v>968</v>
      </c>
      <c r="I71" s="312" t="s">
        <v>2687</v>
      </c>
      <c r="J71" s="395" t="s">
        <v>2144</v>
      </c>
      <c r="K71" s="401">
        <v>300</v>
      </c>
      <c r="L71" s="294">
        <v>300</v>
      </c>
      <c r="M71" s="314">
        <v>300</v>
      </c>
      <c r="N71" s="274">
        <v>300</v>
      </c>
      <c r="O71" s="10">
        <v>1</v>
      </c>
      <c r="P71" s="10"/>
    </row>
    <row r="72" spans="1:16" ht="12" customHeight="1" x14ac:dyDescent="0.2">
      <c r="A72">
        <f t="shared" si="1"/>
        <v>71</v>
      </c>
      <c r="B72" t="s">
        <v>872</v>
      </c>
      <c r="C72">
        <v>3</v>
      </c>
      <c r="D72" s="239">
        <v>104</v>
      </c>
      <c r="E72" s="2">
        <f>VLOOKUP( T_Aop[[#This Row],[Id]], T_Aop[], ID_Jezik +10, 1)</f>
        <v>0</v>
      </c>
      <c r="F72" t="str">
        <f>REPT( "  ", T_Aop[[#This Row],[Aop nivo]]) &amp; VLOOKUP( T_Aop[[#This Row],[Id]], T_Aop[], ID_Jezik + 6, 1)</f>
        <v xml:space="preserve">      1.1. Akcijski kapital - obične akcije </v>
      </c>
      <c r="G72" s="309" t="s">
        <v>1183</v>
      </c>
      <c r="H72" s="309" t="s">
        <v>969</v>
      </c>
      <c r="I72" s="312" t="s">
        <v>1868</v>
      </c>
      <c r="J72" s="395" t="s">
        <v>2630</v>
      </c>
      <c r="K72" s="401"/>
      <c r="L72" s="294"/>
      <c r="M72" s="314"/>
      <c r="N72" s="274"/>
      <c r="O72" s="10"/>
      <c r="P72" s="10"/>
    </row>
    <row r="73" spans="1:16" ht="14.25" customHeight="1" x14ac:dyDescent="0.2">
      <c r="A73">
        <f t="shared" si="1"/>
        <v>72</v>
      </c>
      <c r="B73" t="s">
        <v>872</v>
      </c>
      <c r="C73">
        <v>3</v>
      </c>
      <c r="D73" s="239">
        <v>105</v>
      </c>
      <c r="E73" s="2">
        <f>VLOOKUP( T_Aop[[#This Row],[Id]], T_Aop[], ID_Jezik +10, 1)</f>
        <v>0</v>
      </c>
      <c r="F73" t="str">
        <f>REPT( "  ", T_Aop[[#This Row],[Aop nivo]]) &amp; VLOOKUP( T_Aop[[#This Row],[Id]], T_Aop[], ID_Jezik + 6, 1)</f>
        <v xml:space="preserve">      1.2. Akcijski kapital – povlašćene (prioritetne) akcije</v>
      </c>
      <c r="G73" s="309" t="s">
        <v>1184</v>
      </c>
      <c r="H73" s="309" t="s">
        <v>970</v>
      </c>
      <c r="I73" s="312" t="s">
        <v>1869</v>
      </c>
      <c r="J73" s="395" t="s">
        <v>2631</v>
      </c>
      <c r="K73" s="401"/>
      <c r="L73" s="294"/>
      <c r="M73" s="314"/>
      <c r="N73" s="274"/>
      <c r="O73" s="10"/>
      <c r="P73" s="10"/>
    </row>
    <row r="74" spans="1:16" ht="14.25" customHeight="1" x14ac:dyDescent="0.2">
      <c r="A74">
        <f t="shared" si="1"/>
        <v>73</v>
      </c>
      <c r="B74" t="s">
        <v>872</v>
      </c>
      <c r="C74">
        <v>2</v>
      </c>
      <c r="D74" s="239">
        <v>106</v>
      </c>
      <c r="E74" s="2">
        <f>VLOOKUP( T_Aop[[#This Row],[Id]], T_Aop[], ID_Jezik +10, 1)</f>
        <v>302</v>
      </c>
      <c r="F74" t="str">
        <f>REPT( "  ", T_Aop[[#This Row],[Aop nivo]]) &amp; VLOOKUP( T_Aop[[#This Row],[Id]], T_Aop[], ID_Jezik + 6, 1)</f>
        <v xml:space="preserve">    2. Udjeli društva sa ograničenom odgovornošću</v>
      </c>
      <c r="G74" s="309" t="s">
        <v>101</v>
      </c>
      <c r="H74" s="309" t="s">
        <v>520</v>
      </c>
      <c r="I74" s="312" t="s">
        <v>1870</v>
      </c>
      <c r="J74" s="395" t="s">
        <v>2145</v>
      </c>
      <c r="K74" s="401">
        <v>302</v>
      </c>
      <c r="L74" s="294">
        <v>302</v>
      </c>
      <c r="M74" s="314">
        <v>302</v>
      </c>
      <c r="N74" s="274">
        <v>302</v>
      </c>
      <c r="O74" s="10"/>
      <c r="P74" s="10"/>
    </row>
    <row r="75" spans="1:16" ht="14.25" customHeight="1" x14ac:dyDescent="0.2">
      <c r="A75">
        <f t="shared" si="1"/>
        <v>74</v>
      </c>
      <c r="B75" t="s">
        <v>872</v>
      </c>
      <c r="C75">
        <v>2</v>
      </c>
      <c r="D75" s="239">
        <v>107</v>
      </c>
      <c r="E75" s="2">
        <f>VLOOKUP( T_Aop[[#This Row],[Id]], T_Aop[], ID_Jezik +10, 1)</f>
        <v>304</v>
      </c>
      <c r="F75" t="str">
        <f>REPT( "  ", T_Aop[[#This Row],[Aop nivo]]) &amp; VLOOKUP( T_Aop[[#This Row],[Id]], T_Aop[], ID_Jezik + 6, 1)</f>
        <v xml:space="preserve">    3. Ulozi</v>
      </c>
      <c r="G75" s="309" t="s">
        <v>2320</v>
      </c>
      <c r="H75" s="309" t="s">
        <v>2322</v>
      </c>
      <c r="I75" s="312" t="s">
        <v>1871</v>
      </c>
      <c r="J75" s="395" t="s">
        <v>2146</v>
      </c>
      <c r="K75" s="401">
        <v>304</v>
      </c>
      <c r="L75" s="294">
        <v>304</v>
      </c>
      <c r="M75" s="314">
        <v>304</v>
      </c>
      <c r="N75" s="274">
        <v>304</v>
      </c>
      <c r="O75" s="10"/>
      <c r="P75" s="10"/>
    </row>
    <row r="76" spans="1:16" ht="14.25" customHeight="1" x14ac:dyDescent="0.2">
      <c r="A76">
        <f t="shared" si="1"/>
        <v>75</v>
      </c>
      <c r="B76" t="s">
        <v>872</v>
      </c>
      <c r="C76">
        <v>2</v>
      </c>
      <c r="D76" s="239">
        <v>108</v>
      </c>
      <c r="E76" s="2">
        <f>VLOOKUP( T_Aop[[#This Row],[Id]], T_Aop[], ID_Jezik +10, 1)</f>
        <v>305</v>
      </c>
      <c r="F76" t="str">
        <f>REPT( "  ", T_Aop[[#This Row],[Aop nivo]]) &amp; VLOOKUP( T_Aop[[#This Row],[Id]], T_Aop[], ID_Jezik + 6, 1)</f>
        <v xml:space="preserve">    4. Državni kapital</v>
      </c>
      <c r="G76" s="309" t="s">
        <v>2321</v>
      </c>
      <c r="H76" s="309" t="s">
        <v>2323</v>
      </c>
      <c r="I76" s="312" t="s">
        <v>1872</v>
      </c>
      <c r="J76" s="395" t="s">
        <v>2147</v>
      </c>
      <c r="K76" s="401">
        <v>305</v>
      </c>
      <c r="L76" s="294">
        <v>305</v>
      </c>
      <c r="M76" s="314">
        <v>305</v>
      </c>
      <c r="N76" s="274">
        <v>305</v>
      </c>
      <c r="O76" s="10"/>
      <c r="P76" s="10"/>
    </row>
    <row r="77" spans="1:16" ht="14.25" customHeight="1" x14ac:dyDescent="0.2">
      <c r="A77">
        <f t="shared" si="1"/>
        <v>76</v>
      </c>
      <c r="B77" t="s">
        <v>872</v>
      </c>
      <c r="C77">
        <v>2</v>
      </c>
      <c r="D77" s="239">
        <v>109</v>
      </c>
      <c r="E77" s="2" t="str">
        <f>VLOOKUP( T_Aop[[#This Row],[Id]], T_Aop[], ID_Jezik +10, 1)</f>
        <v>309</v>
      </c>
      <c r="F77" t="str">
        <f>REPT( "  ", T_Aop[[#This Row],[Aop nivo]]) &amp; VLOOKUP( T_Aop[[#This Row],[Id]], T_Aop[], ID_Jezik + 6, 1)</f>
        <v xml:space="preserve">    5. Ostali osnovni kapital</v>
      </c>
      <c r="G77" s="309" t="s">
        <v>1185</v>
      </c>
      <c r="H77" s="309" t="s">
        <v>971</v>
      </c>
      <c r="I77" s="312" t="s">
        <v>1873</v>
      </c>
      <c r="J77" s="395" t="s">
        <v>2148</v>
      </c>
      <c r="K77" s="401" t="s">
        <v>851</v>
      </c>
      <c r="L77" s="268" t="s">
        <v>851</v>
      </c>
      <c r="M77" s="268" t="s">
        <v>851</v>
      </c>
      <c r="N77" s="268" t="s">
        <v>851</v>
      </c>
      <c r="O77" s="10"/>
      <c r="P77" s="10"/>
    </row>
    <row r="78" spans="1:16" ht="14.25" customHeight="1" x14ac:dyDescent="0.2">
      <c r="A78">
        <f t="shared" si="1"/>
        <v>77</v>
      </c>
      <c r="B78" t="s">
        <v>872</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300" t="s">
        <v>2932</v>
      </c>
      <c r="H78" s="309" t="s">
        <v>2329</v>
      </c>
      <c r="I78" s="312" t="s">
        <v>2688</v>
      </c>
      <c r="J78" s="395" t="s">
        <v>2149</v>
      </c>
      <c r="K78" s="402">
        <v>31</v>
      </c>
      <c r="L78" s="291">
        <v>31</v>
      </c>
      <c r="M78" s="314">
        <v>31</v>
      </c>
      <c r="N78" s="274">
        <v>31</v>
      </c>
      <c r="O78" s="10">
        <v>1</v>
      </c>
      <c r="P78" s="10"/>
    </row>
    <row r="79" spans="1:16" ht="14.25" customHeight="1" x14ac:dyDescent="0.2">
      <c r="A79">
        <f t="shared" si="1"/>
        <v>78</v>
      </c>
      <c r="B79" t="s">
        <v>872</v>
      </c>
      <c r="C79">
        <v>2</v>
      </c>
      <c r="D79" s="3">
        <v>111</v>
      </c>
      <c r="E79" s="2">
        <f>VLOOKUP( T_Aop[[#This Row],[Id]], T_Aop[], ID_Jezik +10, 1)</f>
        <v>310</v>
      </c>
      <c r="F79" t="str">
        <f>REPT( "  ", T_Aop[[#This Row],[Aop nivo]]) &amp; VLOOKUP( T_Aop[[#This Row],[Id]], T_Aop[], ID_Jezik + 6, 1)</f>
        <v xml:space="preserve">    1. Otkupljene sopstvene akcije i udjeli </v>
      </c>
      <c r="G79" s="309" t="s">
        <v>1186</v>
      </c>
      <c r="H79" s="309" t="s">
        <v>972</v>
      </c>
      <c r="I79" s="312" t="s">
        <v>1874</v>
      </c>
      <c r="J79" s="395" t="s">
        <v>2150</v>
      </c>
      <c r="K79" s="401">
        <v>310</v>
      </c>
      <c r="L79" s="294">
        <v>310</v>
      </c>
      <c r="M79" s="314">
        <v>310</v>
      </c>
      <c r="N79" s="274">
        <v>310</v>
      </c>
      <c r="O79" s="10">
        <v>1</v>
      </c>
      <c r="P79" s="10"/>
    </row>
    <row r="80" spans="1:16" ht="14.25" customHeight="1" x14ac:dyDescent="0.2">
      <c r="A80">
        <f t="shared" si="1"/>
        <v>79</v>
      </c>
      <c r="B80" t="s">
        <v>872</v>
      </c>
      <c r="C80">
        <v>2</v>
      </c>
      <c r="D80" s="3">
        <v>112</v>
      </c>
      <c r="E80" s="2">
        <f>VLOOKUP( T_Aop[[#This Row],[Id]], T_Aop[], ID_Jezik +10, 1)</f>
        <v>311</v>
      </c>
      <c r="F80" t="str">
        <f>REPT( "  ", T_Aop[[#This Row],[Aop nivo]]) &amp; VLOOKUP( T_Aop[[#This Row],[Id]], T_Aop[], ID_Jezik + 6, 1)</f>
        <v xml:space="preserve">    2. Upisani neuplaćeni kapital</v>
      </c>
      <c r="G80" s="309" t="s">
        <v>1187</v>
      </c>
      <c r="H80" s="309" t="s">
        <v>973</v>
      </c>
      <c r="I80" s="312" t="s">
        <v>1875</v>
      </c>
      <c r="J80" s="395" t="s">
        <v>2151</v>
      </c>
      <c r="K80" s="401">
        <v>311</v>
      </c>
      <c r="L80" s="294">
        <v>311</v>
      </c>
      <c r="M80" s="314">
        <v>311</v>
      </c>
      <c r="N80" s="274">
        <v>311</v>
      </c>
      <c r="O80" s="10">
        <v>1</v>
      </c>
      <c r="P80" s="10"/>
    </row>
    <row r="81" spans="1:16" ht="14.25" customHeight="1" x14ac:dyDescent="0.2">
      <c r="A81">
        <f t="shared" si="1"/>
        <v>80</v>
      </c>
      <c r="B81" t="s">
        <v>872</v>
      </c>
      <c r="C81">
        <v>1</v>
      </c>
      <c r="D81" s="3">
        <v>113</v>
      </c>
      <c r="E81" s="2">
        <f>VLOOKUP( T_Aop[[#This Row],[Id]], T_Aop[], ID_Jezik +10, 1)</f>
        <v>320</v>
      </c>
      <c r="F81" t="str">
        <f>REPT( "  ", T_Aop[[#This Row],[Aop nivo]]) &amp; VLOOKUP( T_Aop[[#This Row],[Id]], T_Aop[], ID_Jezik + 6, 1)</f>
        <v xml:space="preserve">  III EMISIONA PREMIJA</v>
      </c>
      <c r="G81" s="300" t="s">
        <v>1188</v>
      </c>
      <c r="H81" s="309" t="s">
        <v>974</v>
      </c>
      <c r="I81" s="312" t="s">
        <v>1876</v>
      </c>
      <c r="J81" s="395" t="s">
        <v>2152</v>
      </c>
      <c r="K81" s="401">
        <v>320</v>
      </c>
      <c r="L81" s="294">
        <v>320</v>
      </c>
      <c r="M81" s="314">
        <v>320</v>
      </c>
      <c r="N81" s="274">
        <v>320</v>
      </c>
      <c r="O81" s="10">
        <v>1</v>
      </c>
      <c r="P81" s="10"/>
    </row>
    <row r="82" spans="1:16" ht="14.25" customHeight="1" x14ac:dyDescent="0.2">
      <c r="A82">
        <f t="shared" si="1"/>
        <v>81</v>
      </c>
      <c r="B82" t="s">
        <v>872</v>
      </c>
      <c r="C82">
        <v>1</v>
      </c>
      <c r="D82" s="3">
        <v>114</v>
      </c>
      <c r="E82" s="2">
        <f>VLOOKUP( T_Aop[[#This Row],[Id]], T_Aop[], ID_Jezik +10, 1)</f>
        <v>321</v>
      </c>
      <c r="F82" t="str">
        <f>REPT( "  ", T_Aop[[#This Row],[Aop nivo]]) &amp; VLOOKUP( T_Aop[[#This Row],[Id]], T_Aop[], ID_Jezik + 6, 1)</f>
        <v xml:space="preserve">  IV EMISIONI GUBITAK</v>
      </c>
      <c r="G82" s="300" t="s">
        <v>2931</v>
      </c>
      <c r="H82" s="309" t="s">
        <v>2874</v>
      </c>
      <c r="I82" s="312" t="s">
        <v>1877</v>
      </c>
      <c r="J82" s="395" t="s">
        <v>2153</v>
      </c>
      <c r="K82" s="401">
        <v>321</v>
      </c>
      <c r="L82" s="294">
        <v>321</v>
      </c>
      <c r="M82" s="314">
        <v>321</v>
      </c>
      <c r="N82" s="274">
        <v>321</v>
      </c>
      <c r="O82" s="10"/>
      <c r="P82" s="10"/>
    </row>
    <row r="83" spans="1:16" ht="14.25" customHeight="1" x14ac:dyDescent="0.2">
      <c r="A83">
        <f t="shared" si="1"/>
        <v>82</v>
      </c>
      <c r="B83" t="s">
        <v>872</v>
      </c>
      <c r="C83">
        <v>1</v>
      </c>
      <c r="D83" s="3">
        <v>115</v>
      </c>
      <c r="E83" s="2" t="str">
        <f>VLOOKUP( T_Aop[[#This Row],[Id]], T_Aop[], ID_Jezik +10, 1)</f>
        <v>dio 32</v>
      </c>
      <c r="F83" t="str">
        <f>REPT( "  ", T_Aop[[#This Row],[Aop nivo]]) &amp; VLOOKUP( T_Aop[[#This Row],[Id]], T_Aop[], ID_Jezik + 6, 1)</f>
        <v xml:space="preserve">  V REZERVE (116 do 118)</v>
      </c>
      <c r="G83" s="300" t="s">
        <v>2873</v>
      </c>
      <c r="H83" s="309" t="s">
        <v>2875</v>
      </c>
      <c r="I83" s="312" t="s">
        <v>2876</v>
      </c>
      <c r="J83" s="395" t="s">
        <v>2154</v>
      </c>
      <c r="K83" s="402" t="s">
        <v>97</v>
      </c>
      <c r="L83" s="291" t="s">
        <v>686</v>
      </c>
      <c r="M83" s="314" t="s">
        <v>41</v>
      </c>
      <c r="N83" s="274" t="s">
        <v>2412</v>
      </c>
      <c r="O83" s="10"/>
      <c r="P83" s="10"/>
    </row>
    <row r="84" spans="1:16" ht="14.25" customHeight="1" x14ac:dyDescent="0.2">
      <c r="A84">
        <f t="shared" si="1"/>
        <v>83</v>
      </c>
      <c r="B84" t="s">
        <v>872</v>
      </c>
      <c r="C84">
        <v>2</v>
      </c>
      <c r="D84" s="3">
        <v>116</v>
      </c>
      <c r="E84" s="2">
        <f>VLOOKUP( T_Aop[[#This Row],[Id]], T_Aop[], ID_Jezik +10, 1)</f>
        <v>322</v>
      </c>
      <c r="F84" t="str">
        <f>REPT( "  ", T_Aop[[#This Row],[Aop nivo]]) &amp; VLOOKUP( T_Aop[[#This Row],[Id]], T_Aop[], ID_Jezik + 6, 1)</f>
        <v xml:space="preserve">    1. Zakonske rezerve</v>
      </c>
      <c r="G84" s="309" t="s">
        <v>73</v>
      </c>
      <c r="H84" s="309" t="s">
        <v>521</v>
      </c>
      <c r="I84" s="312" t="s">
        <v>2842</v>
      </c>
      <c r="J84" s="395" t="s">
        <v>2632</v>
      </c>
      <c r="K84" s="401">
        <v>322</v>
      </c>
      <c r="L84" s="294">
        <v>322</v>
      </c>
      <c r="M84" s="314">
        <v>322</v>
      </c>
      <c r="N84" s="274">
        <v>322</v>
      </c>
      <c r="O84" s="10"/>
      <c r="P84" s="10"/>
    </row>
    <row r="85" spans="1:16" ht="14.25" customHeight="1" x14ac:dyDescent="0.2">
      <c r="A85">
        <f t="shared" si="1"/>
        <v>84</v>
      </c>
      <c r="B85" t="s">
        <v>872</v>
      </c>
      <c r="C85">
        <v>2</v>
      </c>
      <c r="D85" s="3">
        <v>117</v>
      </c>
      <c r="E85" s="2">
        <f>VLOOKUP( T_Aop[[#This Row],[Id]], T_Aop[], ID_Jezik +10, 1)</f>
        <v>323</v>
      </c>
      <c r="F85" t="str">
        <f>REPT( "  ", T_Aop[[#This Row],[Aop nivo]]) &amp; VLOOKUP( T_Aop[[#This Row],[Id]], T_Aop[], ID_Jezik + 6, 1)</f>
        <v xml:space="preserve">    2. Statutarne rezerve</v>
      </c>
      <c r="G85" s="309" t="s">
        <v>93</v>
      </c>
      <c r="H85" s="309" t="s">
        <v>522</v>
      </c>
      <c r="I85" s="312" t="s">
        <v>2844</v>
      </c>
      <c r="J85" s="395" t="s">
        <v>2633</v>
      </c>
      <c r="K85" s="401">
        <v>323</v>
      </c>
      <c r="L85" s="294">
        <v>323</v>
      </c>
      <c r="M85" s="314">
        <v>323</v>
      </c>
      <c r="N85" s="274">
        <v>323</v>
      </c>
      <c r="O85" s="10">
        <v>1</v>
      </c>
      <c r="P85" s="10"/>
    </row>
    <row r="86" spans="1:16" ht="14.25" customHeight="1" x14ac:dyDescent="0.2">
      <c r="A86">
        <f t="shared" si="1"/>
        <v>85</v>
      </c>
      <c r="B86" t="s">
        <v>872</v>
      </c>
      <c r="C86">
        <v>2</v>
      </c>
      <c r="D86" s="3">
        <v>118</v>
      </c>
      <c r="E86" s="2">
        <f>VLOOKUP( T_Aop[[#This Row],[Id]], T_Aop[], ID_Jezik +10, 1)</f>
        <v>329</v>
      </c>
      <c r="F86" t="str">
        <f>REPT( "  ", T_Aop[[#This Row],[Aop nivo]]) &amp; VLOOKUP( T_Aop[[#This Row],[Id]], T_Aop[], ID_Jezik + 6, 1)</f>
        <v xml:space="preserve">    3. Ostale rezerve</v>
      </c>
      <c r="G86" s="309" t="s">
        <v>523</v>
      </c>
      <c r="H86" s="309" t="s">
        <v>524</v>
      </c>
      <c r="I86" s="312" t="s">
        <v>2843</v>
      </c>
      <c r="J86" s="395" t="s">
        <v>2634</v>
      </c>
      <c r="K86" s="401">
        <v>329</v>
      </c>
      <c r="L86" s="294">
        <v>329</v>
      </c>
      <c r="M86" s="314">
        <v>329</v>
      </c>
      <c r="N86" s="274">
        <v>329</v>
      </c>
      <c r="O86" s="10">
        <v>1</v>
      </c>
      <c r="P86" s="10"/>
    </row>
    <row r="87" spans="1:16" ht="14.25" customHeight="1" x14ac:dyDescent="0.2">
      <c r="A87">
        <f t="shared" si="1"/>
        <v>86</v>
      </c>
      <c r="B87" t="s">
        <v>872</v>
      </c>
      <c r="C87">
        <v>1</v>
      </c>
      <c r="D87" s="3">
        <v>119</v>
      </c>
      <c r="E87" s="2" t="str">
        <f>VLOOKUP( T_Aop[[#This Row],[Id]], T_Aop[], ID_Jezik +10, 1)</f>
        <v>dio 33</v>
      </c>
      <c r="F87" t="str">
        <f>REPT( "  ", T_Aop[[#This Row],[Aop nivo]]) &amp; VLOOKUP( T_Aop[[#This Row],[Id]], T_Aop[], ID_Jezik + 6, 1)</f>
        <v xml:space="preserve">   VI REVALORIZACIONE REZERVE (120 + 121)</v>
      </c>
      <c r="G87" s="300" t="s">
        <v>1189</v>
      </c>
      <c r="H87" s="309" t="s">
        <v>975</v>
      </c>
      <c r="I87" s="312" t="s">
        <v>2878</v>
      </c>
      <c r="J87" s="395" t="s">
        <v>2155</v>
      </c>
      <c r="K87" s="402" t="s">
        <v>1937</v>
      </c>
      <c r="L87" s="291" t="s">
        <v>1017</v>
      </c>
      <c r="M87" s="314" t="s">
        <v>1925</v>
      </c>
      <c r="N87" s="274" t="s">
        <v>2413</v>
      </c>
      <c r="O87" s="10">
        <v>1</v>
      </c>
      <c r="P87" s="10"/>
    </row>
    <row r="88" spans="1:16" ht="14.25" customHeight="1" x14ac:dyDescent="0.2">
      <c r="A88">
        <f t="shared" si="1"/>
        <v>87</v>
      </c>
      <c r="B88" t="s">
        <v>872</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309" t="s">
        <v>1190</v>
      </c>
      <c r="H88" s="309" t="s">
        <v>976</v>
      </c>
      <c r="I88" s="312" t="s">
        <v>1878</v>
      </c>
      <c r="J88" s="395" t="s">
        <v>2156</v>
      </c>
      <c r="K88" s="402">
        <v>330</v>
      </c>
      <c r="L88" s="291">
        <v>330</v>
      </c>
      <c r="M88" s="314">
        <v>330</v>
      </c>
      <c r="N88" s="274">
        <v>330</v>
      </c>
      <c r="O88" s="10">
        <v>1</v>
      </c>
      <c r="P88" s="10"/>
    </row>
    <row r="89" spans="1:16" ht="14.25" customHeight="1" x14ac:dyDescent="0.2">
      <c r="A89">
        <f t="shared" si="1"/>
        <v>88</v>
      </c>
      <c r="B89" t="s">
        <v>872</v>
      </c>
      <c r="C89">
        <v>2</v>
      </c>
      <c r="D89" s="3">
        <v>121</v>
      </c>
      <c r="E89" s="2" t="str">
        <f>VLOOKUP( T_Aop[[#This Row],[Id]], T_Aop[], ID_Jezik +10, 1)</f>
        <v>331 i 334</v>
      </c>
      <c r="F89" t="str">
        <f>REPT( "  ", T_Aop[[#This Row],[Aop nivo]]) &amp; VLOOKUP( T_Aop[[#This Row],[Id]], T_Aop[], ID_Jezik + 6, 1)</f>
        <v xml:space="preserve">    2. Ostale revalorizacione rezerve</v>
      </c>
      <c r="G89" s="309" t="s">
        <v>1191</v>
      </c>
      <c r="H89" s="309" t="s">
        <v>977</v>
      </c>
      <c r="I89" s="312" t="s">
        <v>1879</v>
      </c>
      <c r="J89" s="395" t="s">
        <v>2157</v>
      </c>
      <c r="K89" s="402" t="s">
        <v>1947</v>
      </c>
      <c r="L89" s="291" t="s">
        <v>1018</v>
      </c>
      <c r="M89" s="314" t="s">
        <v>1926</v>
      </c>
      <c r="N89" s="274" t="s">
        <v>1018</v>
      </c>
      <c r="O89" s="10"/>
      <c r="P89" s="10"/>
    </row>
    <row r="90" spans="1:16" ht="14.25" customHeight="1" x14ac:dyDescent="0.2">
      <c r="A90">
        <f t="shared" si="1"/>
        <v>89</v>
      </c>
      <c r="B90" t="s">
        <v>872</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300" t="s">
        <v>2846</v>
      </c>
      <c r="H90" s="309" t="s">
        <v>2845</v>
      </c>
      <c r="I90" s="312" t="s">
        <v>1880</v>
      </c>
      <c r="J90" s="395" t="s">
        <v>2158</v>
      </c>
      <c r="K90" s="402">
        <v>332</v>
      </c>
      <c r="L90" s="291">
        <v>332</v>
      </c>
      <c r="M90" s="292">
        <v>332</v>
      </c>
      <c r="N90" s="274">
        <v>332</v>
      </c>
      <c r="O90" s="10"/>
      <c r="P90" s="10"/>
    </row>
    <row r="91" spans="1:16" ht="14.25" customHeight="1" x14ac:dyDescent="0.2">
      <c r="A91">
        <f t="shared" si="1"/>
        <v>90</v>
      </c>
      <c r="B91" t="s">
        <v>872</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300" t="s">
        <v>1768</v>
      </c>
      <c r="H91" s="309" t="s">
        <v>978</v>
      </c>
      <c r="I91" s="312" t="s">
        <v>1881</v>
      </c>
      <c r="J91" s="395" t="s">
        <v>2159</v>
      </c>
      <c r="K91" s="400">
        <v>333</v>
      </c>
      <c r="L91" s="290">
        <v>333</v>
      </c>
      <c r="M91" s="293">
        <v>333</v>
      </c>
      <c r="N91" s="274">
        <v>333</v>
      </c>
      <c r="O91" s="10"/>
      <c r="P91" s="10"/>
    </row>
    <row r="92" spans="1:16" ht="14.25" customHeight="1" x14ac:dyDescent="0.2">
      <c r="A92">
        <f t="shared" si="1"/>
        <v>91</v>
      </c>
      <c r="B92" t="s">
        <v>872</v>
      </c>
      <c r="C92">
        <v>1</v>
      </c>
      <c r="D92" s="3">
        <v>124</v>
      </c>
      <c r="E92" s="2">
        <f>VLOOKUP( T_Aop[[#This Row],[Id]], T_Aop[], ID_Jezik +10, 1)</f>
        <v>34</v>
      </c>
      <c r="F92" t="str">
        <f>REPT( "  ", T_Aop[[#This Row],[Aop nivo]]) &amp; VLOOKUP( T_Aop[[#This Row],[Id]], T_Aop[], ID_Jezik + 6, 1)</f>
        <v xml:space="preserve">  IX  NERASPOREĐENA DOBIT (125 do 127)</v>
      </c>
      <c r="G92" s="309" t="s">
        <v>2872</v>
      </c>
      <c r="H92" s="309" t="s">
        <v>2880</v>
      </c>
      <c r="I92" s="312" t="s">
        <v>2877</v>
      </c>
      <c r="J92" s="395" t="s">
        <v>2160</v>
      </c>
      <c r="K92" s="402">
        <v>34</v>
      </c>
      <c r="L92" s="291">
        <v>34</v>
      </c>
      <c r="M92" s="292">
        <v>34</v>
      </c>
      <c r="N92" s="274">
        <v>34</v>
      </c>
      <c r="O92" s="10"/>
      <c r="P92" s="10"/>
    </row>
    <row r="93" spans="1:16" ht="14.25" customHeight="1" x14ac:dyDescent="0.2">
      <c r="A93">
        <f t="shared" si="1"/>
        <v>92</v>
      </c>
      <c r="B93" t="s">
        <v>872</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309" t="s">
        <v>1192</v>
      </c>
      <c r="H93" s="309" t="s">
        <v>979</v>
      </c>
      <c r="I93" s="312" t="s">
        <v>1882</v>
      </c>
      <c r="J93" s="395" t="s">
        <v>2161</v>
      </c>
      <c r="K93" s="401" t="s">
        <v>798</v>
      </c>
      <c r="L93" s="294" t="s">
        <v>1938</v>
      </c>
      <c r="M93" s="314" t="s">
        <v>799</v>
      </c>
      <c r="N93" s="274" t="s">
        <v>1938</v>
      </c>
      <c r="O93" s="10"/>
      <c r="P93" s="10"/>
    </row>
    <row r="94" spans="1:16" ht="14.25" customHeight="1" x14ac:dyDescent="0.2">
      <c r="A94">
        <f t="shared" si="1"/>
        <v>93</v>
      </c>
      <c r="B94" t="s">
        <v>872</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309" t="s">
        <v>2894</v>
      </c>
      <c r="H94" s="309" t="s">
        <v>2895</v>
      </c>
      <c r="I94" s="312" t="s">
        <v>1883</v>
      </c>
      <c r="J94" s="395" t="s">
        <v>2635</v>
      </c>
      <c r="K94" s="401" t="s">
        <v>800</v>
      </c>
      <c r="L94" s="294" t="s">
        <v>1939</v>
      </c>
      <c r="M94" s="314" t="s">
        <v>801</v>
      </c>
      <c r="N94" s="274" t="s">
        <v>1939</v>
      </c>
      <c r="O94" s="10"/>
      <c r="P94" s="10"/>
    </row>
    <row r="95" spans="1:16" ht="14.25" customHeight="1" x14ac:dyDescent="0.2">
      <c r="A95">
        <f t="shared" si="1"/>
        <v>94</v>
      </c>
      <c r="B95" t="s">
        <v>872</v>
      </c>
      <c r="C95">
        <v>2</v>
      </c>
      <c r="D95" s="3">
        <v>127</v>
      </c>
      <c r="E95" s="2">
        <f>VLOOKUP( T_Aop[[#This Row],[Id]], T_Aop[], ID_Jezik +10, 1)</f>
        <v>344</v>
      </c>
      <c r="F95" t="str">
        <f>REPT( "  ", T_Aop[[#This Row],[Aop nivo]]) &amp; VLOOKUP( T_Aop[[#This Row],[Id]], T_Aop[], ID_Jezik + 6, 1)</f>
        <v xml:space="preserve">    3. Neto prihod od samostalne djelatnosti</v>
      </c>
      <c r="G95" s="309" t="s">
        <v>796</v>
      </c>
      <c r="H95" s="309" t="s">
        <v>797</v>
      </c>
      <c r="I95" s="312" t="s">
        <v>1884</v>
      </c>
      <c r="J95" s="395" t="s">
        <v>2162</v>
      </c>
      <c r="K95" s="401">
        <v>344</v>
      </c>
      <c r="L95" s="294">
        <v>344</v>
      </c>
      <c r="M95" s="314">
        <v>344</v>
      </c>
      <c r="N95" s="274">
        <v>344</v>
      </c>
      <c r="O95" s="10">
        <v>1</v>
      </c>
      <c r="P95" s="10"/>
    </row>
    <row r="96" spans="1:16" ht="14.25" customHeight="1" x14ac:dyDescent="0.2">
      <c r="A96">
        <f t="shared" si="1"/>
        <v>95</v>
      </c>
      <c r="B96" t="s">
        <v>872</v>
      </c>
      <c r="C96">
        <v>1</v>
      </c>
      <c r="D96" s="3">
        <v>128</v>
      </c>
      <c r="E96" s="2" t="str">
        <f>VLOOKUP( T_Aop[[#This Row],[Id]], T_Aop[], ID_Jezik +10, 1)</f>
        <v>35</v>
      </c>
      <c r="F96" t="str">
        <f>REPT( "  ", T_Aop[[#This Row],[Aop nivo]]) &amp; VLOOKUP( T_Aop[[#This Row],[Id]], T_Aop[], ID_Jezik + 6, 1)</f>
        <v xml:space="preserve">  X GUBITAK (129 + 130)  </v>
      </c>
      <c r="G96" s="309" t="s">
        <v>2883</v>
      </c>
      <c r="H96" s="309" t="s">
        <v>2881</v>
      </c>
      <c r="I96" s="312" t="s">
        <v>2882</v>
      </c>
      <c r="J96" s="395" t="s">
        <v>2163</v>
      </c>
      <c r="K96" s="402" t="s">
        <v>852</v>
      </c>
      <c r="L96" s="291" t="s">
        <v>852</v>
      </c>
      <c r="M96" s="314" t="s">
        <v>852</v>
      </c>
      <c r="N96" s="274">
        <v>35</v>
      </c>
      <c r="O96" s="10"/>
      <c r="P96" s="10"/>
    </row>
    <row r="97" spans="1:16" ht="14.25" customHeight="1" x14ac:dyDescent="0.2">
      <c r="A97">
        <f t="shared" si="1"/>
        <v>96</v>
      </c>
      <c r="B97" t="s">
        <v>872</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309" t="s">
        <v>1193</v>
      </c>
      <c r="H97" s="309" t="s">
        <v>980</v>
      </c>
      <c r="I97" s="312" t="s">
        <v>1885</v>
      </c>
      <c r="J97" s="395" t="s">
        <v>2164</v>
      </c>
      <c r="K97" s="401" t="s">
        <v>1948</v>
      </c>
      <c r="L97" s="294" t="s">
        <v>1019</v>
      </c>
      <c r="M97" s="314" t="s">
        <v>1927</v>
      </c>
      <c r="N97" s="274" t="s">
        <v>1019</v>
      </c>
      <c r="O97" s="10"/>
      <c r="P97" s="10"/>
    </row>
    <row r="98" spans="1:16" ht="14.25" customHeight="1" x14ac:dyDescent="0.2">
      <c r="A98">
        <f t="shared" si="1"/>
        <v>97</v>
      </c>
      <c r="B98" t="s">
        <v>872</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309" t="s">
        <v>1194</v>
      </c>
      <c r="H98" s="309" t="s">
        <v>981</v>
      </c>
      <c r="I98" s="312" t="s">
        <v>1886</v>
      </c>
      <c r="J98" s="395" t="s">
        <v>2165</v>
      </c>
      <c r="K98" s="401" t="s">
        <v>1949</v>
      </c>
      <c r="L98" s="294" t="s">
        <v>1020</v>
      </c>
      <c r="M98" s="314" t="s">
        <v>1928</v>
      </c>
      <c r="N98" s="274" t="s">
        <v>1020</v>
      </c>
      <c r="O98" s="10"/>
      <c r="P98" s="10"/>
    </row>
    <row r="99" spans="1:16" ht="14.25" customHeight="1" x14ac:dyDescent="0.2">
      <c r="A99">
        <f t="shared" si="1"/>
        <v>98</v>
      </c>
      <c r="B99" t="s">
        <v>872</v>
      </c>
      <c r="C99">
        <v>1</v>
      </c>
      <c r="D99" s="3">
        <v>131</v>
      </c>
      <c r="E99" s="2" t="str">
        <f>VLOOKUP( T_Aop[[#This Row],[Id]], T_Aop[], ID_Jezik +10, 1)</f>
        <v xml:space="preserve"> </v>
      </c>
      <c r="F99" t="str">
        <f>REPT( "  ", T_Aop[[#This Row],[Aop nivo]]) &amp; VLOOKUP( T_Aop[[#This Row],[Id]], T_Aop[], ID_Jezik + 6, 1)</f>
        <v xml:space="preserve">  XI UČEŠĆA BEZ PRAVA KONTROLE</v>
      </c>
      <c r="G99" s="300" t="s">
        <v>1195</v>
      </c>
      <c r="H99" s="309" t="s">
        <v>982</v>
      </c>
      <c r="I99" s="312" t="s">
        <v>1887</v>
      </c>
      <c r="J99" s="395" t="s">
        <v>2166</v>
      </c>
      <c r="K99" s="402" t="s">
        <v>888</v>
      </c>
      <c r="L99" s="291" t="s">
        <v>888</v>
      </c>
      <c r="M99" s="314" t="s">
        <v>888</v>
      </c>
      <c r="N99" s="274"/>
      <c r="O99" s="10"/>
      <c r="P99" s="10"/>
    </row>
    <row r="100" spans="1:16" ht="14.25" customHeight="1" x14ac:dyDescent="0.2">
      <c r="A100">
        <f t="shared" si="1"/>
        <v>99</v>
      </c>
      <c r="B100" t="s">
        <v>872</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300" t="s">
        <v>1764</v>
      </c>
      <c r="H100" s="309" t="s">
        <v>983</v>
      </c>
      <c r="I100" s="312" t="s">
        <v>1888</v>
      </c>
      <c r="J100" s="395" t="s">
        <v>2167</v>
      </c>
      <c r="K100" s="401" t="s">
        <v>888</v>
      </c>
      <c r="L100" s="294" t="s">
        <v>888</v>
      </c>
      <c r="M100" s="314" t="s">
        <v>888</v>
      </c>
      <c r="N100" s="274"/>
      <c r="O100" s="10"/>
      <c r="P100" s="10"/>
    </row>
    <row r="101" spans="1:16" ht="14.25" customHeight="1" x14ac:dyDescent="0.2">
      <c r="A101">
        <f t="shared" si="1"/>
        <v>100</v>
      </c>
      <c r="B101" t="s">
        <v>872</v>
      </c>
      <c r="C101">
        <v>1</v>
      </c>
      <c r="D101" s="3">
        <v>133</v>
      </c>
      <c r="E101" s="2" t="str">
        <f>VLOOKUP( T_Aop[[#This Row],[Id]], T_Aop[], ID_Jezik +10, 1)</f>
        <v>dio 40</v>
      </c>
      <c r="F101" t="str">
        <f>REPT( "  ", T_Aop[[#This Row],[Aop nivo]]) &amp; VLOOKUP( T_Aop[[#This Row],[Id]], T_Aop[], ID_Jezik + 6, 1)</f>
        <v xml:space="preserve">  I DUGOROČNA REZERVISANJA (134 do 136)</v>
      </c>
      <c r="G101" s="300" t="s">
        <v>1765</v>
      </c>
      <c r="H101" s="309" t="s">
        <v>984</v>
      </c>
      <c r="I101" s="312" t="s">
        <v>1889</v>
      </c>
      <c r="J101" s="395" t="s">
        <v>2636</v>
      </c>
      <c r="K101" s="401" t="s">
        <v>1940</v>
      </c>
      <c r="L101" s="294" t="s">
        <v>1021</v>
      </c>
      <c r="M101" s="314" t="s">
        <v>1929</v>
      </c>
      <c r="N101" s="274" t="s">
        <v>2414</v>
      </c>
      <c r="O101" s="10"/>
      <c r="P101" s="10"/>
    </row>
    <row r="102" spans="1:16" ht="14.25" customHeight="1" x14ac:dyDescent="0.2">
      <c r="A102">
        <f t="shared" si="1"/>
        <v>101</v>
      </c>
      <c r="B102" t="s">
        <v>872</v>
      </c>
      <c r="C102">
        <v>2</v>
      </c>
      <c r="D102" s="3">
        <v>134</v>
      </c>
      <c r="E102" s="2">
        <f>VLOOKUP( T_Aop[[#This Row],[Id]], T_Aop[], ID_Jezik +10, 1)</f>
        <v>400</v>
      </c>
      <c r="F102" t="str">
        <f>REPT( "  ", T_Aop[[#This Row],[Aop nivo]]) &amp; VLOOKUP( T_Aop[[#This Row],[Id]], T_Aop[], ID_Jezik + 6, 1)</f>
        <v xml:space="preserve">    1. Rezervisanja za troškove u garantnom roku</v>
      </c>
      <c r="G102" s="309" t="s">
        <v>94</v>
      </c>
      <c r="H102" s="309" t="s">
        <v>525</v>
      </c>
      <c r="I102" s="312" t="s">
        <v>1890</v>
      </c>
      <c r="J102" s="395" t="s">
        <v>2168</v>
      </c>
      <c r="K102" s="401">
        <v>400</v>
      </c>
      <c r="L102" s="294">
        <v>400</v>
      </c>
      <c r="M102" s="314">
        <v>400</v>
      </c>
      <c r="N102" s="274">
        <v>400</v>
      </c>
      <c r="O102" s="10"/>
      <c r="P102" s="10"/>
    </row>
    <row r="103" spans="1:16" ht="14.25" customHeight="1" x14ac:dyDescent="0.2">
      <c r="A103">
        <f t="shared" si="1"/>
        <v>102</v>
      </c>
      <c r="B103" t="s">
        <v>872</v>
      </c>
      <c r="C103">
        <v>2</v>
      </c>
      <c r="D103" s="3">
        <v>135</v>
      </c>
      <c r="E103" s="2">
        <f>VLOOKUP( T_Aop[[#This Row],[Id]], T_Aop[], ID_Jezik +10, 1)</f>
        <v>404</v>
      </c>
      <c r="F103" t="str">
        <f>REPT( "  ", T_Aop[[#This Row],[Aop nivo]]) &amp; VLOOKUP( T_Aop[[#This Row],[Id]], T_Aop[], ID_Jezik + 6, 1)</f>
        <v xml:space="preserve">    2. Rezervisanja za naknade i beneficije zaposlenih</v>
      </c>
      <c r="G103" s="309" t="s">
        <v>1196</v>
      </c>
      <c r="H103" s="309" t="s">
        <v>985</v>
      </c>
      <c r="I103" s="312" t="s">
        <v>1891</v>
      </c>
      <c r="J103" s="395" t="s">
        <v>2169</v>
      </c>
      <c r="K103" s="401">
        <v>404</v>
      </c>
      <c r="L103" s="294">
        <v>404</v>
      </c>
      <c r="M103" s="314">
        <v>404</v>
      </c>
      <c r="N103" s="274">
        <v>404</v>
      </c>
      <c r="O103" s="10"/>
      <c r="P103" s="10"/>
    </row>
    <row r="104" spans="1:16" ht="14.25" customHeight="1" x14ac:dyDescent="0.2">
      <c r="A104">
        <f t="shared" si="1"/>
        <v>103</v>
      </c>
      <c r="B104" t="s">
        <v>872</v>
      </c>
      <c r="C104">
        <v>2</v>
      </c>
      <c r="D104" s="3">
        <v>136</v>
      </c>
      <c r="E104" s="2" t="str">
        <f>VLOOKUP( T_Aop[[#This Row],[Id]], T_Aop[], ID_Jezik +10, 1)</f>
        <v>401, 402, 403, dio 409</v>
      </c>
      <c r="F104" t="str">
        <f>REPT( "  ", T_Aop[[#This Row],[Aop nivo]]) &amp; VLOOKUP( T_Aop[[#This Row],[Id]], T_Aop[], ID_Jezik + 6, 1)</f>
        <v xml:space="preserve">    3. Ostala dugoročna rezervisanja</v>
      </c>
      <c r="G104" s="309" t="s">
        <v>1197</v>
      </c>
      <c r="H104" s="309" t="s">
        <v>986</v>
      </c>
      <c r="I104" s="312" t="s">
        <v>1892</v>
      </c>
      <c r="J104" s="395" t="s">
        <v>2170</v>
      </c>
      <c r="K104" s="401" t="s">
        <v>1941</v>
      </c>
      <c r="L104" s="294" t="s">
        <v>1022</v>
      </c>
      <c r="M104" s="314" t="s">
        <v>1930</v>
      </c>
      <c r="N104" s="274" t="s">
        <v>2415</v>
      </c>
      <c r="O104" s="10">
        <v>1</v>
      </c>
      <c r="P104" s="10"/>
    </row>
    <row r="105" spans="1:16" ht="14.25" customHeight="1" x14ac:dyDescent="0.2">
      <c r="A105">
        <f t="shared" si="1"/>
        <v>104</v>
      </c>
      <c r="B105" t="s">
        <v>872</v>
      </c>
      <c r="C105">
        <v>1</v>
      </c>
      <c r="D105" s="3">
        <v>137</v>
      </c>
      <c r="E105" s="2" t="str">
        <f>VLOOKUP( T_Aop[[#This Row],[Id]], T_Aop[], ID_Jezik +10, 1)</f>
        <v xml:space="preserve"> </v>
      </c>
      <c r="F105" t="str">
        <f>REPT( "  ", T_Aop[[#This Row],[Aop nivo]]) &amp; VLOOKUP( T_Aop[[#This Row],[Id]], T_Aop[], ID_Jezik + 6, 1)</f>
        <v xml:space="preserve">  II DUGOROČNE OBAVEZE (138 do 144)</v>
      </c>
      <c r="G105" s="309" t="s">
        <v>1198</v>
      </c>
      <c r="H105" s="309" t="s">
        <v>987</v>
      </c>
      <c r="I105" s="312" t="s">
        <v>1893</v>
      </c>
      <c r="J105" s="395" t="s">
        <v>2637</v>
      </c>
      <c r="K105" s="401" t="s">
        <v>888</v>
      </c>
      <c r="L105" s="294" t="s">
        <v>888</v>
      </c>
      <c r="M105" s="314" t="s">
        <v>888</v>
      </c>
      <c r="N105" s="274"/>
      <c r="O105" s="10">
        <v>1</v>
      </c>
      <c r="P105" s="10"/>
    </row>
    <row r="106" spans="1:16" ht="14.25" customHeight="1" x14ac:dyDescent="0.2">
      <c r="A106">
        <f t="shared" si="1"/>
        <v>105</v>
      </c>
      <c r="B106" t="s">
        <v>872</v>
      </c>
      <c r="C106">
        <v>2</v>
      </c>
      <c r="D106" s="3">
        <v>138</v>
      </c>
      <c r="E106" s="2">
        <f>VLOOKUP( T_Aop[[#This Row],[Id]], T_Aop[], ID_Jezik +10, 1)</f>
        <v>411</v>
      </c>
      <c r="F106" t="str">
        <f>REPT( "  ", T_Aop[[#This Row],[Aop nivo]]) &amp; VLOOKUP( T_Aop[[#This Row],[Id]], T_Aop[], ID_Jezik + 6, 1)</f>
        <v xml:space="preserve">    1. Obaveze prema povezanim pravnim licima</v>
      </c>
      <c r="G106" s="309" t="s">
        <v>1199</v>
      </c>
      <c r="H106" s="309" t="s">
        <v>988</v>
      </c>
      <c r="I106" s="312" t="s">
        <v>1894</v>
      </c>
      <c r="J106" s="395" t="s">
        <v>2991</v>
      </c>
      <c r="K106" s="401">
        <v>411</v>
      </c>
      <c r="L106" s="294">
        <v>411</v>
      </c>
      <c r="M106" s="314">
        <v>411</v>
      </c>
      <c r="N106" s="274">
        <v>411</v>
      </c>
      <c r="O106" s="10"/>
      <c r="P106" s="10"/>
    </row>
    <row r="107" spans="1:16" ht="14.25" customHeight="1" x14ac:dyDescent="0.2">
      <c r="A107">
        <f t="shared" si="1"/>
        <v>106</v>
      </c>
      <c r="B107" t="s">
        <v>872</v>
      </c>
      <c r="C107">
        <v>2</v>
      </c>
      <c r="D107" s="3">
        <v>139</v>
      </c>
      <c r="E107" s="2">
        <f>VLOOKUP( T_Aop[[#This Row],[Id]], T_Aop[], ID_Jezik +10, 1)</f>
        <v>413</v>
      </c>
      <c r="F107" t="str">
        <f>REPT( "  ", T_Aop[[#This Row],[Aop nivo]]) &amp; VLOOKUP( T_Aop[[#This Row],[Id]], T_Aop[], ID_Jezik + 6, 1)</f>
        <v xml:space="preserve">    2. Dugoročni krediti u zemlji</v>
      </c>
      <c r="G107" s="309" t="s">
        <v>1200</v>
      </c>
      <c r="H107" s="309" t="s">
        <v>989</v>
      </c>
      <c r="I107" s="312" t="s">
        <v>1895</v>
      </c>
      <c r="J107" s="395" t="s">
        <v>2992</v>
      </c>
      <c r="K107" s="401">
        <v>413</v>
      </c>
      <c r="L107" s="294">
        <v>413</v>
      </c>
      <c r="M107" s="314">
        <v>413</v>
      </c>
      <c r="N107" s="274">
        <v>413</v>
      </c>
      <c r="O107" s="10"/>
      <c r="P107" s="10"/>
    </row>
    <row r="108" spans="1:16" ht="14.25" customHeight="1" x14ac:dyDescent="0.2">
      <c r="A108">
        <f t="shared" si="1"/>
        <v>107</v>
      </c>
      <c r="B108" t="s">
        <v>872</v>
      </c>
      <c r="C108">
        <v>2</v>
      </c>
      <c r="D108" s="3">
        <v>140</v>
      </c>
      <c r="E108" s="2">
        <f>VLOOKUP( T_Aop[[#This Row],[Id]], T_Aop[], ID_Jezik +10, 1)</f>
        <v>414</v>
      </c>
      <c r="F108" t="str">
        <f>REPT( "  ", T_Aop[[#This Row],[Aop nivo]]) &amp; VLOOKUP( T_Aop[[#This Row],[Id]], T_Aop[], ID_Jezik + 6, 1)</f>
        <v xml:space="preserve">    3. Dugoročni krediti u inostranstvu</v>
      </c>
      <c r="G108" s="309" t="s">
        <v>1201</v>
      </c>
      <c r="H108" s="309" t="s">
        <v>990</v>
      </c>
      <c r="I108" s="312" t="s">
        <v>1896</v>
      </c>
      <c r="J108" s="395" t="s">
        <v>2993</v>
      </c>
      <c r="K108" s="401">
        <v>414</v>
      </c>
      <c r="L108" s="294">
        <v>414</v>
      </c>
      <c r="M108" s="314">
        <v>414</v>
      </c>
      <c r="N108" s="274">
        <v>414</v>
      </c>
      <c r="O108" s="10"/>
      <c r="P108" s="10"/>
    </row>
    <row r="109" spans="1:16" ht="14.25" customHeight="1" x14ac:dyDescent="0.2">
      <c r="A109">
        <f t="shared" si="1"/>
        <v>108</v>
      </c>
      <c r="B109" t="s">
        <v>872</v>
      </c>
      <c r="C109">
        <v>2</v>
      </c>
      <c r="D109" s="3">
        <v>141</v>
      </c>
      <c r="E109" s="2">
        <f>VLOOKUP( T_Aop[[#This Row],[Id]], T_Aop[], ID_Jezik +10, 1)</f>
        <v>412</v>
      </c>
      <c r="F109" t="str">
        <f>REPT( "  ", T_Aop[[#This Row],[Aop nivo]]) &amp; VLOOKUP( T_Aop[[#This Row],[Id]], T_Aop[], ID_Jezik + 6, 1)</f>
        <v xml:space="preserve">    4. Obaveze po emitovanim dužničkim instrumentima</v>
      </c>
      <c r="G109" s="309" t="s">
        <v>1202</v>
      </c>
      <c r="H109" s="309" t="s">
        <v>991</v>
      </c>
      <c r="I109" s="312" t="s">
        <v>1897</v>
      </c>
      <c r="J109" s="395" t="s">
        <v>2994</v>
      </c>
      <c r="K109" s="401">
        <v>412</v>
      </c>
      <c r="L109" s="294">
        <v>412</v>
      </c>
      <c r="M109" s="314">
        <v>412</v>
      </c>
      <c r="N109" s="274">
        <v>412</v>
      </c>
      <c r="O109" s="10"/>
      <c r="P109" s="10"/>
    </row>
    <row r="110" spans="1:16" ht="14.25" customHeight="1" x14ac:dyDescent="0.2">
      <c r="A110">
        <f t="shared" si="1"/>
        <v>109</v>
      </c>
      <c r="B110" t="s">
        <v>872</v>
      </c>
      <c r="C110">
        <v>2</v>
      </c>
      <c r="D110">
        <v>142</v>
      </c>
      <c r="E110" s="2" t="str">
        <f>VLOOKUP( T_Aop[[#This Row],[Id]], T_Aop[], ID_Jezik +10, 1)</f>
        <v>415, 416</v>
      </c>
      <c r="F110" t="str">
        <f>REPT( "  ", T_Aop[[#This Row],[Aop nivo]]) &amp; VLOOKUP( T_Aop[[#This Row],[Id]], T_Aop[], ID_Jezik + 6, 1)</f>
        <v xml:space="preserve">    5. Dugoročne obaveze po lizingu</v>
      </c>
      <c r="G110" s="309" t="s">
        <v>1203</v>
      </c>
      <c r="H110" s="309" t="s">
        <v>992</v>
      </c>
      <c r="I110" s="312" t="s">
        <v>1898</v>
      </c>
      <c r="J110" s="395" t="s">
        <v>2995</v>
      </c>
      <c r="K110" s="401" t="s">
        <v>687</v>
      </c>
      <c r="L110" s="294" t="s">
        <v>687</v>
      </c>
      <c r="M110" s="314" t="s">
        <v>687</v>
      </c>
      <c r="N110" s="274" t="s">
        <v>687</v>
      </c>
      <c r="O110" s="10"/>
      <c r="P110" s="10"/>
    </row>
    <row r="111" spans="1:16" ht="14.25" customHeight="1" x14ac:dyDescent="0.2">
      <c r="A111">
        <f t="shared" si="1"/>
        <v>110</v>
      </c>
      <c r="B111" t="s">
        <v>872</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309" t="s">
        <v>1204</v>
      </c>
      <c r="H111" s="309" t="s">
        <v>993</v>
      </c>
      <c r="I111" s="312" t="s">
        <v>1899</v>
      </c>
      <c r="J111" s="395" t="s">
        <v>2996</v>
      </c>
      <c r="K111" s="401" t="s">
        <v>1950</v>
      </c>
      <c r="L111" s="294">
        <v>418</v>
      </c>
      <c r="M111" s="314">
        <v>418</v>
      </c>
      <c r="N111" s="274">
        <v>418</v>
      </c>
      <c r="O111" s="10"/>
      <c r="P111" s="10"/>
    </row>
    <row r="112" spans="1:16" ht="14.25" customHeight="1" x14ac:dyDescent="0.2">
      <c r="A112">
        <f t="shared" si="1"/>
        <v>111</v>
      </c>
      <c r="B112" t="s">
        <v>872</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309" t="s">
        <v>1205</v>
      </c>
      <c r="H112" s="309" t="s">
        <v>994</v>
      </c>
      <c r="I112" s="312" t="s">
        <v>2937</v>
      </c>
      <c r="J112" s="395" t="s">
        <v>2938</v>
      </c>
      <c r="K112" s="401" t="s">
        <v>1942</v>
      </c>
      <c r="L112" s="294" t="s">
        <v>1023</v>
      </c>
      <c r="M112" s="314" t="s">
        <v>1931</v>
      </c>
      <c r="N112" s="274" t="s">
        <v>2416</v>
      </c>
      <c r="O112" s="10"/>
      <c r="P112" s="10"/>
    </row>
    <row r="113" spans="1:16" ht="14.25" customHeight="1" x14ac:dyDescent="0.2">
      <c r="A113">
        <f t="shared" si="1"/>
        <v>112</v>
      </c>
      <c r="B113" t="s">
        <v>872</v>
      </c>
      <c r="C113">
        <v>1</v>
      </c>
      <c r="D113" s="3">
        <v>145</v>
      </c>
      <c r="E113" s="2">
        <f>VLOOKUP( T_Aop[[#This Row],[Id]], T_Aop[], ID_Jezik +10, 1)</f>
        <v>408</v>
      </c>
      <c r="F113" t="str">
        <f>REPT( "  ", T_Aop[[#This Row],[Aop nivo]]) &amp; VLOOKUP( T_Aop[[#This Row],[Id]], T_Aop[], ID_Jezik + 6, 1)</f>
        <v xml:space="preserve">  III RAZGRANIČENI PRIHODI I PRIMLJENE DONACIJE</v>
      </c>
      <c r="G113" s="300" t="s">
        <v>1767</v>
      </c>
      <c r="H113" s="309" t="s">
        <v>995</v>
      </c>
      <c r="I113" s="312" t="s">
        <v>1900</v>
      </c>
      <c r="J113" s="395" t="s">
        <v>2171</v>
      </c>
      <c r="K113" s="402">
        <v>408</v>
      </c>
      <c r="L113" s="291">
        <v>408</v>
      </c>
      <c r="M113" s="314">
        <v>408</v>
      </c>
      <c r="N113" s="274">
        <v>408</v>
      </c>
      <c r="O113" s="10">
        <v>1</v>
      </c>
      <c r="P113" s="10"/>
    </row>
    <row r="114" spans="1:16" ht="14.25" customHeight="1" x14ac:dyDescent="0.2">
      <c r="A114">
        <f t="shared" si="1"/>
        <v>113</v>
      </c>
      <c r="B114" t="s">
        <v>872</v>
      </c>
      <c r="C114">
        <v>1</v>
      </c>
      <c r="D114" s="3">
        <v>146</v>
      </c>
      <c r="E114" s="2">
        <f>VLOOKUP( T_Aop[[#This Row],[Id]], T_Aop[], ID_Jezik +10, 1)</f>
        <v>407</v>
      </c>
      <c r="F114" t="str">
        <f>REPT( "  ", T_Aop[[#This Row],[Aop nivo]]) &amp; VLOOKUP( T_Aop[[#This Row],[Id]], T_Aop[], ID_Jezik + 6, 1)</f>
        <v xml:space="preserve">  V. ODLOŽENE PORESKE OBAVEZE </v>
      </c>
      <c r="G114" s="300" t="s">
        <v>1206</v>
      </c>
      <c r="H114" s="309" t="s">
        <v>996</v>
      </c>
      <c r="I114" s="312" t="s">
        <v>1901</v>
      </c>
      <c r="J114" s="395" t="s">
        <v>2172</v>
      </c>
      <c r="K114" s="403">
        <v>407</v>
      </c>
      <c r="L114" s="295">
        <v>407</v>
      </c>
      <c r="M114" s="315">
        <v>407</v>
      </c>
      <c r="N114" s="314">
        <v>407</v>
      </c>
      <c r="O114" s="10"/>
      <c r="P114" s="10"/>
    </row>
    <row r="115" spans="1:16" ht="14.25" customHeight="1" x14ac:dyDescent="0.2">
      <c r="A115">
        <f t="shared" si="1"/>
        <v>114</v>
      </c>
      <c r="B115" t="s">
        <v>872</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300" t="s">
        <v>1766</v>
      </c>
      <c r="H115" s="309" t="s">
        <v>997</v>
      </c>
      <c r="I115" s="312" t="s">
        <v>1902</v>
      </c>
      <c r="J115" s="395" t="s">
        <v>2173</v>
      </c>
      <c r="K115" s="401" t="s">
        <v>688</v>
      </c>
      <c r="L115" s="294" t="s">
        <v>689</v>
      </c>
      <c r="M115" s="314" t="s">
        <v>690</v>
      </c>
      <c r="N115" s="314" t="s">
        <v>689</v>
      </c>
      <c r="O115" s="10"/>
      <c r="P115" s="10"/>
    </row>
    <row r="116" spans="1:16" ht="14.25" customHeight="1" x14ac:dyDescent="0.2">
      <c r="A116">
        <f t="shared" si="1"/>
        <v>115</v>
      </c>
      <c r="B116" t="s">
        <v>872</v>
      </c>
      <c r="C116">
        <v>2</v>
      </c>
      <c r="D116" s="3">
        <v>148</v>
      </c>
      <c r="E116" s="2">
        <f>VLOOKUP( T_Aop[[#This Row],[Id]], T_Aop[], ID_Jezik +10, 1)</f>
        <v>42</v>
      </c>
      <c r="F116" t="str">
        <f>REPT( "  ", T_Aop[[#This Row],[Aop nivo]]) &amp; VLOOKUP( T_Aop[[#This Row],[Id]], T_Aop[], ID_Jezik + 6, 1)</f>
        <v xml:space="preserve">    1. Kratkoročne finansijske obaveze (149 do 154)</v>
      </c>
      <c r="G116" s="309" t="s">
        <v>1207</v>
      </c>
      <c r="H116" s="309" t="s">
        <v>998</v>
      </c>
      <c r="I116" s="312" t="s">
        <v>1903</v>
      </c>
      <c r="J116" s="395" t="s">
        <v>2174</v>
      </c>
      <c r="K116" s="401">
        <v>42</v>
      </c>
      <c r="L116" s="294">
        <v>42</v>
      </c>
      <c r="M116" s="314">
        <v>42</v>
      </c>
      <c r="N116" s="314">
        <v>42</v>
      </c>
      <c r="O116" s="10"/>
      <c r="P116" s="10"/>
    </row>
    <row r="117" spans="1:16" ht="14.25" customHeight="1" x14ac:dyDescent="0.2">
      <c r="A117">
        <f t="shared" si="1"/>
        <v>116</v>
      </c>
      <c r="B117" t="s">
        <v>872</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309" t="s">
        <v>1208</v>
      </c>
      <c r="H117" s="309" t="s">
        <v>999</v>
      </c>
      <c r="I117" s="312" t="s">
        <v>1904</v>
      </c>
      <c r="J117" s="395" t="s">
        <v>2984</v>
      </c>
      <c r="K117" s="401">
        <v>420</v>
      </c>
      <c r="L117" s="294">
        <v>420</v>
      </c>
      <c r="M117" s="314">
        <v>420</v>
      </c>
      <c r="N117" s="314">
        <v>420</v>
      </c>
      <c r="O117" s="10"/>
      <c r="P117" s="10"/>
    </row>
    <row r="118" spans="1:16" ht="14.25" customHeight="1" x14ac:dyDescent="0.2">
      <c r="A118">
        <f t="shared" si="1"/>
        <v>117</v>
      </c>
      <c r="B118" t="s">
        <v>872</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309" t="s">
        <v>1209</v>
      </c>
      <c r="H118" s="309" t="s">
        <v>1000</v>
      </c>
      <c r="I118" s="312" t="s">
        <v>1905</v>
      </c>
      <c r="J118" s="395" t="s">
        <v>2985</v>
      </c>
      <c r="K118" s="401" t="s">
        <v>1943</v>
      </c>
      <c r="L118" s="294" t="s">
        <v>1024</v>
      </c>
      <c r="M118" s="314" t="s">
        <v>1932</v>
      </c>
      <c r="N118" s="314" t="s">
        <v>1024</v>
      </c>
      <c r="O118" s="10"/>
      <c r="P118" s="10"/>
    </row>
    <row r="119" spans="1:16" ht="14.25" customHeight="1" x14ac:dyDescent="0.2">
      <c r="A119">
        <f t="shared" si="1"/>
        <v>118</v>
      </c>
      <c r="B119" t="s">
        <v>872</v>
      </c>
      <c r="C119">
        <v>3</v>
      </c>
      <c r="D119" s="3">
        <v>151</v>
      </c>
      <c r="E119" s="2" t="str">
        <f>VLOOKUP( T_Aop[[#This Row],[Id]], T_Aop[], ID_Jezik +10, 1)</f>
        <v>425 i 426</v>
      </c>
      <c r="F119" t="str">
        <f>REPT( "  ", T_Aop[[#This Row],[Aop nivo]]) &amp; VLOOKUP( T_Aop[[#This Row],[Id]], T_Aop[], ID_Jezik + 6, 1)</f>
        <v xml:space="preserve">      1.3. Kratkoročne obaveze po lizingu</v>
      </c>
      <c r="G119" s="309" t="s">
        <v>1210</v>
      </c>
      <c r="H119" s="309" t="s">
        <v>1001</v>
      </c>
      <c r="I119" s="312" t="s">
        <v>1906</v>
      </c>
      <c r="J119" s="395" t="s">
        <v>2983</v>
      </c>
      <c r="K119" s="401" t="s">
        <v>1944</v>
      </c>
      <c r="L119" s="294" t="s">
        <v>1025</v>
      </c>
      <c r="M119" s="314" t="s">
        <v>1933</v>
      </c>
      <c r="N119" s="314" t="s">
        <v>1025</v>
      </c>
      <c r="O119" s="10"/>
      <c r="P119" s="10"/>
    </row>
    <row r="120" spans="1:16" ht="14.25" customHeight="1" x14ac:dyDescent="0.2">
      <c r="A120">
        <f t="shared" si="1"/>
        <v>119</v>
      </c>
      <c r="B120" t="s">
        <v>872</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309" t="s">
        <v>1211</v>
      </c>
      <c r="H120" s="309" t="s">
        <v>1002</v>
      </c>
      <c r="I120" s="312" t="s">
        <v>1907</v>
      </c>
      <c r="J120" s="395" t="s">
        <v>2980</v>
      </c>
      <c r="K120" s="401">
        <v>427</v>
      </c>
      <c r="L120" s="294">
        <v>427</v>
      </c>
      <c r="M120" s="314">
        <v>427</v>
      </c>
      <c r="N120" s="314">
        <v>427</v>
      </c>
      <c r="O120" s="10"/>
      <c r="P120" s="10"/>
    </row>
    <row r="121" spans="1:16" ht="14.25" customHeight="1" x14ac:dyDescent="0.2">
      <c r="A121">
        <f t="shared" si="1"/>
        <v>120</v>
      </c>
      <c r="B121" t="s">
        <v>872</v>
      </c>
      <c r="C121">
        <v>3</v>
      </c>
      <c r="D121" s="3">
        <v>153</v>
      </c>
      <c r="E121" s="2">
        <f>VLOOKUP( T_Aop[[#This Row],[Id]], T_Aop[], ID_Jezik +10, 1)</f>
        <v>428</v>
      </c>
      <c r="F121" t="str">
        <f>REPT( "  ", T_Aop[[#This Row],[Aop nivo]]) &amp; VLOOKUP( T_Aop[[#This Row],[Id]], T_Aop[], ID_Jezik + 6, 1)</f>
        <v xml:space="preserve">      1.5. Derivatne finansijske obaveze</v>
      </c>
      <c r="G121" s="309" t="s">
        <v>1212</v>
      </c>
      <c r="H121" s="309" t="s">
        <v>1003</v>
      </c>
      <c r="I121" s="312" t="s">
        <v>1908</v>
      </c>
      <c r="J121" s="395" t="s">
        <v>2981</v>
      </c>
      <c r="K121" s="401">
        <v>428</v>
      </c>
      <c r="L121" s="294">
        <v>428</v>
      </c>
      <c r="M121" s="314">
        <v>428</v>
      </c>
      <c r="N121" s="314">
        <v>428</v>
      </c>
      <c r="O121" s="10"/>
      <c r="P121" s="10"/>
    </row>
    <row r="122" spans="1:16" ht="14.25" customHeight="1" x14ac:dyDescent="0.2">
      <c r="A122">
        <f t="shared" si="1"/>
        <v>121</v>
      </c>
      <c r="B122" t="s">
        <v>872</v>
      </c>
      <c r="C122">
        <v>3</v>
      </c>
      <c r="D122" s="3">
        <v>154</v>
      </c>
      <c r="E122" s="2">
        <f>VLOOKUP( T_Aop[[#This Row],[Id]], T_Aop[], ID_Jezik +10, 1)</f>
        <v>429</v>
      </c>
      <c r="F122" t="str">
        <f>REPT( "  ", T_Aop[[#This Row],[Aop nivo]]) &amp; VLOOKUP( T_Aop[[#This Row],[Id]], T_Aop[], ID_Jezik + 6, 1)</f>
        <v xml:space="preserve">      1.6. Ostale obaveze po amortizovanoj vrijednosti</v>
      </c>
      <c r="G122" s="309" t="s">
        <v>1213</v>
      </c>
      <c r="H122" s="309" t="s">
        <v>1004</v>
      </c>
      <c r="I122" s="312" t="s">
        <v>1909</v>
      </c>
      <c r="J122" s="395" t="s">
        <v>2982</v>
      </c>
      <c r="K122" s="401">
        <v>429</v>
      </c>
      <c r="L122" s="294">
        <v>429</v>
      </c>
      <c r="M122" s="314">
        <v>429</v>
      </c>
      <c r="N122" s="314">
        <v>429</v>
      </c>
      <c r="O122" s="10"/>
      <c r="P122" s="10"/>
    </row>
    <row r="123" spans="1:16" ht="13.5" customHeight="1" x14ac:dyDescent="0.2">
      <c r="A123">
        <f t="shared" si="1"/>
        <v>122</v>
      </c>
      <c r="B123" t="s">
        <v>872</v>
      </c>
      <c r="C123">
        <v>2</v>
      </c>
      <c r="D123" s="3">
        <v>155</v>
      </c>
      <c r="E123" s="2">
        <f>VLOOKUP( T_Aop[[#This Row],[Id]], T_Aop[], ID_Jezik +10, 1)</f>
        <v>43</v>
      </c>
      <c r="F123" t="str">
        <f>REPT( "  ", T_Aop[[#This Row],[Aop nivo]]) &amp; VLOOKUP( T_Aop[[#This Row],[Id]], T_Aop[], ID_Jezik + 6, 1)</f>
        <v xml:space="preserve">    2. Obaveze iz poslovanja (156 do 160)</v>
      </c>
      <c r="G123" s="309" t="s">
        <v>1214</v>
      </c>
      <c r="H123" s="309" t="s">
        <v>1005</v>
      </c>
      <c r="I123" s="312" t="s">
        <v>1910</v>
      </c>
      <c r="J123" s="395" t="s">
        <v>2175</v>
      </c>
      <c r="K123" s="401">
        <v>43</v>
      </c>
      <c r="L123" s="294">
        <v>43</v>
      </c>
      <c r="M123" s="314">
        <v>43</v>
      </c>
      <c r="N123" s="314">
        <v>43</v>
      </c>
      <c r="O123" s="10"/>
      <c r="P123" s="10"/>
    </row>
    <row r="124" spans="1:16" ht="13.5" customHeight="1" x14ac:dyDescent="0.2">
      <c r="A124">
        <f t="shared" si="1"/>
        <v>123</v>
      </c>
      <c r="B124" t="s">
        <v>872</v>
      </c>
      <c r="C124">
        <v>3</v>
      </c>
      <c r="D124" s="3">
        <v>156</v>
      </c>
      <c r="E124" s="2" t="str">
        <f>VLOOKUP( T_Aop[[#This Row],[Id]], T_Aop[], ID_Jezik +10, 1)</f>
        <v>430 i 436</v>
      </c>
      <c r="F124" t="str">
        <f>REPT( "  ", T_Aop[[#This Row],[Aop nivo]]) &amp; VLOOKUP( T_Aop[[#This Row],[Id]], T_Aop[], ID_Jezik + 6, 1)</f>
        <v xml:space="preserve">      2.1. Primljeni avansi, depoziti i kaucije</v>
      </c>
      <c r="G124" s="309" t="s">
        <v>1215</v>
      </c>
      <c r="H124" s="309" t="s">
        <v>1006</v>
      </c>
      <c r="I124" s="312" t="s">
        <v>1911</v>
      </c>
      <c r="J124" s="395" t="s">
        <v>2990</v>
      </c>
      <c r="K124" s="401" t="s">
        <v>1951</v>
      </c>
      <c r="L124" s="294" t="s">
        <v>1026</v>
      </c>
      <c r="M124" s="314" t="s">
        <v>1934</v>
      </c>
      <c r="N124" s="314" t="s">
        <v>1026</v>
      </c>
      <c r="O124" s="10"/>
      <c r="P124" s="10"/>
    </row>
    <row r="125" spans="1:16" ht="13.5" customHeight="1" x14ac:dyDescent="0.2">
      <c r="A125">
        <f t="shared" si="1"/>
        <v>124</v>
      </c>
      <c r="B125" t="s">
        <v>872</v>
      </c>
      <c r="C125">
        <v>3</v>
      </c>
      <c r="D125" s="3">
        <v>157</v>
      </c>
      <c r="E125" s="2">
        <f>VLOOKUP( T_Aop[[#This Row],[Id]], T_Aop[], ID_Jezik +10, 1)</f>
        <v>431</v>
      </c>
      <c r="F125" t="str">
        <f>REPT( "  ", T_Aop[[#This Row],[Aop nivo]]) &amp; VLOOKUP( T_Aop[[#This Row],[Id]], T_Aop[], ID_Jezik + 6, 1)</f>
        <v xml:space="preserve">      2.2. Dobavljači – povezana pravna lica</v>
      </c>
      <c r="G125" s="309" t="s">
        <v>1216</v>
      </c>
      <c r="H125" s="309" t="s">
        <v>1007</v>
      </c>
      <c r="I125" s="312" t="s">
        <v>1912</v>
      </c>
      <c r="J125" s="395" t="s">
        <v>2989</v>
      </c>
      <c r="K125" s="401">
        <v>431</v>
      </c>
      <c r="L125" s="294">
        <v>431</v>
      </c>
      <c r="M125" s="314">
        <v>431</v>
      </c>
      <c r="N125" s="314">
        <v>431</v>
      </c>
      <c r="O125" s="10"/>
      <c r="P125" s="10"/>
    </row>
    <row r="126" spans="1:16" ht="13.5" customHeight="1" x14ac:dyDescent="0.2">
      <c r="A126">
        <f t="shared" si="1"/>
        <v>125</v>
      </c>
      <c r="B126" t="s">
        <v>872</v>
      </c>
      <c r="C126">
        <v>3</v>
      </c>
      <c r="D126" s="3">
        <v>158</v>
      </c>
      <c r="E126" s="2" t="str">
        <f>VLOOKUP( T_Aop[[#This Row],[Id]], T_Aop[], ID_Jezik +10, 1)</f>
        <v>432, 433, 434</v>
      </c>
      <c r="F126" t="str">
        <f>REPT( "  ", T_Aop[[#This Row],[Aop nivo]]) &amp; VLOOKUP( T_Aop[[#This Row],[Id]], T_Aop[], ID_Jezik + 6, 1)</f>
        <v xml:space="preserve">      2.3. Dobavljači u zemlji</v>
      </c>
      <c r="G126" s="309" t="s">
        <v>1217</v>
      </c>
      <c r="H126" s="309" t="s">
        <v>1008</v>
      </c>
      <c r="I126" s="312" t="s">
        <v>1913</v>
      </c>
      <c r="J126" s="395" t="s">
        <v>2988</v>
      </c>
      <c r="K126" s="401" t="s">
        <v>691</v>
      </c>
      <c r="L126" s="294" t="s">
        <v>691</v>
      </c>
      <c r="M126" s="314" t="s">
        <v>691</v>
      </c>
      <c r="N126" s="314" t="s">
        <v>691</v>
      </c>
      <c r="O126" s="10"/>
      <c r="P126" s="10"/>
    </row>
    <row r="127" spans="1:16" ht="13.5" customHeight="1" x14ac:dyDescent="0.2">
      <c r="A127">
        <f t="shared" si="1"/>
        <v>126</v>
      </c>
      <c r="B127" t="s">
        <v>872</v>
      </c>
      <c r="C127">
        <v>3</v>
      </c>
      <c r="D127" s="3">
        <v>159</v>
      </c>
      <c r="E127" s="2">
        <f>VLOOKUP( T_Aop[[#This Row],[Id]], T_Aop[], ID_Jezik +10, 1)</f>
        <v>435</v>
      </c>
      <c r="F127" t="str">
        <f>REPT( "  ", T_Aop[[#This Row],[Aop nivo]]) &amp; VLOOKUP( T_Aop[[#This Row],[Id]], T_Aop[], ID_Jezik + 6, 1)</f>
        <v xml:space="preserve">      2.4. Dobavljači iz inostranstva</v>
      </c>
      <c r="G127" s="309" t="s">
        <v>1218</v>
      </c>
      <c r="H127" s="309" t="s">
        <v>1009</v>
      </c>
      <c r="I127" s="312" t="s">
        <v>1914</v>
      </c>
      <c r="J127" s="395" t="s">
        <v>2987</v>
      </c>
      <c r="K127" s="401">
        <v>435</v>
      </c>
      <c r="L127" s="294">
        <v>435</v>
      </c>
      <c r="M127" s="314">
        <v>435</v>
      </c>
      <c r="N127" s="314">
        <v>435</v>
      </c>
      <c r="O127" s="10"/>
      <c r="P127" s="10"/>
    </row>
    <row r="128" spans="1:16" ht="13.5" customHeight="1" x14ac:dyDescent="0.2">
      <c r="A128">
        <f t="shared" si="1"/>
        <v>127</v>
      </c>
      <c r="B128" t="s">
        <v>872</v>
      </c>
      <c r="C128">
        <v>3</v>
      </c>
      <c r="D128" s="3">
        <v>160</v>
      </c>
      <c r="E128" s="2" t="str">
        <f>VLOOKUP( T_Aop[[#This Row],[Id]], T_Aop[], ID_Jezik +10, 1)</f>
        <v>437, 439</v>
      </c>
      <c r="F128" t="str">
        <f>REPT( "  ", T_Aop[[#This Row],[Aop nivo]]) &amp; VLOOKUP( T_Aop[[#This Row],[Id]], T_Aop[], ID_Jezik + 6, 1)</f>
        <v xml:space="preserve">      2.5. Ostale obaveze iz poslovanja</v>
      </c>
      <c r="G128" s="309" t="s">
        <v>1219</v>
      </c>
      <c r="H128" s="309" t="s">
        <v>1010</v>
      </c>
      <c r="I128" s="312" t="s">
        <v>1915</v>
      </c>
      <c r="J128" s="395" t="s">
        <v>2986</v>
      </c>
      <c r="K128" s="401" t="s">
        <v>1027</v>
      </c>
      <c r="L128" s="294" t="s">
        <v>1027</v>
      </c>
      <c r="M128" s="314" t="s">
        <v>1027</v>
      </c>
      <c r="N128" s="314" t="s">
        <v>2417</v>
      </c>
      <c r="O128" s="10"/>
      <c r="P128" s="10"/>
    </row>
    <row r="129" spans="1:16" ht="13.5" customHeight="1" x14ac:dyDescent="0.2">
      <c r="A129">
        <f t="shared" si="1"/>
        <v>128</v>
      </c>
      <c r="B129" t="s">
        <v>872</v>
      </c>
      <c r="C129">
        <v>2</v>
      </c>
      <c r="D129" s="3">
        <v>161</v>
      </c>
      <c r="E129" s="2" t="str">
        <f>VLOOKUP( T_Aop[[#This Row],[Id]], T_Aop[], ID_Jezik +10, 1)</f>
        <v>440 do 449</v>
      </c>
      <c r="F129" t="str">
        <f>REPT( "  ", T_Aop[[#This Row],[Aop nivo]]) &amp; VLOOKUP( T_Aop[[#This Row],[Id]], T_Aop[], ID_Jezik + 6, 1)</f>
        <v xml:space="preserve">    3. Obaveze iz specifičnih poslova</v>
      </c>
      <c r="G129" s="309" t="s">
        <v>0</v>
      </c>
      <c r="H129" s="309" t="s">
        <v>526</v>
      </c>
      <c r="I129" s="312" t="s">
        <v>1916</v>
      </c>
      <c r="J129" s="395" t="s">
        <v>2176</v>
      </c>
      <c r="K129" s="401" t="s">
        <v>98</v>
      </c>
      <c r="L129" s="294" t="s">
        <v>692</v>
      </c>
      <c r="M129" s="314" t="s">
        <v>10</v>
      </c>
      <c r="N129" s="314" t="s">
        <v>692</v>
      </c>
      <c r="O129" s="10"/>
      <c r="P129" s="10"/>
    </row>
    <row r="130" spans="1:16" ht="13.5" customHeight="1" x14ac:dyDescent="0.2">
      <c r="A130">
        <f t="shared" ref="A130:A197" si="2">ROW()-ROW($A$1)</f>
        <v>129</v>
      </c>
      <c r="B130" t="s">
        <v>872</v>
      </c>
      <c r="C130">
        <v>2</v>
      </c>
      <c r="D130">
        <v>162</v>
      </c>
      <c r="E130" s="2" t="str">
        <f>VLOOKUP( T_Aop[[#This Row],[Id]], T_Aop[], ID_Jezik +10, 1)</f>
        <v>450 do 458</v>
      </c>
      <c r="F130" t="str">
        <f>REPT( "  ", T_Aop[[#This Row],[Aop nivo]]) &amp; VLOOKUP( T_Aop[[#This Row],[Id]], T_Aop[], ID_Jezik + 6, 1)</f>
        <v xml:space="preserve">    4. Obaveze za plate i naknade plata</v>
      </c>
      <c r="G130" s="309" t="s">
        <v>2326</v>
      </c>
      <c r="H130" s="309" t="s">
        <v>2327</v>
      </c>
      <c r="I130" s="312" t="s">
        <v>1917</v>
      </c>
      <c r="J130" s="395" t="s">
        <v>2177</v>
      </c>
      <c r="K130" s="401" t="s">
        <v>99</v>
      </c>
      <c r="L130" s="294" t="s">
        <v>693</v>
      </c>
      <c r="M130" s="314" t="s">
        <v>11</v>
      </c>
      <c r="N130" s="314" t="s">
        <v>693</v>
      </c>
      <c r="O130" s="10"/>
      <c r="P130" s="10"/>
    </row>
    <row r="131" spans="1:16" ht="13.5" customHeight="1" x14ac:dyDescent="0.2">
      <c r="A131">
        <f t="shared" si="2"/>
        <v>130</v>
      </c>
      <c r="B131" t="s">
        <v>872</v>
      </c>
      <c r="C131">
        <v>2</v>
      </c>
      <c r="D131" s="3">
        <v>163</v>
      </c>
      <c r="E131" s="2" t="str">
        <f>VLOOKUP( T_Aop[[#This Row],[Id]], T_Aop[], ID_Jezik +10, 1)</f>
        <v>460 do 468</v>
      </c>
      <c r="F131" t="str">
        <f>REPT( "  ", T_Aop[[#This Row],[Aop nivo]]) &amp; VLOOKUP( T_Aop[[#This Row],[Id]], T_Aop[], ID_Jezik + 6, 1)</f>
        <v xml:space="preserve">    5. Ostale obaveze</v>
      </c>
      <c r="G131" s="309" t="s">
        <v>1220</v>
      </c>
      <c r="H131" s="309" t="s">
        <v>1011</v>
      </c>
      <c r="I131" s="312" t="s">
        <v>1918</v>
      </c>
      <c r="J131" s="395" t="s">
        <v>2178</v>
      </c>
      <c r="K131" s="401" t="s">
        <v>1945</v>
      </c>
      <c r="L131" s="294" t="s">
        <v>1028</v>
      </c>
      <c r="M131" s="314" t="s">
        <v>1935</v>
      </c>
      <c r="N131" s="314" t="s">
        <v>2418</v>
      </c>
      <c r="O131" s="10"/>
      <c r="P131" s="10"/>
    </row>
    <row r="132" spans="1:16" ht="13.5" customHeight="1" x14ac:dyDescent="0.2">
      <c r="A132">
        <f t="shared" si="2"/>
        <v>131</v>
      </c>
      <c r="B132" t="s">
        <v>872</v>
      </c>
      <c r="C132">
        <v>2</v>
      </c>
      <c r="D132" s="3">
        <v>164</v>
      </c>
      <c r="E132" s="2" t="str">
        <f>VLOOKUP( T_Aop[[#This Row],[Id]], T_Aop[], ID_Jezik +10, 1)</f>
        <v>470 do 479</v>
      </c>
      <c r="F132" t="str">
        <f>REPT( "  ", T_Aop[[#This Row],[Aop nivo]]) &amp; VLOOKUP( T_Aop[[#This Row],[Id]], T_Aop[], ID_Jezik + 6, 1)</f>
        <v xml:space="preserve">    6. Porez na dodatu vrijednost</v>
      </c>
      <c r="G132" s="309" t="s">
        <v>95</v>
      </c>
      <c r="H132" s="309" t="s">
        <v>527</v>
      </c>
      <c r="I132" s="312" t="s">
        <v>1919</v>
      </c>
      <c r="J132" s="395" t="s">
        <v>2179</v>
      </c>
      <c r="K132" s="401" t="s">
        <v>100</v>
      </c>
      <c r="L132" s="294" t="s">
        <v>694</v>
      </c>
      <c r="M132" s="314" t="s">
        <v>12</v>
      </c>
      <c r="N132" s="314" t="s">
        <v>694</v>
      </c>
      <c r="O132" s="10"/>
      <c r="P132" s="10"/>
    </row>
    <row r="133" spans="1:16" ht="13.5" customHeight="1" x14ac:dyDescent="0.2">
      <c r="A133">
        <f t="shared" si="2"/>
        <v>132</v>
      </c>
      <c r="B133" t="s">
        <v>872</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309" t="s">
        <v>96</v>
      </c>
      <c r="H133" s="309" t="s">
        <v>528</v>
      </c>
      <c r="I133" s="312" t="s">
        <v>1920</v>
      </c>
      <c r="J133" s="395" t="s">
        <v>2180</v>
      </c>
      <c r="K133" s="401" t="s">
        <v>695</v>
      </c>
      <c r="L133" s="294" t="s">
        <v>696</v>
      </c>
      <c r="M133" s="314" t="s">
        <v>697</v>
      </c>
      <c r="N133" s="314" t="s">
        <v>2419</v>
      </c>
      <c r="O133" s="10">
        <v>1</v>
      </c>
      <c r="P133" s="10"/>
    </row>
    <row r="134" spans="1:16" s="379" customFormat="1" ht="13.5" customHeight="1" x14ac:dyDescent="0.2">
      <c r="A134" s="362">
        <f t="shared" si="2"/>
        <v>133</v>
      </c>
      <c r="B134" s="362" t="s">
        <v>872</v>
      </c>
      <c r="C134" s="362">
        <v>2</v>
      </c>
      <c r="D134" s="363">
        <v>166</v>
      </c>
      <c r="E134" s="364">
        <f>VLOOKUP( T_Aop[[#This Row],[Id]], T_Aop[], ID_Jezik +10, 1)</f>
        <v>481</v>
      </c>
      <c r="F134" s="362" t="str">
        <f>REPT( "  ", T_Aop[[#This Row],[Aop nivo]]) &amp; VLOOKUP( T_Aop[[#This Row],[Id]], T_Aop[], ID_Jezik + 6, 1)</f>
        <v xml:space="preserve">    8. Obaveze za porez na dobit</v>
      </c>
      <c r="G134" s="334" t="s">
        <v>1221</v>
      </c>
      <c r="H134" s="334" t="s">
        <v>1012</v>
      </c>
      <c r="I134" s="365" t="s">
        <v>1921</v>
      </c>
      <c r="J134" s="404" t="s">
        <v>2181</v>
      </c>
      <c r="K134" s="401">
        <v>481</v>
      </c>
      <c r="L134" s="294">
        <v>481</v>
      </c>
      <c r="M134" s="314">
        <v>481</v>
      </c>
      <c r="N134" s="314">
        <v>481</v>
      </c>
      <c r="O134" s="367">
        <v>1</v>
      </c>
      <c r="P134" s="367"/>
    </row>
    <row r="135" spans="1:16" ht="13.5" customHeight="1" x14ac:dyDescent="0.2">
      <c r="A135">
        <f t="shared" si="2"/>
        <v>134</v>
      </c>
      <c r="B135" t="s">
        <v>872</v>
      </c>
      <c r="C135">
        <v>2</v>
      </c>
      <c r="D135" s="363">
        <v>167</v>
      </c>
      <c r="E135" s="364" t="str">
        <f>VLOOKUP( T_Aop[[#This Row],[Id]], T_Aop[], ID_Jezik +10, 1)</f>
        <v>49, osim 496</v>
      </c>
      <c r="F135" s="362" t="str">
        <f>REPT( "  ", T_Aop[[#This Row],[Aop nivo]]) &amp; VLOOKUP( T_Aop[[#This Row],[Id]], T_Aop[], ID_Jezik + 6, 1)</f>
        <v xml:space="preserve">    9. Kratkoročna razgraničenja</v>
      </c>
      <c r="G135" s="309" t="s">
        <v>1222</v>
      </c>
      <c r="H135" s="309" t="s">
        <v>1013</v>
      </c>
      <c r="I135" s="312" t="s">
        <v>1922</v>
      </c>
      <c r="J135" s="395" t="s">
        <v>2182</v>
      </c>
      <c r="K135" s="314" t="s">
        <v>1946</v>
      </c>
      <c r="L135" s="314" t="s">
        <v>1029</v>
      </c>
      <c r="M135" s="314" t="s">
        <v>1936</v>
      </c>
      <c r="N135" s="314" t="s">
        <v>2420</v>
      </c>
      <c r="O135" s="10"/>
      <c r="P135" s="10"/>
    </row>
    <row r="136" spans="1:16" ht="13.5" customHeight="1" x14ac:dyDescent="0.2">
      <c r="A136">
        <f t="shared" si="2"/>
        <v>135</v>
      </c>
      <c r="B136" t="s">
        <v>872</v>
      </c>
      <c r="C136">
        <v>2</v>
      </c>
      <c r="D136" s="56">
        <v>168</v>
      </c>
      <c r="E136" s="2">
        <f>VLOOKUP( T_Aop[[#This Row],[Id]], T_Aop[], ID_Jezik +10, 1)</f>
        <v>496</v>
      </c>
      <c r="F136" t="str">
        <f>REPT( "  ", T_Aop[[#This Row],[Aop nivo]]) &amp; VLOOKUP( T_Aop[[#This Row],[Id]], T_Aop[], ID_Jezik + 6, 1)</f>
        <v xml:space="preserve">    10. Kratkoročna rezervisanja</v>
      </c>
      <c r="G136" s="309" t="s">
        <v>1223</v>
      </c>
      <c r="H136" s="309" t="s">
        <v>1014</v>
      </c>
      <c r="I136" s="312" t="s">
        <v>1923</v>
      </c>
      <c r="J136" s="395" t="s">
        <v>2183</v>
      </c>
      <c r="K136" s="314">
        <v>496</v>
      </c>
      <c r="L136" s="314">
        <v>496</v>
      </c>
      <c r="M136" s="314">
        <v>496</v>
      </c>
      <c r="N136" s="314">
        <v>496</v>
      </c>
      <c r="O136" s="10"/>
      <c r="P136" s="10"/>
    </row>
    <row r="137" spans="1:16" ht="13.5" customHeight="1" x14ac:dyDescent="0.2">
      <c r="A137">
        <f t="shared" si="2"/>
        <v>136</v>
      </c>
      <c r="B137" t="s">
        <v>872</v>
      </c>
      <c r="D137" s="56"/>
      <c r="E137" s="2"/>
      <c r="F137" t="str">
        <f>REPT( "  ", T_Aop[[#This Row],[Aop nivo]]) &amp; VLOOKUP( T_Aop[[#This Row],[Id]], T_Aop[], ID_Jezik + 6, 1)</f>
        <v/>
      </c>
      <c r="I137" s="312"/>
      <c r="J137" s="319"/>
      <c r="K137" s="314"/>
      <c r="L137" s="314"/>
      <c r="M137" s="314"/>
      <c r="N137" s="314"/>
      <c r="O137" s="10"/>
      <c r="P137" s="10"/>
    </row>
    <row r="138" spans="1:16" ht="13.5" customHeight="1" x14ac:dyDescent="0.2">
      <c r="A138">
        <f t="shared" si="2"/>
        <v>137</v>
      </c>
      <c r="B138" t="s">
        <v>872</v>
      </c>
      <c r="C138">
        <v>1</v>
      </c>
      <c r="D138">
        <v>169</v>
      </c>
      <c r="E138" s="2"/>
      <c r="F138" t="str">
        <f>REPT( "  ", T_Aop[[#This Row],[Aop nivo]]) &amp; VLOOKUP( T_Aop[[#This Row],[Id]], T_Aop[], ID_Jezik + 6, 1)</f>
        <v xml:space="preserve">  D. BILANSNA PASIVA (101 + 132 + 146 + 147)</v>
      </c>
      <c r="G138" s="300" t="s">
        <v>1224</v>
      </c>
      <c r="H138" s="309" t="s">
        <v>1015</v>
      </c>
      <c r="I138" s="312" t="s">
        <v>1924</v>
      </c>
      <c r="J138" s="395" t="s">
        <v>2184</v>
      </c>
      <c r="K138" s="314"/>
      <c r="L138" s="314"/>
      <c r="M138" s="314"/>
      <c r="N138" s="314"/>
      <c r="O138" s="10"/>
      <c r="P138" s="10"/>
    </row>
    <row r="139" spans="1:16" ht="13.5" customHeight="1" x14ac:dyDescent="0.2">
      <c r="A139">
        <f t="shared" si="2"/>
        <v>138</v>
      </c>
      <c r="B139" s="277" t="s">
        <v>872</v>
      </c>
      <c r="C139" s="277">
        <v>1</v>
      </c>
      <c r="D139" s="392">
        <v>170</v>
      </c>
      <c r="E139" s="2" t="str">
        <f>VLOOKUP( T_Aop[[#This Row],[Id]], T_Aop[], ID_Jezik +10, 1)</f>
        <v>890 do 898</v>
      </c>
      <c r="F139" t="str">
        <f>REPT( "  ", T_Aop[[#This Row],[Aop nivo]]) &amp; VLOOKUP( T_Aop[[#This Row],[Id]], T_Aop[], ID_Jezik + 6, 1)</f>
        <v xml:space="preserve">  Đ. VANBILANSNA PASIVA</v>
      </c>
      <c r="G139" s="300" t="s">
        <v>1225</v>
      </c>
      <c r="H139" s="309" t="s">
        <v>1016</v>
      </c>
      <c r="I139" s="312" t="s">
        <v>20</v>
      </c>
      <c r="J139" s="395" t="s">
        <v>2185</v>
      </c>
      <c r="K139" s="314" t="s">
        <v>2689</v>
      </c>
      <c r="L139" s="314" t="s">
        <v>2421</v>
      </c>
      <c r="M139" s="314" t="s">
        <v>13</v>
      </c>
      <c r="N139" s="314" t="s">
        <v>2421</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299" t="s">
        <v>2922</v>
      </c>
      <c r="H140" s="309" t="s">
        <v>1030</v>
      </c>
      <c r="I140" s="306" t="s">
        <v>1952</v>
      </c>
      <c r="J140" s="395" t="s">
        <v>2340</v>
      </c>
      <c r="K140" s="401">
        <v>0</v>
      </c>
      <c r="L140" s="294"/>
      <c r="M140" s="314"/>
      <c r="N140" s="314"/>
      <c r="O140" s="10">
        <v>1</v>
      </c>
      <c r="P140" s="10"/>
    </row>
    <row r="141" spans="1:16" ht="13.5"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309" t="s">
        <v>66</v>
      </c>
      <c r="H141" s="309" t="s">
        <v>1233</v>
      </c>
      <c r="I141" s="316" t="s">
        <v>2939</v>
      </c>
      <c r="J141" s="395" t="s">
        <v>2638</v>
      </c>
      <c r="K141" s="401">
        <v>60</v>
      </c>
      <c r="L141" s="294">
        <v>60</v>
      </c>
      <c r="M141" s="314">
        <v>60</v>
      </c>
      <c r="N141" s="314">
        <v>60</v>
      </c>
      <c r="O141" s="10">
        <v>1</v>
      </c>
      <c r="P141" s="10"/>
    </row>
    <row r="142" spans="1:16" ht="13.5"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309" t="s">
        <v>2328</v>
      </c>
      <c r="H142" s="309" t="s">
        <v>2847</v>
      </c>
      <c r="I142" s="316" t="s">
        <v>42</v>
      </c>
      <c r="J142" s="395" t="s">
        <v>2186</v>
      </c>
      <c r="K142" s="401" t="s">
        <v>1354</v>
      </c>
      <c r="L142" s="294" t="s">
        <v>1236</v>
      </c>
      <c r="M142" s="314" t="s">
        <v>2044</v>
      </c>
      <c r="N142" s="314" t="s">
        <v>2422</v>
      </c>
      <c r="O142" s="10"/>
      <c r="P142" s="10"/>
    </row>
    <row r="143" spans="1:16" ht="13.5"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309" t="s">
        <v>67</v>
      </c>
      <c r="H143" s="309" t="s">
        <v>529</v>
      </c>
      <c r="I143" s="316" t="s">
        <v>53</v>
      </c>
      <c r="J143" s="395" t="s">
        <v>2187</v>
      </c>
      <c r="K143" s="401" t="s">
        <v>1355</v>
      </c>
      <c r="L143" s="294" t="s">
        <v>1237</v>
      </c>
      <c r="M143" s="314" t="s">
        <v>2045</v>
      </c>
      <c r="N143" s="314" t="s">
        <v>2423</v>
      </c>
      <c r="O143" s="10"/>
      <c r="P143" s="10"/>
    </row>
    <row r="144" spans="1:16" ht="13.5"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309" t="s">
        <v>2848</v>
      </c>
      <c r="H144" s="309" t="s">
        <v>530</v>
      </c>
      <c r="I144" s="316" t="s">
        <v>531</v>
      </c>
      <c r="J144" s="395" t="s">
        <v>2188</v>
      </c>
      <c r="K144" s="401" t="s">
        <v>1356</v>
      </c>
      <c r="L144" s="294" t="s">
        <v>1238</v>
      </c>
      <c r="M144" s="314" t="s">
        <v>2043</v>
      </c>
      <c r="N144" s="314" t="s">
        <v>2424</v>
      </c>
      <c r="O144" s="10"/>
      <c r="P144" s="10"/>
    </row>
    <row r="145" spans="1:16" ht="13.5"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309" t="s">
        <v>1282</v>
      </c>
      <c r="H145" s="309" t="s">
        <v>1234</v>
      </c>
      <c r="I145" s="316" t="s">
        <v>2940</v>
      </c>
      <c r="J145" s="395" t="s">
        <v>2639</v>
      </c>
      <c r="K145" s="401" t="s">
        <v>1357</v>
      </c>
      <c r="L145" s="294">
        <v>61</v>
      </c>
      <c r="M145" s="314">
        <v>61</v>
      </c>
      <c r="N145" s="314">
        <v>61</v>
      </c>
      <c r="O145" s="10"/>
      <c r="P145" s="10"/>
    </row>
    <row r="146" spans="1:16" ht="13.5"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309" t="s">
        <v>1283</v>
      </c>
      <c r="H146" s="309" t="s">
        <v>1031</v>
      </c>
      <c r="I146" s="316" t="s">
        <v>1953</v>
      </c>
      <c r="J146" s="395" t="s">
        <v>2189</v>
      </c>
      <c r="K146" s="401" t="s">
        <v>1358</v>
      </c>
      <c r="L146" s="294" t="s">
        <v>1239</v>
      </c>
      <c r="M146" s="314" t="s">
        <v>2042</v>
      </c>
      <c r="N146" s="314" t="s">
        <v>2425</v>
      </c>
      <c r="O146" s="10"/>
      <c r="P146" s="10"/>
    </row>
    <row r="147" spans="1:16" ht="13.5"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309" t="s">
        <v>1284</v>
      </c>
      <c r="H147" s="309" t="s">
        <v>1032</v>
      </c>
      <c r="I147" s="316" t="s">
        <v>1954</v>
      </c>
      <c r="J147" s="395" t="s">
        <v>2190</v>
      </c>
      <c r="K147" s="401" t="s">
        <v>2692</v>
      </c>
      <c r="L147" s="294" t="s">
        <v>2691</v>
      </c>
      <c r="M147" s="314" t="s">
        <v>2690</v>
      </c>
      <c r="N147" s="314" t="s">
        <v>2426</v>
      </c>
      <c r="O147" s="10"/>
      <c r="P147" s="10"/>
    </row>
    <row r="148" spans="1:16" ht="13.5"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309" t="s">
        <v>2849</v>
      </c>
      <c r="H148" s="309" t="s">
        <v>1033</v>
      </c>
      <c r="I148" s="316" t="s">
        <v>1955</v>
      </c>
      <c r="J148" s="395" t="s">
        <v>2191</v>
      </c>
      <c r="K148" s="401" t="s">
        <v>1359</v>
      </c>
      <c r="L148" s="294" t="s">
        <v>1240</v>
      </c>
      <c r="M148" s="314" t="s">
        <v>2041</v>
      </c>
      <c r="N148" s="314" t="s">
        <v>2427</v>
      </c>
      <c r="O148" s="10"/>
      <c r="P148" s="10"/>
    </row>
    <row r="149" spans="1:16" ht="13.5"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309" t="s">
        <v>1285</v>
      </c>
      <c r="H149" s="309" t="s">
        <v>1235</v>
      </c>
      <c r="I149" s="316" t="s">
        <v>1956</v>
      </c>
      <c r="J149" s="395" t="s">
        <v>2640</v>
      </c>
      <c r="K149" s="401" t="s">
        <v>1360</v>
      </c>
      <c r="L149" s="294">
        <v>62</v>
      </c>
      <c r="M149" s="314">
        <v>62</v>
      </c>
      <c r="N149" s="314">
        <v>62</v>
      </c>
      <c r="O149" s="10"/>
      <c r="P149" s="10"/>
    </row>
    <row r="150" spans="1:16" ht="13.5"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309" t="s">
        <v>1286</v>
      </c>
      <c r="H150" s="309" t="s">
        <v>1034</v>
      </c>
      <c r="I150" s="316" t="s">
        <v>1957</v>
      </c>
      <c r="J150" s="395" t="s">
        <v>2192</v>
      </c>
      <c r="K150" s="401" t="s">
        <v>1361</v>
      </c>
      <c r="L150" s="294" t="s">
        <v>1241</v>
      </c>
      <c r="M150" s="314" t="s">
        <v>2693</v>
      </c>
      <c r="N150" s="314" t="s">
        <v>2428</v>
      </c>
      <c r="O150" s="10"/>
      <c r="P150" s="10"/>
    </row>
    <row r="151" spans="1:16" ht="13.5"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309" t="s">
        <v>1287</v>
      </c>
      <c r="H151" s="309" t="s">
        <v>1035</v>
      </c>
      <c r="I151" s="316" t="s">
        <v>1958</v>
      </c>
      <c r="J151" s="395" t="s">
        <v>2193</v>
      </c>
      <c r="K151" s="401" t="s">
        <v>1362</v>
      </c>
      <c r="L151" s="294" t="s">
        <v>1242</v>
      </c>
      <c r="M151" s="314" t="s">
        <v>2040</v>
      </c>
      <c r="N151" s="314" t="s">
        <v>2429</v>
      </c>
      <c r="O151" s="10"/>
      <c r="P151" s="10"/>
    </row>
    <row r="152" spans="1:16" ht="13.5"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309" t="s">
        <v>2850</v>
      </c>
      <c r="H152" s="309" t="s">
        <v>1036</v>
      </c>
      <c r="I152" s="316" t="s">
        <v>1959</v>
      </c>
      <c r="J152" s="395" t="s">
        <v>2194</v>
      </c>
      <c r="K152" s="401" t="s">
        <v>1363</v>
      </c>
      <c r="L152" s="294" t="s">
        <v>1243</v>
      </c>
      <c r="M152" s="314" t="s">
        <v>2694</v>
      </c>
      <c r="N152" s="314" t="s">
        <v>2430</v>
      </c>
      <c r="O152" s="10"/>
      <c r="P152" s="10"/>
    </row>
    <row r="153" spans="1:16" ht="13.5"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309" t="s">
        <v>1321</v>
      </c>
      <c r="H153" s="309" t="s">
        <v>1324</v>
      </c>
      <c r="I153" s="316" t="s">
        <v>1960</v>
      </c>
      <c r="J153" s="395" t="s">
        <v>2997</v>
      </c>
      <c r="K153" s="401" t="s">
        <v>1364</v>
      </c>
      <c r="L153" s="294">
        <v>630</v>
      </c>
      <c r="M153" s="314">
        <v>630</v>
      </c>
      <c r="N153" s="314">
        <v>630</v>
      </c>
      <c r="O153" s="10"/>
      <c r="P153" s="10"/>
    </row>
    <row r="154" spans="1:16" ht="13.5"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309" t="s">
        <v>1322</v>
      </c>
      <c r="H154" s="309" t="s">
        <v>1323</v>
      </c>
      <c r="I154" s="316" t="s">
        <v>1961</v>
      </c>
      <c r="J154" s="395" t="s">
        <v>2998</v>
      </c>
      <c r="K154" s="401" t="s">
        <v>1365</v>
      </c>
      <c r="L154" s="294">
        <v>631</v>
      </c>
      <c r="M154" s="314">
        <v>631</v>
      </c>
      <c r="N154" s="314">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309" t="s">
        <v>1331</v>
      </c>
      <c r="H155" s="309" t="s">
        <v>1325</v>
      </c>
      <c r="I155" s="316" t="s">
        <v>1962</v>
      </c>
      <c r="J155" s="395" t="s">
        <v>2999</v>
      </c>
      <c r="K155" s="401" t="s">
        <v>1366</v>
      </c>
      <c r="L155" s="294" t="s">
        <v>1244</v>
      </c>
      <c r="M155" s="314" t="s">
        <v>2890</v>
      </c>
      <c r="N155" s="314" t="s">
        <v>1244</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309" t="s">
        <v>1332</v>
      </c>
      <c r="H156" s="309" t="s">
        <v>1326</v>
      </c>
      <c r="I156" s="316" t="s">
        <v>1963</v>
      </c>
      <c r="J156" s="395" t="s">
        <v>3000</v>
      </c>
      <c r="K156" s="401" t="s">
        <v>1367</v>
      </c>
      <c r="L156" s="294" t="s">
        <v>1245</v>
      </c>
      <c r="M156" s="314" t="s">
        <v>2695</v>
      </c>
      <c r="N156" s="314" t="s">
        <v>1245</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309" t="s">
        <v>2</v>
      </c>
      <c r="H157" s="309" t="s">
        <v>532</v>
      </c>
      <c r="I157" s="316" t="s">
        <v>1964</v>
      </c>
      <c r="J157" s="395" t="s">
        <v>2195</v>
      </c>
      <c r="K157" s="401" t="s">
        <v>1</v>
      </c>
      <c r="L157" s="294" t="s">
        <v>698</v>
      </c>
      <c r="M157" s="314" t="s">
        <v>2696</v>
      </c>
      <c r="N157" s="314" t="s">
        <v>698</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300" t="s">
        <v>1288</v>
      </c>
      <c r="H158" s="309" t="s">
        <v>1037</v>
      </c>
      <c r="I158" s="316" t="s">
        <v>2941</v>
      </c>
      <c r="J158" s="395" t="s">
        <v>2196</v>
      </c>
      <c r="K158" s="401"/>
      <c r="L158" s="294"/>
      <c r="M158" s="314"/>
      <c r="N158" s="314"/>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309" t="s">
        <v>1333</v>
      </c>
      <c r="H159" s="309" t="s">
        <v>1327</v>
      </c>
      <c r="I159" s="316" t="s">
        <v>1965</v>
      </c>
      <c r="J159" s="395" t="s">
        <v>2641</v>
      </c>
      <c r="K159" s="401" t="s">
        <v>3</v>
      </c>
      <c r="L159" s="294" t="s">
        <v>699</v>
      </c>
      <c r="M159" s="314" t="s">
        <v>2697</v>
      </c>
      <c r="N159" s="314" t="s">
        <v>699</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309" t="s">
        <v>1334</v>
      </c>
      <c r="H160" s="309" t="s">
        <v>1328</v>
      </c>
      <c r="I160" s="316" t="s">
        <v>1966</v>
      </c>
      <c r="J160" s="395" t="s">
        <v>2642</v>
      </c>
      <c r="K160" s="401" t="s">
        <v>1368</v>
      </c>
      <c r="L160" s="294" t="s">
        <v>1246</v>
      </c>
      <c r="M160" s="314" t="s">
        <v>2698</v>
      </c>
      <c r="N160" s="314" t="s">
        <v>1246</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309" t="s">
        <v>2851</v>
      </c>
      <c r="H161" s="309" t="s">
        <v>1329</v>
      </c>
      <c r="I161" s="316" t="s">
        <v>1967</v>
      </c>
      <c r="J161" s="395" t="s">
        <v>2643</v>
      </c>
      <c r="K161" s="401" t="s">
        <v>1369</v>
      </c>
      <c r="L161" s="294">
        <v>513</v>
      </c>
      <c r="M161" s="314">
        <v>513</v>
      </c>
      <c r="N161" s="314">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309" t="s">
        <v>1335</v>
      </c>
      <c r="H162" s="309" t="s">
        <v>1330</v>
      </c>
      <c r="I162" s="316" t="s">
        <v>1968</v>
      </c>
      <c r="J162" s="395" t="s">
        <v>2644</v>
      </c>
      <c r="K162" s="401" t="s">
        <v>1370</v>
      </c>
      <c r="L162" s="294">
        <v>52</v>
      </c>
      <c r="M162" s="314">
        <v>52</v>
      </c>
      <c r="N162" s="314">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309" t="s">
        <v>1289</v>
      </c>
      <c r="H163" s="309" t="s">
        <v>1038</v>
      </c>
      <c r="I163" s="316" t="s">
        <v>43</v>
      </c>
      <c r="J163" s="395" t="s">
        <v>2197</v>
      </c>
      <c r="K163" s="401" t="s">
        <v>1371</v>
      </c>
      <c r="L163" s="294" t="s">
        <v>1247</v>
      </c>
      <c r="M163" s="314" t="s">
        <v>2891</v>
      </c>
      <c r="N163" s="314" t="s">
        <v>1247</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309" t="s">
        <v>1290</v>
      </c>
      <c r="H164" s="309" t="s">
        <v>1039</v>
      </c>
      <c r="I164" s="316" t="s">
        <v>44</v>
      </c>
      <c r="J164" s="395" t="s">
        <v>2198</v>
      </c>
      <c r="K164" s="401" t="s">
        <v>700</v>
      </c>
      <c r="L164" s="294" t="s">
        <v>701</v>
      </c>
      <c r="M164" s="314" t="s">
        <v>2892</v>
      </c>
      <c r="N164" s="314" t="s">
        <v>701</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309" t="s">
        <v>1336</v>
      </c>
      <c r="H165" s="309" t="s">
        <v>1344</v>
      </c>
      <c r="I165" s="316" t="s">
        <v>1969</v>
      </c>
      <c r="J165" s="395" t="s">
        <v>2645</v>
      </c>
      <c r="K165" s="401" t="s">
        <v>4</v>
      </c>
      <c r="L165" s="294" t="s">
        <v>702</v>
      </c>
      <c r="M165" s="314" t="s">
        <v>2893</v>
      </c>
      <c r="N165" s="314" t="s">
        <v>702</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309" t="s">
        <v>1337</v>
      </c>
      <c r="H166" s="309" t="s">
        <v>1345</v>
      </c>
      <c r="I166" s="316" t="s">
        <v>1970</v>
      </c>
      <c r="J166" s="395" t="s">
        <v>2646</v>
      </c>
      <c r="K166" s="401" t="s">
        <v>1372</v>
      </c>
      <c r="L166" s="294">
        <v>54</v>
      </c>
      <c r="M166" s="314">
        <v>54</v>
      </c>
      <c r="N166" s="314">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309" t="s">
        <v>1291</v>
      </c>
      <c r="H167" s="309" t="s">
        <v>1043</v>
      </c>
      <c r="I167" s="316" t="s">
        <v>2852</v>
      </c>
      <c r="J167" s="395" t="s">
        <v>2647</v>
      </c>
      <c r="K167" s="401" t="s">
        <v>1373</v>
      </c>
      <c r="L167" s="294">
        <v>540</v>
      </c>
      <c r="M167" s="314">
        <v>540</v>
      </c>
      <c r="N167" s="314">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309" t="s">
        <v>1292</v>
      </c>
      <c r="H168" s="309" t="s">
        <v>1040</v>
      </c>
      <c r="I168" s="316" t="s">
        <v>1971</v>
      </c>
      <c r="J168" s="395" t="s">
        <v>2199</v>
      </c>
      <c r="K168" s="401" t="s">
        <v>1374</v>
      </c>
      <c r="L168" s="294" t="s">
        <v>1248</v>
      </c>
      <c r="M168" s="314" t="s">
        <v>2037</v>
      </c>
      <c r="N168" s="314" t="s">
        <v>2431</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309" t="s">
        <v>1293</v>
      </c>
      <c r="H169" s="309" t="s">
        <v>1044</v>
      </c>
      <c r="I169" s="316" t="s">
        <v>1972</v>
      </c>
      <c r="J169" s="395" t="s">
        <v>2648</v>
      </c>
      <c r="K169" s="401" t="s">
        <v>1374</v>
      </c>
      <c r="L169" s="294" t="s">
        <v>1248</v>
      </c>
      <c r="M169" s="314" t="s">
        <v>2037</v>
      </c>
      <c r="N169" s="314" t="s">
        <v>2431</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309" t="s">
        <v>2853</v>
      </c>
      <c r="H170" s="309" t="s">
        <v>1041</v>
      </c>
      <c r="I170" s="316" t="s">
        <v>1973</v>
      </c>
      <c r="J170" s="395" t="s">
        <v>2200</v>
      </c>
      <c r="K170" s="401" t="s">
        <v>1374</v>
      </c>
      <c r="L170" s="294" t="s">
        <v>1248</v>
      </c>
      <c r="M170" s="314" t="s">
        <v>2037</v>
      </c>
      <c r="N170" s="314" t="s">
        <v>2431</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309" t="s">
        <v>2854</v>
      </c>
      <c r="H171" s="309" t="s">
        <v>1042</v>
      </c>
      <c r="I171" s="316" t="s">
        <v>1974</v>
      </c>
      <c r="J171" s="395" t="s">
        <v>2201</v>
      </c>
      <c r="K171" s="401" t="s">
        <v>1374</v>
      </c>
      <c r="L171" s="294" t="s">
        <v>1248</v>
      </c>
      <c r="M171" s="314" t="s">
        <v>2037</v>
      </c>
      <c r="N171" s="314" t="s">
        <v>2431</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309" t="s">
        <v>1294</v>
      </c>
      <c r="H172" s="309" t="s">
        <v>1045</v>
      </c>
      <c r="I172" s="316" t="s">
        <v>1975</v>
      </c>
      <c r="J172" s="395" t="s">
        <v>2649</v>
      </c>
      <c r="K172" s="401" t="s">
        <v>1375</v>
      </c>
      <c r="L172" s="294">
        <v>541</v>
      </c>
      <c r="M172" s="314">
        <v>541</v>
      </c>
      <c r="N172" s="314">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309" t="s">
        <v>1340</v>
      </c>
      <c r="H173" s="309" t="s">
        <v>1341</v>
      </c>
      <c r="I173" s="316" t="s">
        <v>1976</v>
      </c>
      <c r="J173" s="395" t="s">
        <v>2650</v>
      </c>
      <c r="K173" s="401" t="s">
        <v>1376</v>
      </c>
      <c r="L173" s="294" t="s">
        <v>1249</v>
      </c>
      <c r="M173" s="314" t="s">
        <v>2038</v>
      </c>
      <c r="N173" s="314" t="s">
        <v>2432</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309" t="s">
        <v>1338</v>
      </c>
      <c r="H174" s="309" t="s">
        <v>1342</v>
      </c>
      <c r="I174" s="316" t="s">
        <v>1977</v>
      </c>
      <c r="J174" s="395" t="s">
        <v>2651</v>
      </c>
      <c r="K174" s="401" t="s">
        <v>1377</v>
      </c>
      <c r="L174" s="294">
        <v>555</v>
      </c>
      <c r="M174" s="314">
        <v>555</v>
      </c>
      <c r="N174" s="314">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309" t="s">
        <v>1339</v>
      </c>
      <c r="H175" s="309" t="s">
        <v>1343</v>
      </c>
      <c r="I175" s="316" t="s">
        <v>1978</v>
      </c>
      <c r="J175" s="395" t="s">
        <v>2652</v>
      </c>
      <c r="K175" s="401" t="s">
        <v>1378</v>
      </c>
      <c r="L175" s="294">
        <v>556</v>
      </c>
      <c r="M175" s="314">
        <v>556</v>
      </c>
      <c r="N175" s="314">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300" t="s">
        <v>1295</v>
      </c>
      <c r="H176" s="309" t="s">
        <v>1046</v>
      </c>
      <c r="I176" s="316" t="s">
        <v>1979</v>
      </c>
      <c r="J176" s="395" t="s">
        <v>2202</v>
      </c>
      <c r="K176" s="401"/>
      <c r="L176" s="294"/>
      <c r="M176" s="314"/>
      <c r="N176" s="314"/>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300" t="s">
        <v>1296</v>
      </c>
      <c r="H177" s="309" t="s">
        <v>1047</v>
      </c>
      <c r="I177" s="316" t="s">
        <v>1980</v>
      </c>
      <c r="J177" s="395" t="s">
        <v>2203</v>
      </c>
      <c r="K177" s="401"/>
      <c r="L177" s="294"/>
      <c r="M177" s="314"/>
      <c r="N177" s="314"/>
      <c r="O177" s="10"/>
      <c r="P177" s="10"/>
    </row>
    <row r="178" spans="1:16" ht="15"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299" t="s">
        <v>1297</v>
      </c>
      <c r="H178" s="309" t="s">
        <v>1048</v>
      </c>
      <c r="I178" s="316" t="s">
        <v>1981</v>
      </c>
      <c r="J178" s="395" t="s">
        <v>2339</v>
      </c>
      <c r="K178" s="401" t="s">
        <v>1379</v>
      </c>
      <c r="L178" s="294">
        <v>66</v>
      </c>
      <c r="M178" s="314">
        <v>66</v>
      </c>
      <c r="N178" s="314">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309" t="s">
        <v>1298</v>
      </c>
      <c r="H179" s="309" t="s">
        <v>1049</v>
      </c>
      <c r="I179" s="316" t="s">
        <v>1982</v>
      </c>
      <c r="J179" s="395" t="s">
        <v>2653</v>
      </c>
      <c r="K179" s="401" t="s">
        <v>1250</v>
      </c>
      <c r="L179" s="294" t="s">
        <v>1250</v>
      </c>
      <c r="M179" s="314" t="s">
        <v>1250</v>
      </c>
      <c r="N179" s="314" t="s">
        <v>1250</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309" t="s">
        <v>1299</v>
      </c>
      <c r="H180" s="309" t="s">
        <v>1050</v>
      </c>
      <c r="I180" s="316" t="s">
        <v>1983</v>
      </c>
      <c r="J180" s="395" t="s">
        <v>2654</v>
      </c>
      <c r="K180" s="401" t="s">
        <v>1380</v>
      </c>
      <c r="L180" s="294">
        <v>662</v>
      </c>
      <c r="M180" s="314">
        <v>662</v>
      </c>
      <c r="N180" s="314">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309" t="s">
        <v>1300</v>
      </c>
      <c r="H181" s="309" t="s">
        <v>1051</v>
      </c>
      <c r="I181" s="316" t="s">
        <v>1984</v>
      </c>
      <c r="J181" s="395" t="s">
        <v>2655</v>
      </c>
      <c r="K181" s="401" t="s">
        <v>1381</v>
      </c>
      <c r="L181" s="294">
        <v>663</v>
      </c>
      <c r="M181" s="314">
        <v>663</v>
      </c>
      <c r="N181" s="314">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309" t="s">
        <v>1301</v>
      </c>
      <c r="H182" s="309" t="s">
        <v>1052</v>
      </c>
      <c r="I182" s="316" t="s">
        <v>1985</v>
      </c>
      <c r="J182" s="395" t="s">
        <v>2656</v>
      </c>
      <c r="K182" s="401" t="s">
        <v>1382</v>
      </c>
      <c r="L182" s="294">
        <v>669</v>
      </c>
      <c r="M182" s="314">
        <v>669</v>
      </c>
      <c r="N182" s="314">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300" t="s">
        <v>1302</v>
      </c>
      <c r="H183" s="309" t="s">
        <v>1053</v>
      </c>
      <c r="I183" s="316" t="s">
        <v>2884</v>
      </c>
      <c r="J183" s="395" t="s">
        <v>2204</v>
      </c>
      <c r="K183" s="401" t="s">
        <v>1383</v>
      </c>
      <c r="L183" s="294">
        <v>56</v>
      </c>
      <c r="M183" s="314">
        <v>56</v>
      </c>
      <c r="N183" s="314">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309" t="s">
        <v>1350</v>
      </c>
      <c r="H184" s="309" t="s">
        <v>1346</v>
      </c>
      <c r="I184" s="316" t="s">
        <v>1986</v>
      </c>
      <c r="J184" s="395" t="s">
        <v>3002</v>
      </c>
      <c r="K184" s="401" t="s">
        <v>1251</v>
      </c>
      <c r="L184" s="294" t="s">
        <v>1251</v>
      </c>
      <c r="M184" s="314" t="s">
        <v>1251</v>
      </c>
      <c r="N184" s="314" t="s">
        <v>1251</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309" t="s">
        <v>1351</v>
      </c>
      <c r="H185" s="309" t="s">
        <v>1347</v>
      </c>
      <c r="I185" s="316" t="s">
        <v>1987</v>
      </c>
      <c r="J185" s="395" t="s">
        <v>3001</v>
      </c>
      <c r="K185" s="401" t="s">
        <v>1384</v>
      </c>
      <c r="L185" s="294">
        <v>562</v>
      </c>
      <c r="M185" s="314">
        <v>562</v>
      </c>
      <c r="N185" s="314">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309" t="s">
        <v>1352</v>
      </c>
      <c r="H186" s="309" t="s">
        <v>1348</v>
      </c>
      <c r="I186" s="316" t="s">
        <v>1988</v>
      </c>
      <c r="J186" s="395" t="s">
        <v>3003</v>
      </c>
      <c r="K186" s="401" t="s">
        <v>1385</v>
      </c>
      <c r="L186" s="294">
        <v>563</v>
      </c>
      <c r="M186" s="314">
        <v>563</v>
      </c>
      <c r="N186" s="314">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309" t="s">
        <v>1353</v>
      </c>
      <c r="H187" s="309" t="s">
        <v>1349</v>
      </c>
      <c r="I187" s="316" t="s">
        <v>1989</v>
      </c>
      <c r="J187" s="395" t="s">
        <v>2657</v>
      </c>
      <c r="K187" s="401" t="s">
        <v>1386</v>
      </c>
      <c r="L187" s="294">
        <v>569</v>
      </c>
      <c r="M187" s="314">
        <v>569</v>
      </c>
      <c r="N187" s="314">
        <v>569</v>
      </c>
      <c r="O187" s="10">
        <v>1</v>
      </c>
      <c r="P187" s="10"/>
    </row>
    <row r="188" spans="1:16" ht="24"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312" t="s">
        <v>2346</v>
      </c>
      <c r="H188" s="312" t="s">
        <v>2333</v>
      </c>
      <c r="I188" s="316" t="s">
        <v>2334</v>
      </c>
      <c r="J188" s="395" t="s">
        <v>2205</v>
      </c>
      <c r="K188" s="401"/>
      <c r="L188" s="294"/>
      <c r="M188" s="314"/>
      <c r="N188" s="314"/>
      <c r="O188" s="10">
        <v>1</v>
      </c>
      <c r="P188" s="10"/>
    </row>
    <row r="189" spans="1:16" ht="24"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312" t="s">
        <v>2347</v>
      </c>
      <c r="H189" s="312" t="s">
        <v>2332</v>
      </c>
      <c r="I189" s="316" t="s">
        <v>2700</v>
      </c>
      <c r="J189" s="395" t="s">
        <v>2206</v>
      </c>
      <c r="K189" s="401"/>
      <c r="L189" s="294"/>
      <c r="M189" s="314"/>
      <c r="N189" s="314"/>
      <c r="O189" s="10"/>
      <c r="P189" s="10"/>
    </row>
    <row r="190" spans="1:16" ht="12.7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309" t="s">
        <v>2923</v>
      </c>
      <c r="H190" s="309" t="s">
        <v>2924</v>
      </c>
      <c r="I190" s="316" t="s">
        <v>2925</v>
      </c>
      <c r="J190" s="395" t="s">
        <v>2699</v>
      </c>
      <c r="K190" s="401" t="s">
        <v>1387</v>
      </c>
      <c r="L190" s="294">
        <v>67</v>
      </c>
      <c r="M190" s="314">
        <v>67</v>
      </c>
      <c r="N190" s="314">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309" t="s">
        <v>1677</v>
      </c>
      <c r="H191" s="309" t="s">
        <v>1687</v>
      </c>
      <c r="I191" s="316" t="s">
        <v>1990</v>
      </c>
      <c r="J191" s="395" t="s">
        <v>3004</v>
      </c>
      <c r="K191" s="401" t="s">
        <v>1388</v>
      </c>
      <c r="L191" s="294" t="s">
        <v>1252</v>
      </c>
      <c r="M191" s="314" t="s">
        <v>2046</v>
      </c>
      <c r="N191" s="314" t="s">
        <v>2433</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309" t="s">
        <v>1678</v>
      </c>
      <c r="H192" s="309" t="s">
        <v>1688</v>
      </c>
      <c r="I192" s="316" t="s">
        <v>1991</v>
      </c>
      <c r="J192" s="395" t="s">
        <v>3005</v>
      </c>
      <c r="K192" s="401" t="s">
        <v>1389</v>
      </c>
      <c r="L192" s="294" t="s">
        <v>1253</v>
      </c>
      <c r="M192" s="314" t="s">
        <v>2047</v>
      </c>
      <c r="N192" s="314" t="s">
        <v>2434</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309" t="s">
        <v>2855</v>
      </c>
      <c r="H193" s="309" t="s">
        <v>1689</v>
      </c>
      <c r="I193" s="316" t="s">
        <v>1992</v>
      </c>
      <c r="J193" s="395" t="s">
        <v>3006</v>
      </c>
      <c r="K193" s="401" t="s">
        <v>1390</v>
      </c>
      <c r="L193" s="294" t="s">
        <v>1254</v>
      </c>
      <c r="M193" s="314" t="s">
        <v>2048</v>
      </c>
      <c r="N193" s="314" t="s">
        <v>2435</v>
      </c>
      <c r="O193" s="10"/>
      <c r="P193" s="10"/>
    </row>
    <row r="194" spans="1:16" ht="12.75" customHeight="1" x14ac:dyDescent="0.2">
      <c r="A194">
        <f t="shared" si="2"/>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309" t="s">
        <v>1679</v>
      </c>
      <c r="H194" s="309" t="s">
        <v>1690</v>
      </c>
      <c r="I194" s="316" t="s">
        <v>1993</v>
      </c>
      <c r="J194" s="395" t="s">
        <v>3011</v>
      </c>
      <c r="K194" s="401" t="s">
        <v>1391</v>
      </c>
      <c r="L194" s="294" t="s">
        <v>1255</v>
      </c>
      <c r="M194" s="314" t="s">
        <v>2049</v>
      </c>
      <c r="N194" s="314" t="s">
        <v>2436</v>
      </c>
      <c r="O194" s="10"/>
      <c r="P194" s="10"/>
    </row>
    <row r="195" spans="1:16" ht="12.75" customHeight="1" x14ac:dyDescent="0.2">
      <c r="A195">
        <f t="shared" si="2"/>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309" t="s">
        <v>1680</v>
      </c>
      <c r="H195" s="309" t="s">
        <v>1686</v>
      </c>
      <c r="I195" s="316" t="s">
        <v>1994</v>
      </c>
      <c r="J195" s="395" t="s">
        <v>3007</v>
      </c>
      <c r="K195" s="401" t="s">
        <v>1392</v>
      </c>
      <c r="L195" s="294" t="s">
        <v>1256</v>
      </c>
      <c r="M195" s="314" t="s">
        <v>2050</v>
      </c>
      <c r="N195" s="314" t="s">
        <v>2437</v>
      </c>
      <c r="O195" s="10"/>
      <c r="P195" s="10"/>
    </row>
    <row r="196" spans="1:16" ht="25.5" customHeight="1" x14ac:dyDescent="0.2">
      <c r="A196">
        <f t="shared" si="2"/>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309" t="s">
        <v>1681</v>
      </c>
      <c r="H196" s="309" t="s">
        <v>1685</v>
      </c>
      <c r="I196" s="316" t="s">
        <v>1995</v>
      </c>
      <c r="J196" s="395" t="s">
        <v>3008</v>
      </c>
      <c r="K196" s="401" t="s">
        <v>1393</v>
      </c>
      <c r="L196" s="294" t="s">
        <v>1257</v>
      </c>
      <c r="M196" s="314" t="s">
        <v>2051</v>
      </c>
      <c r="N196" s="314" t="s">
        <v>2438</v>
      </c>
      <c r="O196" s="10"/>
      <c r="P196" s="10"/>
    </row>
    <row r="197" spans="1:16" x14ac:dyDescent="0.2">
      <c r="A197">
        <f t="shared" si="2"/>
        <v>196</v>
      </c>
      <c r="B197" t="s">
        <v>255</v>
      </c>
      <c r="C197">
        <v>2</v>
      </c>
      <c r="D197">
        <v>258</v>
      </c>
      <c r="E197" s="2" t="str">
        <f>VLOOKUP( T_Aop[[#This Row],[Id]], T_Aop[], ID_Jezik +10, 1)</f>
        <v>676</v>
      </c>
      <c r="F197" t="str">
        <f>REPT( "  ", T_Aop[[#This Row],[Aop nivo]]) &amp; VLOOKUP( T_Aop[[#This Row],[Id]], T_Aop[], ID_Jezik + 6, 1)</f>
        <v xml:space="preserve">    7. Viškovi</v>
      </c>
      <c r="G197" s="309" t="s">
        <v>1682</v>
      </c>
      <c r="H197" s="309" t="s">
        <v>1691</v>
      </c>
      <c r="I197" s="316" t="s">
        <v>1996</v>
      </c>
      <c r="J197" s="395" t="s">
        <v>3009</v>
      </c>
      <c r="K197" s="401" t="s">
        <v>1394</v>
      </c>
      <c r="L197" s="294">
        <v>676</v>
      </c>
      <c r="M197" s="314">
        <v>676</v>
      </c>
      <c r="N197" s="314">
        <v>676</v>
      </c>
      <c r="O197" s="10"/>
      <c r="P197" s="10">
        <v>1</v>
      </c>
    </row>
    <row r="198" spans="1:16" ht="12.75" customHeight="1" x14ac:dyDescent="0.2">
      <c r="A198">
        <f t="shared" ref="A198:A241" si="3">ROW()-ROW($A$1)</f>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309" t="s">
        <v>1683</v>
      </c>
      <c r="H198" s="309" t="s">
        <v>1692</v>
      </c>
      <c r="I198" s="316" t="s">
        <v>1997</v>
      </c>
      <c r="J198" s="395" t="s">
        <v>3010</v>
      </c>
      <c r="K198" s="401" t="s">
        <v>1258</v>
      </c>
      <c r="L198" s="294" t="s">
        <v>1258</v>
      </c>
      <c r="M198" s="314" t="s">
        <v>1258</v>
      </c>
      <c r="N198" s="314" t="s">
        <v>1258</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309" t="s">
        <v>1684</v>
      </c>
      <c r="H199" s="309" t="s">
        <v>1693</v>
      </c>
      <c r="I199" s="316" t="s">
        <v>1998</v>
      </c>
      <c r="J199" s="395" t="s">
        <v>3012</v>
      </c>
      <c r="K199" s="401" t="s">
        <v>1259</v>
      </c>
      <c r="L199" s="294" t="s">
        <v>1259</v>
      </c>
      <c r="M199" s="314" t="s">
        <v>1259</v>
      </c>
      <c r="N199" s="314" t="s">
        <v>1259</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309" t="s">
        <v>1303</v>
      </c>
      <c r="H200" s="309" t="s">
        <v>1054</v>
      </c>
      <c r="I200" s="316" t="s">
        <v>2948</v>
      </c>
      <c r="J200" s="395" t="s">
        <v>2207</v>
      </c>
      <c r="K200" s="401" t="s">
        <v>1395</v>
      </c>
      <c r="L200" s="294">
        <v>57</v>
      </c>
      <c r="M200" s="314">
        <v>57</v>
      </c>
      <c r="N200" s="314">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309" t="s">
        <v>1653</v>
      </c>
      <c r="H201" s="309" t="s">
        <v>1644</v>
      </c>
      <c r="I201" s="316" t="s">
        <v>1999</v>
      </c>
      <c r="J201" s="395" t="s">
        <v>3013</v>
      </c>
      <c r="K201" s="401" t="s">
        <v>1396</v>
      </c>
      <c r="L201" s="294" t="s">
        <v>1260</v>
      </c>
      <c r="M201" s="314" t="s">
        <v>2052</v>
      </c>
      <c r="N201" s="314" t="s">
        <v>2439</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309" t="s">
        <v>1652</v>
      </c>
      <c r="H202" s="309" t="s">
        <v>1643</v>
      </c>
      <c r="I202" s="316" t="s">
        <v>2000</v>
      </c>
      <c r="J202" s="395" t="s">
        <v>3014</v>
      </c>
      <c r="K202" s="401" t="s">
        <v>1397</v>
      </c>
      <c r="L202" s="294" t="s">
        <v>1261</v>
      </c>
      <c r="M202" s="314" t="s">
        <v>2053</v>
      </c>
      <c r="N202" s="314" t="s">
        <v>2440</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309" t="s">
        <v>1651</v>
      </c>
      <c r="H203" s="309" t="s">
        <v>1642</v>
      </c>
      <c r="I203" s="316" t="s">
        <v>2001</v>
      </c>
      <c r="J203" s="395" t="s">
        <v>3015</v>
      </c>
      <c r="K203" s="401" t="s">
        <v>1398</v>
      </c>
      <c r="L203" s="294" t="s">
        <v>1262</v>
      </c>
      <c r="M203" s="314" t="s">
        <v>2054</v>
      </c>
      <c r="N203" s="314" t="s">
        <v>2441</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309" t="s">
        <v>1650</v>
      </c>
      <c r="H204" s="309" t="s">
        <v>1641</v>
      </c>
      <c r="I204" s="316" t="s">
        <v>2002</v>
      </c>
      <c r="J204" s="395" t="s">
        <v>3016</v>
      </c>
      <c r="K204" s="401" t="s">
        <v>1399</v>
      </c>
      <c r="L204" s="294" t="s">
        <v>1263</v>
      </c>
      <c r="M204" s="314" t="s">
        <v>2055</v>
      </c>
      <c r="N204" s="314" t="s">
        <v>2442</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309" t="s">
        <v>1645</v>
      </c>
      <c r="H205" s="309" t="s">
        <v>1639</v>
      </c>
      <c r="I205" s="316" t="s">
        <v>2003</v>
      </c>
      <c r="J205" s="395" t="s">
        <v>3017</v>
      </c>
      <c r="K205" s="401" t="s">
        <v>1400</v>
      </c>
      <c r="L205" s="294" t="s">
        <v>1264</v>
      </c>
      <c r="M205" s="314" t="s">
        <v>2056</v>
      </c>
      <c r="N205" s="314" t="s">
        <v>2443</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309" t="s">
        <v>1646</v>
      </c>
      <c r="H206" s="309" t="s">
        <v>1636</v>
      </c>
      <c r="I206" s="316" t="s">
        <v>2004</v>
      </c>
      <c r="J206" s="395" t="s">
        <v>3018</v>
      </c>
      <c r="K206" s="401" t="s">
        <v>1401</v>
      </c>
      <c r="L206" s="294" t="s">
        <v>1265</v>
      </c>
      <c r="M206" s="314" t="s">
        <v>2057</v>
      </c>
      <c r="N206" s="314" t="s">
        <v>2444</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309" t="s">
        <v>1647</v>
      </c>
      <c r="H207" s="309" t="s">
        <v>1637</v>
      </c>
      <c r="I207" s="316" t="s">
        <v>2005</v>
      </c>
      <c r="J207" s="395" t="s">
        <v>3019</v>
      </c>
      <c r="K207" s="401" t="s">
        <v>1402</v>
      </c>
      <c r="L207" s="294">
        <v>576</v>
      </c>
      <c r="M207" s="314">
        <v>576</v>
      </c>
      <c r="N207" s="314">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309" t="s">
        <v>1648</v>
      </c>
      <c r="H208" s="309" t="s">
        <v>1638</v>
      </c>
      <c r="I208" s="316" t="s">
        <v>2006</v>
      </c>
      <c r="J208" s="395" t="s">
        <v>3021</v>
      </c>
      <c r="K208" s="401" t="s">
        <v>1403</v>
      </c>
      <c r="L208" s="294" t="s">
        <v>1266</v>
      </c>
      <c r="M208" s="314" t="s">
        <v>2058</v>
      </c>
      <c r="N208" s="314" t="s">
        <v>2445</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309" t="s">
        <v>1649</v>
      </c>
      <c r="H209" s="309" t="s">
        <v>1640</v>
      </c>
      <c r="I209" s="316" t="s">
        <v>2007</v>
      </c>
      <c r="J209" s="395" t="s">
        <v>3020</v>
      </c>
      <c r="K209" s="401" t="s">
        <v>1267</v>
      </c>
      <c r="L209" s="294" t="s">
        <v>1267</v>
      </c>
      <c r="M209" s="314" t="s">
        <v>1267</v>
      </c>
      <c r="N209" s="314" t="s">
        <v>1267</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300" t="s">
        <v>1304</v>
      </c>
      <c r="H210" s="309" t="s">
        <v>1055</v>
      </c>
      <c r="I210" s="316" t="s">
        <v>2008</v>
      </c>
      <c r="J210" s="395" t="s">
        <v>2208</v>
      </c>
      <c r="K210" s="401"/>
      <c r="L210" s="294"/>
      <c r="M210" s="314"/>
      <c r="N210" s="314"/>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300" t="s">
        <v>1305</v>
      </c>
      <c r="H211" s="309" t="s">
        <v>1056</v>
      </c>
      <c r="I211" s="316" t="s">
        <v>2009</v>
      </c>
      <c r="J211" s="395" t="s">
        <v>2209</v>
      </c>
      <c r="K211" s="401"/>
      <c r="L211" s="294"/>
      <c r="M211" s="314"/>
      <c r="N211" s="314"/>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299" t="s">
        <v>2926</v>
      </c>
      <c r="H212" s="312" t="s">
        <v>2331</v>
      </c>
      <c r="I212" s="317" t="s">
        <v>2330</v>
      </c>
      <c r="J212" s="395" t="s">
        <v>3024</v>
      </c>
      <c r="K212" s="401" t="s">
        <v>1404</v>
      </c>
      <c r="L212" s="294">
        <v>68</v>
      </c>
      <c r="M212" s="314">
        <v>68</v>
      </c>
      <c r="N212" s="314">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309" t="s">
        <v>1654</v>
      </c>
      <c r="H213" s="309" t="s">
        <v>1635</v>
      </c>
      <c r="I213" s="316" t="s">
        <v>2010</v>
      </c>
      <c r="J213" s="395" t="s">
        <v>2658</v>
      </c>
      <c r="K213" s="401" t="s">
        <v>1405</v>
      </c>
      <c r="L213" s="294" t="s">
        <v>1268</v>
      </c>
      <c r="M213" s="314" t="s">
        <v>2446</v>
      </c>
      <c r="N213" s="314" t="s">
        <v>2447</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309" t="s">
        <v>1656</v>
      </c>
      <c r="H214" s="307" t="s">
        <v>1057</v>
      </c>
      <c r="I214" s="316" t="s">
        <v>2956</v>
      </c>
      <c r="J214" s="395" t="s">
        <v>2659</v>
      </c>
      <c r="K214" s="401" t="s">
        <v>1406</v>
      </c>
      <c r="L214" s="294" t="s">
        <v>1269</v>
      </c>
      <c r="M214" s="314" t="s">
        <v>2059</v>
      </c>
      <c r="N214" s="314" t="s">
        <v>2448</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309" t="s">
        <v>1657</v>
      </c>
      <c r="H215" s="307" t="s">
        <v>1634</v>
      </c>
      <c r="I215" s="316" t="s">
        <v>2957</v>
      </c>
      <c r="J215" s="395" t="s">
        <v>2660</v>
      </c>
      <c r="K215" s="401" t="s">
        <v>2587</v>
      </c>
      <c r="L215" s="294" t="s">
        <v>2588</v>
      </c>
      <c r="M215" s="314" t="s">
        <v>2060</v>
      </c>
      <c r="N215" s="314" t="s">
        <v>2449</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309" t="s">
        <v>1658</v>
      </c>
      <c r="H216" s="307" t="s">
        <v>1633</v>
      </c>
      <c r="I216" s="316" t="s">
        <v>2958</v>
      </c>
      <c r="J216" s="395" t="s">
        <v>2661</v>
      </c>
      <c r="K216" s="401" t="s">
        <v>2590</v>
      </c>
      <c r="L216" s="294" t="s">
        <v>2589</v>
      </c>
      <c r="M216" s="314" t="s">
        <v>2061</v>
      </c>
      <c r="N216" s="314" t="s">
        <v>2450</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309" t="s">
        <v>1659</v>
      </c>
      <c r="H217" s="307" t="s">
        <v>1632</v>
      </c>
      <c r="I217" s="316" t="s">
        <v>2959</v>
      </c>
      <c r="J217" s="395" t="s">
        <v>2662</v>
      </c>
      <c r="K217" s="401" t="s">
        <v>2591</v>
      </c>
      <c r="L217" s="294" t="s">
        <v>2594</v>
      </c>
      <c r="M217" s="314" t="s">
        <v>2062</v>
      </c>
      <c r="N217" s="314" t="s">
        <v>2451</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309" t="s">
        <v>1660</v>
      </c>
      <c r="H218" s="307" t="s">
        <v>1631</v>
      </c>
      <c r="I218" s="316" t="s">
        <v>2960</v>
      </c>
      <c r="J218" s="395" t="s">
        <v>2663</v>
      </c>
      <c r="K218" s="401" t="s">
        <v>2592</v>
      </c>
      <c r="L218" s="294" t="s">
        <v>2593</v>
      </c>
      <c r="M218" s="314" t="s">
        <v>2063</v>
      </c>
      <c r="N218" s="314" t="s">
        <v>2452</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309" t="s">
        <v>1661</v>
      </c>
      <c r="H219" s="307" t="s">
        <v>1627</v>
      </c>
      <c r="I219" s="316" t="s">
        <v>2961</v>
      </c>
      <c r="J219" s="395" t="s">
        <v>2664</v>
      </c>
      <c r="K219" s="401" t="s">
        <v>1407</v>
      </c>
      <c r="L219" s="294" t="s">
        <v>1270</v>
      </c>
      <c r="M219" s="314" t="s">
        <v>1270</v>
      </c>
      <c r="N219" s="314" t="s">
        <v>2453</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309" t="s">
        <v>1655</v>
      </c>
      <c r="H220" s="307" t="s">
        <v>1626</v>
      </c>
      <c r="I220" s="316" t="s">
        <v>2011</v>
      </c>
      <c r="J220" s="395" t="s">
        <v>2665</v>
      </c>
      <c r="K220" s="401" t="s">
        <v>1405</v>
      </c>
      <c r="L220" s="294" t="s">
        <v>1268</v>
      </c>
      <c r="M220" s="314" t="s">
        <v>2039</v>
      </c>
      <c r="N220" s="314" t="s">
        <v>2447</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309" t="s">
        <v>1662</v>
      </c>
      <c r="H221" s="307" t="s">
        <v>1628</v>
      </c>
      <c r="I221" s="316" t="s">
        <v>2012</v>
      </c>
      <c r="J221" s="395" t="s">
        <v>2666</v>
      </c>
      <c r="K221" s="401" t="s">
        <v>2704</v>
      </c>
      <c r="L221" s="294" t="s">
        <v>2702</v>
      </c>
      <c r="M221" s="314" t="s">
        <v>2064</v>
      </c>
      <c r="N221" s="314" t="s">
        <v>2454</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309" t="s">
        <v>1665</v>
      </c>
      <c r="H222" s="307" t="s">
        <v>1629</v>
      </c>
      <c r="I222" s="316" t="s">
        <v>2013</v>
      </c>
      <c r="J222" s="395" t="s">
        <v>2667</v>
      </c>
      <c r="K222" s="401" t="s">
        <v>2705</v>
      </c>
      <c r="L222" s="294" t="s">
        <v>2703</v>
      </c>
      <c r="M222" s="314" t="s">
        <v>2065</v>
      </c>
      <c r="N222" s="314" t="s">
        <v>2455</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309" t="s">
        <v>1663</v>
      </c>
      <c r="H223" s="307" t="s">
        <v>1625</v>
      </c>
      <c r="I223" s="318" t="s">
        <v>2014</v>
      </c>
      <c r="J223" s="395" t="s">
        <v>2668</v>
      </c>
      <c r="K223" s="401" t="s">
        <v>1408</v>
      </c>
      <c r="L223" s="294" t="s">
        <v>1271</v>
      </c>
      <c r="M223" s="314" t="s">
        <v>2066</v>
      </c>
      <c r="N223" s="314" t="s">
        <v>2456</v>
      </c>
      <c r="O223" s="10">
        <v>1</v>
      </c>
      <c r="P223" s="10"/>
    </row>
    <row r="224" spans="1:16" ht="12.75" customHeight="1" x14ac:dyDescent="0.2">
      <c r="A224">
        <f t="shared" si="3"/>
        <v>223</v>
      </c>
      <c r="B224" t="s">
        <v>255</v>
      </c>
      <c r="C224">
        <v>3</v>
      </c>
      <c r="D224">
        <v>285</v>
      </c>
      <c r="E224" s="2" t="str">
        <f>VLOOKUP( T_Aop[[#This Row],[Id]], T_Aop[], ID_Jezik +10, 1)</f>
        <v>dio 689, dio 589neto prikaz</v>
      </c>
      <c r="F224" t="str">
        <f>REPT( "  ", T_Aop[[#This Row],[Aop nivo]]) &amp; VLOOKUP( T_Aop[[#This Row],[Id]], T_Aop[], ID_Jezik + 6, 1)</f>
        <v xml:space="preserve">      2.4  Neto dobici od usklađivanja vrijednosti ostalih finansijskih sredstava</v>
      </c>
      <c r="G224" s="309" t="s">
        <v>1664</v>
      </c>
      <c r="H224" s="307" t="s">
        <v>1630</v>
      </c>
      <c r="I224" s="316" t="s">
        <v>2015</v>
      </c>
      <c r="J224" s="395" t="s">
        <v>2669</v>
      </c>
      <c r="K224" s="401" t="s">
        <v>1409</v>
      </c>
      <c r="L224" s="294" t="s">
        <v>2701</v>
      </c>
      <c r="M224" s="314" t="s">
        <v>2067</v>
      </c>
      <c r="N224" s="314" t="s">
        <v>2457</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300" t="s">
        <v>2927</v>
      </c>
      <c r="H225" s="307" t="s">
        <v>1058</v>
      </c>
      <c r="I225" s="316" t="s">
        <v>2949</v>
      </c>
      <c r="J225" s="395" t="s">
        <v>2210</v>
      </c>
      <c r="K225" s="401" t="s">
        <v>1410</v>
      </c>
      <c r="L225" s="294">
        <v>58</v>
      </c>
      <c r="M225" s="314">
        <v>58</v>
      </c>
      <c r="N225" s="314">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309" t="s">
        <v>1666</v>
      </c>
      <c r="H226" s="307" t="s">
        <v>1613</v>
      </c>
      <c r="I226" s="316" t="s">
        <v>2016</v>
      </c>
      <c r="J226" s="395" t="s">
        <v>2670</v>
      </c>
      <c r="K226" s="401"/>
      <c r="L226" s="294"/>
      <c r="M226" s="314"/>
      <c r="N226" s="314"/>
      <c r="O226" s="10"/>
      <c r="P226" s="10"/>
    </row>
    <row r="227" spans="1:16" ht="12.75" customHeight="1" x14ac:dyDescent="0.2">
      <c r="A227">
        <f t="shared" si="3"/>
        <v>226</v>
      </c>
      <c r="B227" t="s">
        <v>255</v>
      </c>
      <c r="C227">
        <v>3</v>
      </c>
      <c r="D227">
        <v>288</v>
      </c>
      <c r="E227" s="2" t="str">
        <f>VLOOKUP( T_Aop[[#This Row],[Id]], T_Aop[], ID_Jezik +10, 1)</f>
        <v>580, 680</v>
      </c>
      <c r="F227" t="str">
        <f>REPT( "  ", T_Aop[[#This Row],[Aop nivo]]) &amp; VLOOKUP( T_Aop[[#This Row],[Id]], T_Aop[], ID_Jezik + 6, 1)</f>
        <v xml:space="preserve">      1.1. Neto gubici po osnovu obezvređenja nematerijalnih sredstava</v>
      </c>
      <c r="G227" s="309" t="s">
        <v>1667</v>
      </c>
      <c r="H227" s="307" t="s">
        <v>1614</v>
      </c>
      <c r="I227" s="316" t="s">
        <v>2952</v>
      </c>
      <c r="J227" s="395" t="s">
        <v>2671</v>
      </c>
      <c r="K227" s="401" t="s">
        <v>1272</v>
      </c>
      <c r="L227" s="294" t="s">
        <v>1272</v>
      </c>
      <c r="M227" s="314" t="s">
        <v>1272</v>
      </c>
      <c r="N227" s="314" t="s">
        <v>2458</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309" t="s">
        <v>1668</v>
      </c>
      <c r="H228" s="307" t="s">
        <v>1615</v>
      </c>
      <c r="I228" s="316" t="s">
        <v>2953</v>
      </c>
      <c r="J228" s="395" t="s">
        <v>2672</v>
      </c>
      <c r="K228" s="401" t="s">
        <v>2706</v>
      </c>
      <c r="L228" s="294" t="s">
        <v>2709</v>
      </c>
      <c r="M228" s="314" t="s">
        <v>2068</v>
      </c>
      <c r="N228" s="314" t="s">
        <v>2459</v>
      </c>
      <c r="O228" s="10"/>
      <c r="P228" s="10"/>
    </row>
    <row r="229" spans="1:16" ht="12.75" customHeight="1" x14ac:dyDescent="0.2">
      <c r="A229">
        <f t="shared" si="3"/>
        <v>228</v>
      </c>
      <c r="B229" t="s">
        <v>255</v>
      </c>
      <c r="C229">
        <v>3</v>
      </c>
      <c r="D229">
        <v>290</v>
      </c>
      <c r="E229" s="2" t="str">
        <f>VLOOKUP( T_Aop[[#This Row],[Id]], T_Aop[], ID_Jezik +10, 1)</f>
        <v>582, 682</v>
      </c>
      <c r="F229" t="str">
        <f>REPT( "  ", T_Aop[[#This Row],[Aop nivo]]) &amp; VLOOKUP( T_Aop[[#This Row],[Id]], T_Aop[], ID_Jezik + 6, 1)</f>
        <v xml:space="preserve">      1.3. Neto gubici po osnovu obezvređenja investicionih nekretnina koje se vrednuju po nabavnoj vrijednosti</v>
      </c>
      <c r="G229" s="309" t="s">
        <v>1669</v>
      </c>
      <c r="H229" s="307" t="s">
        <v>1616</v>
      </c>
      <c r="I229" s="316" t="s">
        <v>2954</v>
      </c>
      <c r="J229" s="395" t="s">
        <v>2673</v>
      </c>
      <c r="K229" s="401" t="s">
        <v>1273</v>
      </c>
      <c r="L229" s="294" t="s">
        <v>1273</v>
      </c>
      <c r="M229" s="314" t="s">
        <v>1273</v>
      </c>
      <c r="N229" s="314" t="s">
        <v>2460</v>
      </c>
      <c r="O229" s="10"/>
      <c r="P229" s="10"/>
    </row>
    <row r="230" spans="1:16" ht="12.75" customHeight="1" x14ac:dyDescent="0.2">
      <c r="A230">
        <f t="shared" si="3"/>
        <v>229</v>
      </c>
      <c r="B230" t="s">
        <v>255</v>
      </c>
      <c r="C230">
        <v>3</v>
      </c>
      <c r="D230">
        <v>291</v>
      </c>
      <c r="E230" s="2" t="str">
        <f>VLOOKUP( T_Aop[[#This Row],[Id]], T_Aop[], ID_Jezik +10, 1)</f>
        <v>583, 683</v>
      </c>
      <c r="F230" t="str">
        <f>REPT( "  ", T_Aop[[#This Row],[Aop nivo]]) &amp; VLOOKUP( T_Aop[[#This Row],[Id]], T_Aop[], ID_Jezik + 6, 1)</f>
        <v xml:space="preserve">      1.4. Neto gubici po osnovu obezvređenja bioloških sredstva koje se vrednuju po nabavnoj vrijednosti</v>
      </c>
      <c r="G230" s="309" t="s">
        <v>1670</v>
      </c>
      <c r="H230" s="307" t="s">
        <v>1617</v>
      </c>
      <c r="I230" s="316" t="s">
        <v>2950</v>
      </c>
      <c r="J230" s="395" t="s">
        <v>2674</v>
      </c>
      <c r="K230" s="401" t="s">
        <v>1274</v>
      </c>
      <c r="L230" s="294" t="s">
        <v>1274</v>
      </c>
      <c r="M230" s="314" t="s">
        <v>1274</v>
      </c>
      <c r="N230" s="314" t="s">
        <v>2461</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309" t="s">
        <v>1671</v>
      </c>
      <c r="H231" s="307" t="s">
        <v>1618</v>
      </c>
      <c r="I231" s="316" t="s">
        <v>2951</v>
      </c>
      <c r="J231" s="395" t="s">
        <v>2675</v>
      </c>
      <c r="K231" s="401" t="s">
        <v>2707</v>
      </c>
      <c r="L231" s="294" t="s">
        <v>2708</v>
      </c>
      <c r="M231" s="314" t="s">
        <v>2069</v>
      </c>
      <c r="N231" s="314" t="s">
        <v>2462</v>
      </c>
      <c r="O231" s="10"/>
      <c r="P231" s="10"/>
    </row>
    <row r="232" spans="1:16" ht="12.75" customHeight="1" x14ac:dyDescent="0.2">
      <c r="A232">
        <f t="shared" si="3"/>
        <v>231</v>
      </c>
      <c r="B232" t="s">
        <v>255</v>
      </c>
      <c r="C232">
        <v>3</v>
      </c>
      <c r="D232">
        <v>293</v>
      </c>
      <c r="E232" s="2" t="str">
        <f>VLOOKUP( T_Aop[[#This Row],[Id]], T_Aop[], ID_Jezik +10, 1)</f>
        <v>588, dio 589, 688, dio 689</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309" t="s">
        <v>2967</v>
      </c>
      <c r="H232" s="307" t="s">
        <v>1619</v>
      </c>
      <c r="I232" s="316" t="s">
        <v>2955</v>
      </c>
      <c r="J232" s="395" t="s">
        <v>2676</v>
      </c>
      <c r="K232" s="401" t="s">
        <v>1411</v>
      </c>
      <c r="L232" s="294" t="s">
        <v>1275</v>
      </c>
      <c r="M232" s="314" t="s">
        <v>2070</v>
      </c>
      <c r="N232" s="314" t="s">
        <v>2463</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309" t="s">
        <v>1672</v>
      </c>
      <c r="H233" s="307" t="s">
        <v>1620</v>
      </c>
      <c r="I233" s="316" t="s">
        <v>2017</v>
      </c>
      <c r="J233" s="395" t="s">
        <v>2677</v>
      </c>
      <c r="K233" s="401"/>
      <c r="L233" s="294"/>
      <c r="M233" s="314"/>
      <c r="N233" s="314"/>
      <c r="O233" s="10">
        <v>1</v>
      </c>
      <c r="P233" s="10"/>
    </row>
    <row r="234" spans="1:16" ht="12.75" customHeight="1" x14ac:dyDescent="0.2">
      <c r="A234">
        <f t="shared" si="3"/>
        <v>233</v>
      </c>
      <c r="B234" t="s">
        <v>255</v>
      </c>
      <c r="C234">
        <v>3</v>
      </c>
      <c r="D234">
        <v>295</v>
      </c>
      <c r="E234" s="2" t="str">
        <f>VLOOKUP( T_Aop[[#This Row],[Id]], T_Aop[], ID_Jezik +10, 1)</f>
        <v>584, 684</v>
      </c>
      <c r="F234" t="str">
        <f>REPT( "  ", T_Aop[[#This Row],[Aop nivo]]) &amp; VLOOKUP( T_Aop[[#This Row],[Id]], T_Aop[], ID_Jezik + 6, 1)</f>
        <v xml:space="preserve">      2.1 Neto gubici od usklađivanja vrijednosti dugoročnih finansijskih sredstava</v>
      </c>
      <c r="G234" s="309" t="s">
        <v>1673</v>
      </c>
      <c r="H234" s="307" t="s">
        <v>1621</v>
      </c>
      <c r="I234" s="316" t="s">
        <v>2018</v>
      </c>
      <c r="J234" s="395" t="s">
        <v>2678</v>
      </c>
      <c r="K234" s="401" t="s">
        <v>1276</v>
      </c>
      <c r="L234" s="294" t="s">
        <v>1276</v>
      </c>
      <c r="M234" s="314" t="s">
        <v>1276</v>
      </c>
      <c r="N234" s="314" t="s">
        <v>2464</v>
      </c>
      <c r="O234" s="10">
        <v>1</v>
      </c>
      <c r="P234" s="10"/>
    </row>
    <row r="235" spans="1:16" ht="12.75" customHeight="1" x14ac:dyDescent="0.2">
      <c r="A235">
        <f t="shared" si="3"/>
        <v>234</v>
      </c>
      <c r="B235" t="s">
        <v>255</v>
      </c>
      <c r="C235">
        <v>3</v>
      </c>
      <c r="D235">
        <v>296</v>
      </c>
      <c r="E235" s="2" t="str">
        <f>VLOOKUP( T_Aop[[#This Row],[Id]], T_Aop[], ID_Jezik +10, 1)</f>
        <v>586, 686</v>
      </c>
      <c r="F235" t="str">
        <f>REPT( "  ", T_Aop[[#This Row],[Aop nivo]]) &amp; VLOOKUP( T_Aop[[#This Row],[Id]], T_Aop[], ID_Jezik + 6, 1)</f>
        <v xml:space="preserve">      2.2  Neto gubici od usklađivanja vrijednosti kratkoročnih finansijskih sredstava (osim potraživanja od kupaca)</v>
      </c>
      <c r="G235" s="309" t="s">
        <v>1674</v>
      </c>
      <c r="H235" s="307" t="s">
        <v>1624</v>
      </c>
      <c r="I235" s="316" t="s">
        <v>2019</v>
      </c>
      <c r="J235" s="395" t="s">
        <v>2679</v>
      </c>
      <c r="K235" s="401" t="s">
        <v>1277</v>
      </c>
      <c r="L235" s="294" t="s">
        <v>1277</v>
      </c>
      <c r="M235" s="314" t="s">
        <v>1277</v>
      </c>
      <c r="N235" s="314" t="s">
        <v>2465</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309" t="s">
        <v>1675</v>
      </c>
      <c r="H236" s="307" t="s">
        <v>1622</v>
      </c>
      <c r="I236" s="316" t="s">
        <v>2020</v>
      </c>
      <c r="J236" s="395" t="s">
        <v>2680</v>
      </c>
      <c r="K236" s="401" t="s">
        <v>1412</v>
      </c>
      <c r="L236" s="294" t="s">
        <v>1278</v>
      </c>
      <c r="M236" s="314" t="s">
        <v>2071</v>
      </c>
      <c r="N236" s="314" t="s">
        <v>2466</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309" t="s">
        <v>1676</v>
      </c>
      <c r="H237" s="307" t="s">
        <v>1623</v>
      </c>
      <c r="I237" s="316" t="s">
        <v>2021</v>
      </c>
      <c r="J237" s="395" t="s">
        <v>2681</v>
      </c>
      <c r="K237" s="401" t="s">
        <v>1413</v>
      </c>
      <c r="L237" s="294" t="s">
        <v>1279</v>
      </c>
      <c r="M237" s="314" t="s">
        <v>2072</v>
      </c>
      <c r="N237" s="314" t="s">
        <v>2467</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312" t="s">
        <v>2929</v>
      </c>
      <c r="H238" s="306" t="s">
        <v>2344</v>
      </c>
      <c r="I238" s="316" t="s">
        <v>2022</v>
      </c>
      <c r="J238" s="395" t="s">
        <v>2211</v>
      </c>
      <c r="K238" s="401"/>
      <c r="L238" s="294"/>
      <c r="M238" s="314"/>
      <c r="N238" s="314"/>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312" t="s">
        <v>2928</v>
      </c>
      <c r="H239" s="306" t="s">
        <v>2345</v>
      </c>
      <c r="I239" s="316" t="s">
        <v>2023</v>
      </c>
      <c r="J239" s="395" t="s">
        <v>2212</v>
      </c>
      <c r="K239" s="401"/>
      <c r="L239" s="294"/>
      <c r="M239" s="314"/>
      <c r="N239" s="314"/>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309" t="s">
        <v>2856</v>
      </c>
      <c r="H240" s="307" t="s">
        <v>2857</v>
      </c>
      <c r="I240" s="316" t="s">
        <v>2024</v>
      </c>
      <c r="J240" s="395" t="s">
        <v>2338</v>
      </c>
      <c r="K240" s="401" t="s">
        <v>1414</v>
      </c>
      <c r="L240" s="294" t="s">
        <v>1280</v>
      </c>
      <c r="M240" s="314" t="s">
        <v>2710</v>
      </c>
      <c r="N240" s="314" t="s">
        <v>1280</v>
      </c>
      <c r="O240" s="10">
        <v>1</v>
      </c>
      <c r="P240" s="10"/>
    </row>
    <row r="241" spans="1:16" s="380"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309" t="s">
        <v>3036</v>
      </c>
      <c r="H241" s="307" t="s">
        <v>2858</v>
      </c>
      <c r="I241" s="316" t="s">
        <v>2025</v>
      </c>
      <c r="J241" s="395" t="s">
        <v>2213</v>
      </c>
      <c r="K241" s="401" t="s">
        <v>1415</v>
      </c>
      <c r="L241" s="294" t="s">
        <v>1281</v>
      </c>
      <c r="M241" s="314" t="s">
        <v>2711</v>
      </c>
      <c r="N241" s="314" t="s">
        <v>1281</v>
      </c>
      <c r="O241" s="10"/>
      <c r="P241" s="10"/>
    </row>
    <row r="242" spans="1:16" s="380" customFormat="1" ht="12.75" customHeight="1" x14ac:dyDescent="0.2">
      <c r="A242">
        <f t="shared" ref="A242:A267" si="4">ROW()-ROW($A$1)</f>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309" t="s">
        <v>1306</v>
      </c>
      <c r="H242" s="307" t="s">
        <v>1059</v>
      </c>
      <c r="I242" s="316" t="s">
        <v>2026</v>
      </c>
      <c r="J242" s="395" t="s">
        <v>2214</v>
      </c>
      <c r="K242" s="401"/>
      <c r="L242" s="294"/>
      <c r="M242" s="314"/>
      <c r="N242" s="314"/>
      <c r="O242" s="10">
        <v>1</v>
      </c>
      <c r="P242" s="10"/>
    </row>
    <row r="243" spans="1:16" s="380" customFormat="1" ht="12.75" customHeight="1" x14ac:dyDescent="0.2">
      <c r="A243">
        <f t="shared" si="4"/>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309" t="s">
        <v>1307</v>
      </c>
      <c r="H243" s="307" t="s">
        <v>1060</v>
      </c>
      <c r="I243" s="316" t="s">
        <v>2027</v>
      </c>
      <c r="J243" s="395" t="s">
        <v>2215</v>
      </c>
      <c r="K243" s="401"/>
      <c r="L243" s="294"/>
      <c r="M243" s="314"/>
      <c r="N243" s="314"/>
      <c r="O243" s="10">
        <v>1</v>
      </c>
      <c r="P243" s="10"/>
    </row>
    <row r="244" spans="1:16" s="380" customFormat="1" ht="12.75" customHeight="1" x14ac:dyDescent="0.2">
      <c r="A244">
        <f t="shared" si="4"/>
        <v>243</v>
      </c>
      <c r="B244" t="s">
        <v>255</v>
      </c>
      <c r="C244">
        <v>1</v>
      </c>
      <c r="D244">
        <v>305</v>
      </c>
      <c r="E244" s="10">
        <f>VLOOKUP( T_Aop[[#This Row],[Id]], T_Aop[], ID_Jezik +10, 1)</f>
        <v>0</v>
      </c>
      <c r="F244" t="str">
        <f>REPT( "  ", T_Aop[[#This Row],[Aop nivo]]) &amp; VLOOKUP( T_Aop[[#This Row],[Id]], T_Aop[], ID_Jezik + 6, 1)</f>
        <v xml:space="preserve">  UKUPNI PRIHODI (201+239+251+273+301+303)</v>
      </c>
      <c r="G244" s="300" t="s">
        <v>1308</v>
      </c>
      <c r="H244" s="307" t="s">
        <v>1061</v>
      </c>
      <c r="I244" s="316" t="s">
        <v>2028</v>
      </c>
      <c r="J244" s="395" t="s">
        <v>2216</v>
      </c>
      <c r="K244" s="401"/>
      <c r="L244" s="294"/>
      <c r="M244" s="314"/>
      <c r="N244" s="314"/>
      <c r="O244" s="10">
        <v>1</v>
      </c>
      <c r="P244" s="10"/>
    </row>
    <row r="245" spans="1:16" s="380" customFormat="1" ht="12.75" customHeight="1" x14ac:dyDescent="0.2">
      <c r="A245">
        <f t="shared" si="4"/>
        <v>244</v>
      </c>
      <c r="B245" t="s">
        <v>255</v>
      </c>
      <c r="C245">
        <v>1</v>
      </c>
      <c r="D245">
        <v>306</v>
      </c>
      <c r="E245" s="10">
        <f>VLOOKUP( T_Aop[[#This Row],[Id]], T_Aop[], ID_Jezik +10, 1)</f>
        <v>0</v>
      </c>
      <c r="F245" t="str">
        <f>REPT( "  ", T_Aop[[#This Row],[Aop nivo]]) &amp; VLOOKUP( T_Aop[[#This Row],[Id]], T_Aop[], ID_Jezik + 6, 1)</f>
        <v xml:space="preserve">  UKUPNI RASHODI (219+244+261+286+302+304)</v>
      </c>
      <c r="G245" s="300" t="s">
        <v>1309</v>
      </c>
      <c r="H245" s="307" t="s">
        <v>1062</v>
      </c>
      <c r="I245" s="316" t="s">
        <v>2029</v>
      </c>
      <c r="J245" s="395" t="s">
        <v>2217</v>
      </c>
      <c r="K245" s="401"/>
      <c r="L245" s="294"/>
      <c r="M245" s="314"/>
      <c r="N245" s="314"/>
      <c r="O245" s="10"/>
      <c r="P245" s="10"/>
    </row>
    <row r="246" spans="1:16" s="380" customFormat="1" ht="24" customHeight="1" x14ac:dyDescent="0.2">
      <c r="A246">
        <f t="shared" si="4"/>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299" t="s">
        <v>3035</v>
      </c>
      <c r="H246" s="306" t="s">
        <v>3027</v>
      </c>
      <c r="I246" s="317" t="s">
        <v>2712</v>
      </c>
      <c r="J246" s="395" t="s">
        <v>2341</v>
      </c>
      <c r="K246" s="314"/>
      <c r="L246" s="296"/>
      <c r="M246" s="296"/>
      <c r="N246" s="274"/>
      <c r="O246" s="10"/>
      <c r="P246" s="10"/>
    </row>
    <row r="247" spans="1:16" s="380" customFormat="1" ht="12.75" customHeight="1" x14ac:dyDescent="0.2">
      <c r="A247">
        <f t="shared" si="4"/>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309" t="s">
        <v>1310</v>
      </c>
      <c r="H247" s="333" t="s">
        <v>1063</v>
      </c>
      <c r="I247" s="334" t="s">
        <v>2030</v>
      </c>
      <c r="J247" s="404" t="s">
        <v>2218</v>
      </c>
      <c r="K247" s="335"/>
      <c r="L247" s="336"/>
      <c r="M247" s="296"/>
      <c r="N247" s="274"/>
      <c r="O247" s="10"/>
      <c r="P247" s="10"/>
    </row>
    <row r="248" spans="1:16" s="380" customFormat="1" ht="12.75" customHeight="1" x14ac:dyDescent="0.2">
      <c r="A248">
        <f t="shared" si="4"/>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312" t="s">
        <v>2336</v>
      </c>
      <c r="H248" s="337" t="s">
        <v>2335</v>
      </c>
      <c r="I248" s="334" t="s">
        <v>2031</v>
      </c>
      <c r="J248" s="404" t="s">
        <v>2342</v>
      </c>
      <c r="K248" s="335" t="s">
        <v>1416</v>
      </c>
      <c r="L248" s="336">
        <v>721</v>
      </c>
      <c r="M248" s="296">
        <v>721</v>
      </c>
      <c r="N248" s="274">
        <v>721</v>
      </c>
      <c r="O248" s="10"/>
      <c r="P248" s="10"/>
    </row>
    <row r="249" spans="1:16" s="380" customFormat="1" ht="12.75" customHeight="1" x14ac:dyDescent="0.2">
      <c r="A249">
        <f t="shared" si="4"/>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309" t="s">
        <v>1311</v>
      </c>
      <c r="H249" s="333" t="s">
        <v>1064</v>
      </c>
      <c r="I249" s="334" t="s">
        <v>2032</v>
      </c>
      <c r="J249" s="404" t="s">
        <v>2219</v>
      </c>
      <c r="K249" s="335"/>
      <c r="L249" s="336"/>
      <c r="M249" s="296"/>
      <c r="N249" s="274"/>
      <c r="O249" s="10"/>
      <c r="P249" s="10"/>
    </row>
    <row r="250" spans="1:16" s="380" customFormat="1" ht="12.75" customHeight="1" x14ac:dyDescent="0.2">
      <c r="A250">
        <f t="shared" si="4"/>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309" t="s">
        <v>1312</v>
      </c>
      <c r="H250" s="333" t="s">
        <v>1065</v>
      </c>
      <c r="I250" s="334" t="s">
        <v>2962</v>
      </c>
      <c r="J250" s="404" t="s">
        <v>2682</v>
      </c>
      <c r="K250" s="335" t="s">
        <v>1417</v>
      </c>
      <c r="L250" s="336">
        <v>722</v>
      </c>
      <c r="M250" s="296">
        <v>722</v>
      </c>
      <c r="N250" s="274">
        <v>722</v>
      </c>
      <c r="O250" s="10"/>
      <c r="P250" s="10"/>
    </row>
    <row r="251" spans="1:16" s="380" customFormat="1" ht="12.75" customHeight="1" x14ac:dyDescent="0.2">
      <c r="A251">
        <f t="shared" si="4"/>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309" t="s">
        <v>1313</v>
      </c>
      <c r="H251" s="333" t="s">
        <v>1066</v>
      </c>
      <c r="I251" s="338" t="s">
        <v>2963</v>
      </c>
      <c r="J251" s="404" t="s">
        <v>2683</v>
      </c>
      <c r="K251" s="335" t="s">
        <v>1418</v>
      </c>
      <c r="L251" s="336">
        <v>724</v>
      </c>
      <c r="M251" s="296">
        <v>724</v>
      </c>
      <c r="N251" s="274">
        <v>724</v>
      </c>
      <c r="O251" s="10"/>
      <c r="P251" s="10"/>
    </row>
    <row r="252" spans="1:16" s="380" customFormat="1" ht="12.75" customHeight="1" x14ac:dyDescent="0.2">
      <c r="A252">
        <f t="shared" si="4"/>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309" t="s">
        <v>1314</v>
      </c>
      <c r="H252" s="333" t="s">
        <v>1067</v>
      </c>
      <c r="I252" s="334" t="s">
        <v>2033</v>
      </c>
      <c r="J252" s="404" t="s">
        <v>2220</v>
      </c>
      <c r="K252" s="335"/>
      <c r="L252" s="336"/>
      <c r="M252" s="296"/>
      <c r="N252" s="274"/>
      <c r="O252" s="10"/>
      <c r="P252" s="10"/>
    </row>
    <row r="253" spans="1:16" s="380" customFormat="1" ht="12.75" customHeight="1" x14ac:dyDescent="0.2">
      <c r="A253">
        <f t="shared" si="4"/>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309" t="s">
        <v>1315</v>
      </c>
      <c r="H253" s="333" t="s">
        <v>1068</v>
      </c>
      <c r="I253" s="334" t="s">
        <v>2964</v>
      </c>
      <c r="J253" s="404" t="s">
        <v>2221</v>
      </c>
      <c r="K253" s="339" t="s">
        <v>1419</v>
      </c>
      <c r="L253" s="340">
        <v>723</v>
      </c>
      <c r="M253" s="297">
        <v>723</v>
      </c>
      <c r="N253" s="274">
        <v>723</v>
      </c>
      <c r="O253" s="10"/>
      <c r="P253" s="10"/>
    </row>
    <row r="254" spans="1:16" s="380" customFormat="1" ht="12.75" customHeight="1" x14ac:dyDescent="0.2">
      <c r="A254">
        <f t="shared" si="4"/>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309" t="s">
        <v>1316</v>
      </c>
      <c r="H254" s="333" t="s">
        <v>1069</v>
      </c>
      <c r="I254" s="334" t="s">
        <v>2965</v>
      </c>
      <c r="J254" s="404" t="s">
        <v>2222</v>
      </c>
      <c r="K254" s="339" t="s">
        <v>1420</v>
      </c>
      <c r="L254" s="336">
        <v>725</v>
      </c>
      <c r="M254" s="296">
        <v>725</v>
      </c>
      <c r="N254" s="274">
        <v>725</v>
      </c>
      <c r="O254" s="10"/>
      <c r="P254" s="10"/>
    </row>
    <row r="255" spans="1:16" s="380" customFormat="1" ht="27.75" customHeight="1" x14ac:dyDescent="0.2">
      <c r="A255">
        <f t="shared" si="4"/>
        <v>254</v>
      </c>
      <c r="B255" t="s">
        <v>255</v>
      </c>
      <c r="C255">
        <v>1</v>
      </c>
      <c r="D255">
        <v>316</v>
      </c>
      <c r="E255" s="10">
        <f>VLOOKUP( T_Aop[[#This Row],[Id]], T_Aop[], ID_Jezik +10, 1)</f>
        <v>0</v>
      </c>
      <c r="F255" s="273" t="str">
        <f>REPT( "  ", T_Aop[[#This Row],[Aop nivo]]) &amp; VLOOKUP( T_Aop[[#This Row],[Id]], T_Aop[], ID_Jezik + 6, 1)</f>
        <v xml:space="preserve">  NJ. NETO DOBIT I NETO GUBITAK PERIODA
 1. Neto dobit tekuće godine (307-309-310+313)&gt;0 i 307&gt;0 ili (313-308-309-310)&gt;0 i 308&gt;0</v>
      </c>
      <c r="G255" s="319" t="s">
        <v>3037</v>
      </c>
      <c r="H255" s="337" t="s">
        <v>2337</v>
      </c>
      <c r="I255" s="334" t="s">
        <v>2034</v>
      </c>
      <c r="J255" s="404" t="s">
        <v>2343</v>
      </c>
      <c r="K255" s="339"/>
      <c r="L255" s="336"/>
      <c r="M255" s="296"/>
      <c r="N255" s="274"/>
      <c r="O255" s="10"/>
      <c r="P255" s="10"/>
    </row>
    <row r="256" spans="1:16" s="380" customFormat="1" ht="12.75" customHeight="1" x14ac:dyDescent="0.2">
      <c r="A256">
        <f t="shared" si="4"/>
        <v>255</v>
      </c>
      <c r="B256" t="s">
        <v>255</v>
      </c>
      <c r="C256">
        <v>0</v>
      </c>
      <c r="D256">
        <v>317</v>
      </c>
      <c r="E256" s="10" t="str">
        <f>VLOOKUP( T_Aop[[#This Row],[Id]], T_Aop[], ID_Jezik +10, 1)</f>
        <v xml:space="preserve"> </v>
      </c>
      <c r="F256" s="187" t="str">
        <f>REPT( "  ", T_Aop[[#This Row],[Aop nivo]]) &amp; VLOOKUP( T_Aop[[#This Row],[Id]], T_Aop[], ID_Jezik + 6, 1)</f>
        <v>2. Neto gubitak tekuće godine (308+309+310-313)&gt;0 i 308&gt;0 ili (309+310-307-313)&gt;0 i 307&gt;0</v>
      </c>
      <c r="G256" s="320" t="s">
        <v>1317</v>
      </c>
      <c r="H256" s="333" t="s">
        <v>1070</v>
      </c>
      <c r="I256" s="334" t="s">
        <v>2035</v>
      </c>
      <c r="J256" s="404" t="s">
        <v>2223</v>
      </c>
      <c r="K256" s="339" t="s">
        <v>888</v>
      </c>
      <c r="L256" s="336" t="s">
        <v>888</v>
      </c>
      <c r="M256" s="296" t="s">
        <v>888</v>
      </c>
      <c r="N256" s="274"/>
      <c r="O256" s="10"/>
      <c r="P256" s="10"/>
    </row>
    <row r="257" spans="1:16" s="380" customFormat="1" ht="12.75" customHeight="1" x14ac:dyDescent="0.2">
      <c r="A257">
        <f t="shared" si="4"/>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320" t="s">
        <v>1318</v>
      </c>
      <c r="H257" s="333" t="s">
        <v>1071</v>
      </c>
      <c r="I257" s="334" t="s">
        <v>2036</v>
      </c>
      <c r="J257" s="404" t="s">
        <v>2224</v>
      </c>
      <c r="K257" s="339" t="s">
        <v>1421</v>
      </c>
      <c r="L257" s="336">
        <v>726</v>
      </c>
      <c r="M257" s="296">
        <v>726</v>
      </c>
      <c r="N257" s="274">
        <v>726</v>
      </c>
      <c r="O257" s="10"/>
      <c r="P257" s="10"/>
    </row>
    <row r="258" spans="1:16" s="380" customFormat="1" ht="12.75" customHeight="1" x14ac:dyDescent="0.2">
      <c r="A258">
        <f t="shared" si="4"/>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309" t="s">
        <v>1319</v>
      </c>
      <c r="H258" s="333" t="s">
        <v>1072</v>
      </c>
      <c r="I258" s="334" t="s">
        <v>38</v>
      </c>
      <c r="J258" s="404" t="s">
        <v>2225</v>
      </c>
      <c r="K258" s="339"/>
      <c r="L258" s="336"/>
      <c r="M258" s="298"/>
      <c r="N258" s="274"/>
      <c r="O258" s="10"/>
      <c r="P258" s="10"/>
    </row>
    <row r="259" spans="1:16" s="380"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309" t="s">
        <v>1320</v>
      </c>
      <c r="H259" s="333" t="s">
        <v>1073</v>
      </c>
      <c r="I259" s="334" t="s">
        <v>39</v>
      </c>
      <c r="J259" s="404" t="s">
        <v>2226</v>
      </c>
      <c r="K259" s="339"/>
      <c r="L259" s="336"/>
      <c r="M259" s="298"/>
      <c r="N259" s="274"/>
      <c r="O259" s="10"/>
      <c r="P259" s="10"/>
    </row>
    <row r="260" spans="1:16" s="380"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309" t="s">
        <v>32</v>
      </c>
      <c r="H260" s="333" t="s">
        <v>533</v>
      </c>
      <c r="I260" s="334" t="s">
        <v>37</v>
      </c>
      <c r="J260" s="404" t="s">
        <v>2227</v>
      </c>
      <c r="K260" s="339"/>
      <c r="L260" s="336"/>
      <c r="M260" s="298"/>
      <c r="N260" s="274"/>
      <c r="O260" s="10"/>
      <c r="P260" s="10"/>
    </row>
    <row r="261" spans="1:16" s="380"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309" t="s">
        <v>5</v>
      </c>
      <c r="H261" s="333" t="s">
        <v>534</v>
      </c>
      <c r="I261" s="334" t="s">
        <v>30</v>
      </c>
      <c r="J261" s="404" t="s">
        <v>2228</v>
      </c>
      <c r="K261" s="339"/>
      <c r="L261" s="336"/>
      <c r="M261" s="298"/>
      <c r="N261" s="274"/>
      <c r="O261" s="10"/>
      <c r="P261" s="10"/>
    </row>
    <row r="262" spans="1:16" s="380"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309" t="s">
        <v>33</v>
      </c>
      <c r="H262" s="333" t="s">
        <v>535</v>
      </c>
      <c r="I262" s="341" t="s">
        <v>2713</v>
      </c>
      <c r="J262" s="404" t="s">
        <v>2229</v>
      </c>
      <c r="K262" s="339"/>
      <c r="L262" s="336"/>
      <c r="M262" s="298"/>
      <c r="N262" s="274"/>
      <c r="O262" s="10"/>
      <c r="P262" s="10"/>
    </row>
    <row r="263" spans="1:16" s="380"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309" t="s">
        <v>40</v>
      </c>
      <c r="H263" s="333" t="s">
        <v>536</v>
      </c>
      <c r="I263" s="341" t="s">
        <v>2714</v>
      </c>
      <c r="J263" s="404" t="s">
        <v>2230</v>
      </c>
      <c r="K263" s="335"/>
      <c r="L263" s="336"/>
      <c r="M263" s="298"/>
      <c r="N263" s="274"/>
      <c r="O263" s="10"/>
      <c r="P263" s="10"/>
    </row>
    <row r="264" spans="1:16" s="380"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309" t="s">
        <v>2359</v>
      </c>
      <c r="H264" s="342" t="s">
        <v>2859</v>
      </c>
      <c r="I264" s="343" t="s">
        <v>2073</v>
      </c>
      <c r="J264" s="405" t="s">
        <v>2474</v>
      </c>
      <c r="K264" s="335"/>
      <c r="L264" s="335"/>
      <c r="M264" s="313"/>
      <c r="N264" s="274" t="s">
        <v>2468</v>
      </c>
      <c r="O264" s="10">
        <v>1</v>
      </c>
      <c r="P264" s="10"/>
    </row>
    <row r="265" spans="1:16" s="380"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322" t="s">
        <v>1427</v>
      </c>
      <c r="H265" s="344" t="s">
        <v>1424</v>
      </c>
      <c r="I265" s="345" t="s">
        <v>2074</v>
      </c>
      <c r="J265" s="406" t="s">
        <v>2475</v>
      </c>
      <c r="K265" s="335"/>
      <c r="L265" s="335"/>
      <c r="M265" s="313"/>
      <c r="N265" s="274"/>
      <c r="O265" s="10">
        <v>1</v>
      </c>
      <c r="P265" s="10"/>
    </row>
    <row r="266" spans="1:16" s="380"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309" t="s">
        <v>1605</v>
      </c>
      <c r="H266" s="346" t="s">
        <v>1602</v>
      </c>
      <c r="I266" s="347" t="s">
        <v>2966</v>
      </c>
      <c r="J266" s="404" t="s">
        <v>2476</v>
      </c>
      <c r="K266" s="335" t="s">
        <v>2595</v>
      </c>
      <c r="L266" s="335" t="s">
        <v>2599</v>
      </c>
      <c r="M266" s="313" t="s">
        <v>2603</v>
      </c>
      <c r="N266" s="274" t="s">
        <v>2469</v>
      </c>
      <c r="O266" s="10"/>
      <c r="P266" s="10">
        <v>1</v>
      </c>
    </row>
    <row r="267" spans="1:16" s="380"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309" t="s">
        <v>1606</v>
      </c>
      <c r="H267" s="346" t="s">
        <v>1603</v>
      </c>
      <c r="I267" s="334" t="s">
        <v>2075</v>
      </c>
      <c r="J267" s="404" t="s">
        <v>2477</v>
      </c>
      <c r="K267" s="335" t="s">
        <v>2596</v>
      </c>
      <c r="L267" s="335" t="s">
        <v>2600</v>
      </c>
      <c r="M267" s="313" t="s">
        <v>2604</v>
      </c>
      <c r="N267" s="274" t="s">
        <v>2470</v>
      </c>
      <c r="O267" s="10"/>
      <c r="P267" s="10"/>
    </row>
    <row r="268" spans="1:16" s="380" customFormat="1" ht="12.75" customHeight="1" x14ac:dyDescent="0.2">
      <c r="A268">
        <f t="shared" ref="A268:A273" si="5">ROW()-ROW($A$1)</f>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309" t="s">
        <v>1607</v>
      </c>
      <c r="H268" s="346" t="s">
        <v>1604</v>
      </c>
      <c r="I268" s="334" t="s">
        <v>2076</v>
      </c>
      <c r="J268" s="404" t="s">
        <v>2478</v>
      </c>
      <c r="K268" s="335"/>
      <c r="L268" s="335"/>
      <c r="M268" s="313"/>
      <c r="N268" s="274"/>
      <c r="O268" s="10"/>
      <c r="P268" s="10"/>
    </row>
    <row r="269" spans="1:16" s="380" customFormat="1" ht="12.75" customHeight="1" x14ac:dyDescent="0.2">
      <c r="A269">
        <f t="shared" si="5"/>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309" t="s">
        <v>1608</v>
      </c>
      <c r="H269" s="346" t="s">
        <v>1601</v>
      </c>
      <c r="I269" s="334" t="s">
        <v>2077</v>
      </c>
      <c r="J269" s="404" t="s">
        <v>2479</v>
      </c>
      <c r="K269" s="335"/>
      <c r="L269" s="335"/>
      <c r="M269" s="313"/>
      <c r="N269" s="274"/>
      <c r="O269" s="10"/>
      <c r="P269" s="10"/>
    </row>
    <row r="270" spans="1:16" s="380" customFormat="1" ht="12.75" customHeight="1" x14ac:dyDescent="0.2">
      <c r="A270">
        <f t="shared" si="5"/>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309" t="s">
        <v>1609</v>
      </c>
      <c r="H270" s="346" t="s">
        <v>1600</v>
      </c>
      <c r="I270" s="334" t="s">
        <v>2078</v>
      </c>
      <c r="J270" s="404" t="s">
        <v>2480</v>
      </c>
      <c r="K270" s="335" t="s">
        <v>2597</v>
      </c>
      <c r="L270" s="335" t="s">
        <v>2601</v>
      </c>
      <c r="M270" s="313" t="s">
        <v>2605</v>
      </c>
      <c r="N270" s="274" t="s">
        <v>2471</v>
      </c>
      <c r="O270" s="10"/>
      <c r="P270" s="10"/>
    </row>
    <row r="271" spans="1:16" s="380" customFormat="1" ht="12.75" customHeight="1" x14ac:dyDescent="0.2">
      <c r="A271">
        <f t="shared" si="5"/>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309" t="s">
        <v>1610</v>
      </c>
      <c r="H271" s="346" t="s">
        <v>1599</v>
      </c>
      <c r="I271" s="334" t="s">
        <v>2079</v>
      </c>
      <c r="J271" s="404" t="s">
        <v>2481</v>
      </c>
      <c r="K271" s="335"/>
      <c r="L271" s="335"/>
      <c r="M271" s="313"/>
      <c r="N271" s="274"/>
      <c r="O271" s="10"/>
      <c r="P271" s="10"/>
    </row>
    <row r="272" spans="1:16" s="380" customFormat="1" ht="12.75" customHeight="1" x14ac:dyDescent="0.2">
      <c r="A272">
        <f t="shared" si="5"/>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309" t="s">
        <v>1428</v>
      </c>
      <c r="H272" s="348" t="s">
        <v>1425</v>
      </c>
      <c r="I272" s="334" t="s">
        <v>2080</v>
      </c>
      <c r="J272" s="404" t="s">
        <v>2482</v>
      </c>
      <c r="K272" s="335"/>
      <c r="L272" s="335"/>
      <c r="M272" s="313"/>
      <c r="N272" s="274"/>
      <c r="O272" s="10">
        <v>1</v>
      </c>
      <c r="P272" s="10"/>
    </row>
    <row r="273" spans="1:16" s="380" customFormat="1" ht="12.75" customHeight="1" x14ac:dyDescent="0.2">
      <c r="A273">
        <f t="shared" si="5"/>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309" t="s">
        <v>1429</v>
      </c>
      <c r="H273" s="349" t="s">
        <v>960</v>
      </c>
      <c r="I273" s="334" t="s">
        <v>2081</v>
      </c>
      <c r="J273" s="404" t="s">
        <v>2483</v>
      </c>
      <c r="K273" s="335" t="s">
        <v>2598</v>
      </c>
      <c r="L273" s="335" t="s">
        <v>2602</v>
      </c>
      <c r="M273" s="313" t="s">
        <v>2606</v>
      </c>
      <c r="N273" s="274" t="s">
        <v>2472</v>
      </c>
      <c r="O273" s="10"/>
      <c r="P273" s="10"/>
    </row>
    <row r="274" spans="1:16" s="380" customFormat="1" ht="12.75" customHeight="1" x14ac:dyDescent="0.2">
      <c r="A274">
        <f>ROW()-ROW($A$1)</f>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309" t="s">
        <v>1430</v>
      </c>
      <c r="H274" s="346" t="s">
        <v>961</v>
      </c>
      <c r="I274" s="334" t="s">
        <v>2082</v>
      </c>
      <c r="J274" s="404" t="s">
        <v>2484</v>
      </c>
      <c r="K274" s="335" t="s">
        <v>2595</v>
      </c>
      <c r="L274" s="335" t="s">
        <v>2599</v>
      </c>
      <c r="M274" s="313" t="s">
        <v>2607</v>
      </c>
      <c r="N274" s="274" t="s">
        <v>2473</v>
      </c>
      <c r="O274" s="10"/>
      <c r="P274" s="10"/>
    </row>
    <row r="275" spans="1:16" s="380" customFormat="1" ht="12.75" customHeight="1" x14ac:dyDescent="0.2">
      <c r="A275">
        <f>ROW()-ROW($A$1)</f>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309" t="s">
        <v>1611</v>
      </c>
      <c r="H275" s="346" t="s">
        <v>1597</v>
      </c>
      <c r="I275" s="334" t="s">
        <v>2083</v>
      </c>
      <c r="J275" s="404" t="s">
        <v>2485</v>
      </c>
      <c r="K275" s="335" t="s">
        <v>2597</v>
      </c>
      <c r="L275" s="335" t="s">
        <v>2601</v>
      </c>
      <c r="M275" s="313" t="s">
        <v>2605</v>
      </c>
      <c r="N275" s="274" t="s">
        <v>2471</v>
      </c>
      <c r="O275" s="10"/>
      <c r="P275" s="10"/>
    </row>
    <row r="276" spans="1:16" s="380" customFormat="1" ht="12.75" customHeight="1" x14ac:dyDescent="0.2">
      <c r="A276">
        <f>ROW()-ROW($A$1)</f>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309" t="s">
        <v>1612</v>
      </c>
      <c r="H276" s="346" t="s">
        <v>1598</v>
      </c>
      <c r="I276" s="350" t="s">
        <v>2084</v>
      </c>
      <c r="J276" s="404" t="s">
        <v>2486</v>
      </c>
      <c r="K276" s="335"/>
      <c r="L276" s="335"/>
      <c r="M276" s="313"/>
      <c r="N276" s="274"/>
      <c r="O276" s="10"/>
      <c r="P276" s="10"/>
    </row>
    <row r="277" spans="1:16" s="380" customFormat="1" ht="12.75" customHeight="1" x14ac:dyDescent="0.2">
      <c r="A277">
        <f t="shared" ref="A277:A286" si="6">ROW()-ROW($A$1)</f>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309" t="s">
        <v>1431</v>
      </c>
      <c r="H277" s="351" t="s">
        <v>962</v>
      </c>
      <c r="I277" s="334" t="s">
        <v>2085</v>
      </c>
      <c r="J277" s="404" t="s">
        <v>2487</v>
      </c>
      <c r="K277" s="335" t="s">
        <v>2597</v>
      </c>
      <c r="L277" s="335" t="s">
        <v>2601</v>
      </c>
      <c r="M277" s="313" t="s">
        <v>2605</v>
      </c>
      <c r="N277" s="274" t="s">
        <v>2471</v>
      </c>
      <c r="O277" s="10"/>
      <c r="P277" s="10"/>
    </row>
    <row r="278" spans="1:16" s="380" customFormat="1" ht="12.75" customHeight="1" x14ac:dyDescent="0.2">
      <c r="A278">
        <f t="shared" si="6"/>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309" t="s">
        <v>1432</v>
      </c>
      <c r="H278" s="351" t="s">
        <v>963</v>
      </c>
      <c r="I278" s="334" t="s">
        <v>2086</v>
      </c>
      <c r="J278" s="404" t="s">
        <v>2488</v>
      </c>
      <c r="K278" s="335"/>
      <c r="L278" s="335"/>
      <c r="M278" s="313"/>
      <c r="N278" s="311"/>
      <c r="O278" s="10">
        <v>1</v>
      </c>
      <c r="P278" s="10"/>
    </row>
    <row r="279" spans="1:16" s="380" customFormat="1" ht="12.75" customHeight="1" x14ac:dyDescent="0.2">
      <c r="A279">
        <f t="shared" si="6"/>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309" t="s">
        <v>1433</v>
      </c>
      <c r="H279" s="352" t="s">
        <v>964</v>
      </c>
      <c r="I279" s="343" t="s">
        <v>2087</v>
      </c>
      <c r="J279" s="404" t="s">
        <v>2489</v>
      </c>
      <c r="K279" s="335"/>
      <c r="L279" s="335"/>
      <c r="M279" s="313"/>
      <c r="N279" s="311"/>
      <c r="O279" s="10">
        <v>1</v>
      </c>
      <c r="P279" s="10"/>
    </row>
    <row r="280" spans="1:16" s="380" customFormat="1" ht="12.75" customHeight="1" x14ac:dyDescent="0.2">
      <c r="A280">
        <f>ROW()-ROW($A$1)</f>
        <v>279</v>
      </c>
      <c r="B280" t="s">
        <v>264</v>
      </c>
      <c r="C280"/>
      <c r="D280"/>
      <c r="E280" s="10">
        <f>VLOOKUP( T_Aop[[#This Row],[Id]], T_Aop[], ID_Jezik +10, 1)</f>
        <v>0</v>
      </c>
      <c r="F280" t="str">
        <f>REPT( "  ", T_Aop[[#This Row],[Aop nivo]]) &amp; VLOOKUP( T_Aop[[#This Row],[Id]], T_Aop[], ID_Jezik + 6, 1)</f>
        <v/>
      </c>
      <c r="G280" s="309"/>
      <c r="H280" s="333"/>
      <c r="I280" s="334"/>
      <c r="J280" s="404"/>
      <c r="K280" s="335"/>
      <c r="L280" s="335"/>
      <c r="M280" s="313"/>
      <c r="N280" s="311"/>
      <c r="O280" s="10"/>
      <c r="P280" s="10"/>
    </row>
    <row r="281" spans="1:16" s="380" customFormat="1" ht="12.75" customHeight="1" x14ac:dyDescent="0.2">
      <c r="A281" s="362">
        <f t="shared" si="6"/>
        <v>280</v>
      </c>
      <c r="B281" s="362" t="s">
        <v>264</v>
      </c>
      <c r="C281" s="362">
        <v>0</v>
      </c>
      <c r="D281" s="362">
        <v>416</v>
      </c>
      <c r="E281" s="367">
        <f>VLOOKUP( T_Aop[[#This Row],[Id]], T_Aop[], ID_Jezik +10, 1)</f>
        <v>0</v>
      </c>
      <c r="F281" s="362" t="str">
        <f>REPT( "  ", T_Aop[[#This Row],[Aop nivo]]) &amp; VLOOKUP( T_Aop[[#This Row],[Id]], T_Aop[], ID_Jezik + 6, 1)</f>
        <v xml:space="preserve"> V. UKUPNA DOBIT / (GUBITAK) (400± 415)</v>
      </c>
      <c r="G281" s="334" t="s">
        <v>1434</v>
      </c>
      <c r="H281" s="342" t="s">
        <v>965</v>
      </c>
      <c r="I281" s="343" t="s">
        <v>2088</v>
      </c>
      <c r="J281" s="404" t="s">
        <v>2490</v>
      </c>
      <c r="K281" s="335"/>
      <c r="L281" s="335"/>
      <c r="M281" s="335"/>
      <c r="N281" s="368"/>
      <c r="O281" s="367">
        <v>1</v>
      </c>
      <c r="P281" s="367"/>
    </row>
    <row r="282" spans="1:16" s="380" customFormat="1" ht="12.75" customHeight="1" x14ac:dyDescent="0.2">
      <c r="A282" s="362">
        <f t="shared" si="6"/>
        <v>281</v>
      </c>
      <c r="B282" s="362" t="s">
        <v>264</v>
      </c>
      <c r="C282" s="362">
        <v>0</v>
      </c>
      <c r="D282" s="362"/>
      <c r="E282" s="367">
        <f>VLOOKUP( T_Aop[[#This Row],[Id]], T_Aop[], ID_Jezik +10, 1)</f>
        <v>0</v>
      </c>
      <c r="F282" s="362" t="str">
        <f>REPT( "  ", T_Aop[[#This Row],[Aop nivo]]) &amp; VLOOKUP( T_Aop[[#This Row],[Id]], T_Aop[], ID_Jezik + 6, 1)</f>
        <v xml:space="preserve"> </v>
      </c>
      <c r="G282" s="334" t="s">
        <v>888</v>
      </c>
      <c r="H282" s="342" t="s">
        <v>888</v>
      </c>
      <c r="I282" s="334"/>
      <c r="J282" s="404"/>
      <c r="K282" s="335"/>
      <c r="L282" s="335"/>
      <c r="M282" s="335"/>
      <c r="N282" s="368"/>
      <c r="O282" s="367">
        <v>1</v>
      </c>
      <c r="P282" s="367"/>
    </row>
    <row r="283" spans="1:16" s="380" customFormat="1" ht="12.75" customHeight="1" x14ac:dyDescent="0.2">
      <c r="A283" s="362">
        <f t="shared" si="6"/>
        <v>282</v>
      </c>
      <c r="B283" s="362" t="s">
        <v>264</v>
      </c>
      <c r="C283" s="362">
        <v>0</v>
      </c>
      <c r="D283" s="362">
        <v>417</v>
      </c>
      <c r="E283" s="367">
        <f>VLOOKUP( T_Aop[[#This Row],[Id]], T_Aop[], ID_Jezik +10, 1)</f>
        <v>0</v>
      </c>
      <c r="F283" s="362" t="str">
        <f>REPT( "  ", T_Aop[[#This Row],[Aop nivo]]) &amp; VLOOKUP( T_Aop[[#This Row],[Id]], T_Aop[], ID_Jezik + 6, 1)</f>
        <v>Dio ukupne dobiti/gubitka koji pripada većinskim vlasnicima</v>
      </c>
      <c r="G283" s="334" t="s">
        <v>1435</v>
      </c>
      <c r="H283" s="342" t="s">
        <v>1426</v>
      </c>
      <c r="I283" s="369" t="s">
        <v>2860</v>
      </c>
      <c r="J283" s="404" t="s">
        <v>2491</v>
      </c>
      <c r="K283" s="335"/>
      <c r="L283" s="335"/>
      <c r="M283" s="335"/>
      <c r="N283" s="368"/>
      <c r="O283" s="367">
        <v>1</v>
      </c>
      <c r="P283" s="367"/>
    </row>
    <row r="284" spans="1:16" s="380" customFormat="1" ht="12.75" customHeight="1" x14ac:dyDescent="0.2">
      <c r="A284" s="362">
        <f t="shared" si="6"/>
        <v>283</v>
      </c>
      <c r="B284" s="362" t="s">
        <v>264</v>
      </c>
      <c r="C284" s="362">
        <v>0</v>
      </c>
      <c r="D284" s="362">
        <v>418</v>
      </c>
      <c r="E284" s="367">
        <f>VLOOKUP( T_Aop[[#This Row],[Id]], T_Aop[], ID_Jezik +10, 1)</f>
        <v>0</v>
      </c>
      <c r="F284" s="362" t="str">
        <f>REPT( "  ", T_Aop[[#This Row],[Aop nivo]]) &amp; VLOOKUP( T_Aop[[#This Row],[Id]], T_Aop[], ID_Jezik + 6, 1)</f>
        <v>Dio ukupne dobiti/gubitka koji pripada manjinskim vlasnicima</v>
      </c>
      <c r="G284" s="334" t="s">
        <v>1436</v>
      </c>
      <c r="H284" s="342" t="s">
        <v>966</v>
      </c>
      <c r="I284" s="369" t="s">
        <v>2861</v>
      </c>
      <c r="J284" s="404" t="s">
        <v>2492</v>
      </c>
      <c r="K284" s="335"/>
      <c r="L284" s="335"/>
      <c r="M284" s="335"/>
      <c r="N284" s="368"/>
      <c r="O284" s="367">
        <v>1</v>
      </c>
      <c r="P284" s="367"/>
    </row>
    <row r="285" spans="1:16" s="380" customFormat="1" ht="32.25" customHeight="1" x14ac:dyDescent="0.2">
      <c r="A285" s="362">
        <f t="shared" si="6"/>
        <v>284</v>
      </c>
      <c r="B285" s="362" t="s">
        <v>133</v>
      </c>
      <c r="C285" s="362">
        <v>0</v>
      </c>
      <c r="D285" s="362">
        <v>501</v>
      </c>
      <c r="E285" s="367" t="str">
        <f>VLOOKUP( T_Aop[[#This Row],[Id]], T_Aop[], ID_Jezik +10, 1)</f>
        <v>A_x000D_
I</v>
      </c>
      <c r="F285" s="390" t="str">
        <f>REPT( "  ", T_Aop[[#This Row],[Aop nivo]]) &amp; VLOOKUP( T_Aop[[#This Row],[Id]], T_Aop[], ID_Jezik + 6, 1)</f>
        <v>TOKOVI GOTOVINE IZ POSLOVNIH AKTIVNOSTI 
Prilivi gotovine iz poslovne aktivnosti (502 do 505)</v>
      </c>
      <c r="G285" s="512" t="s">
        <v>2862</v>
      </c>
      <c r="H285" s="337" t="s">
        <v>2816</v>
      </c>
      <c r="I285" s="365" t="s">
        <v>2373</v>
      </c>
      <c r="J285" s="404" t="s">
        <v>2609</v>
      </c>
      <c r="K285" s="335" t="s">
        <v>1528</v>
      </c>
      <c r="L285" s="335" t="s">
        <v>1514</v>
      </c>
      <c r="M285" s="335" t="s">
        <v>1528</v>
      </c>
      <c r="N285" s="366" t="s">
        <v>2558</v>
      </c>
      <c r="O285" s="367">
        <v>1</v>
      </c>
      <c r="P285" s="367"/>
    </row>
    <row r="286" spans="1:16" s="380" customFormat="1" ht="12.75" customHeight="1" x14ac:dyDescent="0.2">
      <c r="A286" s="362">
        <f t="shared" si="6"/>
        <v>285</v>
      </c>
      <c r="B286" s="362" t="s">
        <v>133</v>
      </c>
      <c r="C286" s="362">
        <v>2</v>
      </c>
      <c r="D286" s="362">
        <v>502</v>
      </c>
      <c r="E286" s="367" t="str">
        <f>VLOOKUP( T_Aop[[#This Row],[Id]], T_Aop[], ID_Jezik +10, 1)</f>
        <v>1</v>
      </c>
      <c r="F286" s="362" t="str">
        <f>REPT( "  ", T_Aop[[#This Row],[Aop nivo]]) &amp; VLOOKUP( T_Aop[[#This Row],[Id]], T_Aop[], ID_Jezik + 6, 1)</f>
        <v xml:space="preserve">    Prilivi od kupaca i primljeni avansi u zemlji</v>
      </c>
      <c r="G286" s="334" t="s">
        <v>1570</v>
      </c>
      <c r="H286" s="333" t="s">
        <v>1542</v>
      </c>
      <c r="I286" s="334" t="s">
        <v>1769</v>
      </c>
      <c r="J286" s="404" t="s">
        <v>2493</v>
      </c>
      <c r="K286" s="335" t="s">
        <v>823</v>
      </c>
      <c r="L286" s="335">
        <v>1</v>
      </c>
      <c r="M286" s="335" t="s">
        <v>823</v>
      </c>
      <c r="N286" s="366" t="s">
        <v>772</v>
      </c>
      <c r="O286" s="367"/>
      <c r="P286" s="367"/>
    </row>
    <row r="287" spans="1:16" s="380" customFormat="1" ht="12.75" customHeight="1" x14ac:dyDescent="0.2">
      <c r="A287" s="362">
        <f t="shared" ref="A287:A294" si="7">ROW()-ROW($A$1)</f>
        <v>286</v>
      </c>
      <c r="B287" s="362" t="s">
        <v>133</v>
      </c>
      <c r="C287" s="362">
        <v>2</v>
      </c>
      <c r="D287" s="362">
        <v>503</v>
      </c>
      <c r="E287" s="367" t="str">
        <f>VLOOKUP( T_Aop[[#This Row],[Id]], T_Aop[], ID_Jezik +10, 1)</f>
        <v>2</v>
      </c>
      <c r="F287" s="362" t="str">
        <f>REPT( "  ", T_Aop[[#This Row],[Aop nivo]]) &amp; VLOOKUP( T_Aop[[#This Row],[Id]], T_Aop[], ID_Jezik + 6, 1)</f>
        <v xml:space="preserve">    Prilivi od kupaca i primljeni avansi u inostranstvu</v>
      </c>
      <c r="G287" s="334" t="s">
        <v>1571</v>
      </c>
      <c r="H287" s="333" t="s">
        <v>1543</v>
      </c>
      <c r="I287" s="334" t="s">
        <v>1770</v>
      </c>
      <c r="J287" s="404" t="s">
        <v>2494</v>
      </c>
      <c r="K287" s="335" t="s">
        <v>1529</v>
      </c>
      <c r="L287" s="335">
        <v>2</v>
      </c>
      <c r="M287" s="335" t="s">
        <v>1529</v>
      </c>
      <c r="N287" s="366" t="s">
        <v>773</v>
      </c>
      <c r="O287" s="367"/>
      <c r="P287" s="367"/>
    </row>
    <row r="288" spans="1:16" s="380" customFormat="1" ht="12.75" customHeight="1" x14ac:dyDescent="0.2">
      <c r="A288" s="362">
        <f t="shared" si="7"/>
        <v>287</v>
      </c>
      <c r="B288" s="362" t="s">
        <v>133</v>
      </c>
      <c r="C288" s="362">
        <v>2</v>
      </c>
      <c r="D288" s="362">
        <v>504</v>
      </c>
      <c r="E288" s="367" t="str">
        <f>VLOOKUP( T_Aop[[#This Row],[Id]], T_Aop[], ID_Jezik +10, 1)</f>
        <v>3</v>
      </c>
      <c r="F288" s="362" t="str">
        <f>REPT( "  ", T_Aop[[#This Row],[Aop nivo]]) &amp; VLOOKUP( T_Aop[[#This Row],[Id]], T_Aop[], ID_Jezik + 6, 1)</f>
        <v xml:space="preserve">    Prilivi od premija, subvencija, dotacija i sl.</v>
      </c>
      <c r="G288" s="334" t="s">
        <v>1572</v>
      </c>
      <c r="H288" s="333" t="s">
        <v>1544</v>
      </c>
      <c r="I288" s="334" t="s">
        <v>1771</v>
      </c>
      <c r="J288" s="404" t="s">
        <v>2495</v>
      </c>
      <c r="K288" s="335" t="s">
        <v>304</v>
      </c>
      <c r="L288" s="335">
        <v>3</v>
      </c>
      <c r="M288" s="335" t="s">
        <v>304</v>
      </c>
      <c r="N288" s="366" t="s">
        <v>774</v>
      </c>
      <c r="O288" s="367"/>
      <c r="P288" s="367"/>
    </row>
    <row r="289" spans="1:16" s="380" customFormat="1" ht="12.75" customHeight="1" x14ac:dyDescent="0.2">
      <c r="A289" s="362">
        <f t="shared" si="7"/>
        <v>288</v>
      </c>
      <c r="B289" s="362" t="s">
        <v>133</v>
      </c>
      <c r="C289" s="362">
        <v>2</v>
      </c>
      <c r="D289" s="362">
        <v>505</v>
      </c>
      <c r="E289" s="367" t="str">
        <f>VLOOKUP( T_Aop[[#This Row],[Id]], T_Aop[], ID_Jezik +10, 1)</f>
        <v>4</v>
      </c>
      <c r="F289" s="362" t="str">
        <f>REPT( "  ", T_Aop[[#This Row],[Aop nivo]]) &amp; VLOOKUP( T_Aop[[#This Row],[Id]], T_Aop[], ID_Jezik + 6, 1)</f>
        <v xml:space="preserve">    Ostali prilivi iz poslovnih aktivnosti</v>
      </c>
      <c r="G289" s="334" t="s">
        <v>1573</v>
      </c>
      <c r="H289" s="333" t="s">
        <v>1545</v>
      </c>
      <c r="I289" s="334" t="s">
        <v>1772</v>
      </c>
      <c r="J289" s="404" t="s">
        <v>2496</v>
      </c>
      <c r="K289" s="335" t="s">
        <v>333</v>
      </c>
      <c r="L289" s="335">
        <v>4</v>
      </c>
      <c r="M289" s="335" t="s">
        <v>333</v>
      </c>
      <c r="N289" s="366" t="s">
        <v>775</v>
      </c>
      <c r="O289" s="367"/>
      <c r="P289" s="367"/>
    </row>
    <row r="290" spans="1:16" s="380" customFormat="1" ht="12.75" customHeight="1" x14ac:dyDescent="0.2">
      <c r="A290" s="362">
        <f t="shared" si="7"/>
        <v>289</v>
      </c>
      <c r="B290" s="362" t="s">
        <v>133</v>
      </c>
      <c r="C290" s="362">
        <v>2</v>
      </c>
      <c r="D290" s="362">
        <v>506</v>
      </c>
      <c r="E290" s="367" t="str">
        <f>VLOOKUP( T_Aop[[#This Row],[Id]], T_Aop[], ID_Jezik +10, 1)</f>
        <v>II</v>
      </c>
      <c r="F290" s="362" t="str">
        <f>REPT( "  ", T_Aop[[#This Row],[Aop nivo]]) &amp; VLOOKUP( T_Aop[[#This Row],[Id]], T_Aop[], ID_Jezik + 6, 1)</f>
        <v xml:space="preserve">    Odlivi gotovine iz poslovnih aktivnosti (507 do 512)</v>
      </c>
      <c r="G290" s="334" t="s">
        <v>1574</v>
      </c>
      <c r="H290" s="333" t="s">
        <v>1546</v>
      </c>
      <c r="I290" s="334" t="s">
        <v>1773</v>
      </c>
      <c r="J290" s="404" t="s">
        <v>2497</v>
      </c>
      <c r="K290" s="335" t="s">
        <v>1515</v>
      </c>
      <c r="L290" s="335" t="s">
        <v>1515</v>
      </c>
      <c r="M290" s="335" t="s">
        <v>1515</v>
      </c>
      <c r="N290" s="366" t="s">
        <v>1515</v>
      </c>
      <c r="O290" s="367"/>
      <c r="P290" s="367"/>
    </row>
    <row r="291" spans="1:16" s="380" customFormat="1" ht="12.75" customHeight="1" x14ac:dyDescent="0.2">
      <c r="A291" s="362">
        <f t="shared" si="7"/>
        <v>290</v>
      </c>
      <c r="B291" s="362" t="s">
        <v>133</v>
      </c>
      <c r="C291" s="362">
        <v>2</v>
      </c>
      <c r="D291" s="362">
        <v>507</v>
      </c>
      <c r="E291" s="367" t="str">
        <f>VLOOKUP( T_Aop[[#This Row],[Id]], T_Aop[], ID_Jezik +10, 1)</f>
        <v>1</v>
      </c>
      <c r="F291" s="362" t="str">
        <f>REPT( "  ", T_Aop[[#This Row],[Aop nivo]]) &amp; VLOOKUP( T_Aop[[#This Row],[Id]], T_Aop[], ID_Jezik + 6, 1)</f>
        <v xml:space="preserve">    Odlivi po osnovu isplata dobavljačima i dati avansi u zemlji</v>
      </c>
      <c r="G291" s="334" t="s">
        <v>1575</v>
      </c>
      <c r="H291" s="333" t="s">
        <v>1547</v>
      </c>
      <c r="I291" s="334" t="s">
        <v>1774</v>
      </c>
      <c r="J291" s="404" t="s">
        <v>2498</v>
      </c>
      <c r="K291" s="335" t="s">
        <v>823</v>
      </c>
      <c r="L291" s="335">
        <v>1</v>
      </c>
      <c r="M291" s="335" t="s">
        <v>823</v>
      </c>
      <c r="N291" s="366" t="s">
        <v>772</v>
      </c>
      <c r="O291" s="367"/>
      <c r="P291" s="367"/>
    </row>
    <row r="292" spans="1:16" s="380" customFormat="1" ht="12.75" customHeight="1" x14ac:dyDescent="0.2">
      <c r="A292" s="362">
        <f t="shared" si="7"/>
        <v>291</v>
      </c>
      <c r="B292" s="362" t="s">
        <v>133</v>
      </c>
      <c r="C292" s="362">
        <v>2</v>
      </c>
      <c r="D292" s="362">
        <v>508</v>
      </c>
      <c r="E292" s="367" t="str">
        <f>VLOOKUP( T_Aop[[#This Row],[Id]], T_Aop[], ID_Jezik +10, 1)</f>
        <v>2</v>
      </c>
      <c r="F292" s="362" t="str">
        <f>REPT( "  ", T_Aop[[#This Row],[Aop nivo]]) &amp; VLOOKUP( T_Aop[[#This Row],[Id]], T_Aop[], ID_Jezik + 6, 1)</f>
        <v xml:space="preserve">    Odlivi po osnovu isplata dobavljačima i dati avansi u inostranstvu</v>
      </c>
      <c r="G292" s="334" t="s">
        <v>1576</v>
      </c>
      <c r="H292" s="333" t="s">
        <v>1548</v>
      </c>
      <c r="I292" s="334" t="s">
        <v>1775</v>
      </c>
      <c r="J292" s="404" t="s">
        <v>2499</v>
      </c>
      <c r="K292" s="335" t="s">
        <v>1529</v>
      </c>
      <c r="L292" s="335">
        <v>2</v>
      </c>
      <c r="M292" s="335" t="s">
        <v>1529</v>
      </c>
      <c r="N292" s="366" t="s">
        <v>773</v>
      </c>
      <c r="O292" s="367"/>
      <c r="P292" s="367"/>
    </row>
    <row r="293" spans="1:16" s="380" customFormat="1" ht="12.75" customHeight="1" x14ac:dyDescent="0.2">
      <c r="A293" s="362">
        <f t="shared" si="7"/>
        <v>292</v>
      </c>
      <c r="B293" s="362" t="s">
        <v>133</v>
      </c>
      <c r="C293" s="362">
        <v>2</v>
      </c>
      <c r="D293" s="362">
        <v>509</v>
      </c>
      <c r="E293" s="367" t="str">
        <f>VLOOKUP( T_Aop[[#This Row],[Id]], T_Aop[], ID_Jezik +10, 1)</f>
        <v>3</v>
      </c>
      <c r="F293" s="362" t="str">
        <f>REPT( "  ", T_Aop[[#This Row],[Aop nivo]]) &amp; VLOOKUP( T_Aop[[#This Row],[Id]], T_Aop[], ID_Jezik + 6, 1)</f>
        <v xml:space="preserve">    Odlivi po osnovu plaćenih kamata</v>
      </c>
      <c r="G293" s="334" t="s">
        <v>1577</v>
      </c>
      <c r="H293" s="333" t="s">
        <v>1549</v>
      </c>
      <c r="I293" s="334" t="s">
        <v>1776</v>
      </c>
      <c r="J293" s="404" t="s">
        <v>2500</v>
      </c>
      <c r="K293" s="335" t="s">
        <v>304</v>
      </c>
      <c r="L293" s="335">
        <v>3</v>
      </c>
      <c r="M293" s="335" t="s">
        <v>304</v>
      </c>
      <c r="N293" s="366" t="s">
        <v>774</v>
      </c>
      <c r="O293" s="367"/>
      <c r="P293" s="367"/>
    </row>
    <row r="294" spans="1:16" s="380" customFormat="1" ht="12.75" customHeight="1" x14ac:dyDescent="0.2">
      <c r="A294" s="362">
        <f t="shared" si="7"/>
        <v>293</v>
      </c>
      <c r="B294" s="362" t="s">
        <v>133</v>
      </c>
      <c r="C294" s="362">
        <v>2</v>
      </c>
      <c r="D294" s="362">
        <v>510</v>
      </c>
      <c r="E294" s="367" t="str">
        <f>VLOOKUP( T_Aop[[#This Row],[Id]], T_Aop[], ID_Jezik +10, 1)</f>
        <v>4</v>
      </c>
      <c r="F294" s="362" t="str">
        <f>REPT( "  ", T_Aop[[#This Row],[Aop nivo]]) &amp; VLOOKUP( T_Aop[[#This Row],[Id]], T_Aop[], ID_Jezik + 6, 1)</f>
        <v xml:space="preserve">    Odlivi po osnovu isplata zarada, naknada zarada i ostalih ličnih rashoda</v>
      </c>
      <c r="G294" s="334" t="s">
        <v>1578</v>
      </c>
      <c r="H294" s="333" t="s">
        <v>1550</v>
      </c>
      <c r="I294" s="334" t="s">
        <v>1777</v>
      </c>
      <c r="J294" s="404" t="s">
        <v>2501</v>
      </c>
      <c r="K294" s="335" t="s">
        <v>333</v>
      </c>
      <c r="L294" s="335">
        <v>4</v>
      </c>
      <c r="M294" s="335" t="s">
        <v>333</v>
      </c>
      <c r="N294" s="366" t="s">
        <v>775</v>
      </c>
      <c r="O294" s="367"/>
      <c r="P294" s="367"/>
    </row>
    <row r="295" spans="1:16" s="380" customFormat="1" ht="12.75" customHeight="1" x14ac:dyDescent="0.2">
      <c r="A295" s="362">
        <f t="shared" ref="A295:A311" si="8">ROW()-ROW($A$1)</f>
        <v>294</v>
      </c>
      <c r="B295" s="362" t="s">
        <v>133</v>
      </c>
      <c r="C295" s="362">
        <v>2</v>
      </c>
      <c r="D295" s="362">
        <v>511</v>
      </c>
      <c r="E295" s="367" t="str">
        <f>VLOOKUP( T_Aop[[#This Row],[Id]], T_Aop[], ID_Jezik +10, 1)</f>
        <v>5</v>
      </c>
      <c r="F295" s="362" t="str">
        <f>REPT( "  ", T_Aop[[#This Row],[Aop nivo]]) &amp; VLOOKUP( T_Aop[[#This Row],[Id]], T_Aop[], ID_Jezik + 6, 1)</f>
        <v xml:space="preserve">    Odlivi po osnovu poreza na dobit</v>
      </c>
      <c r="G295" s="334" t="s">
        <v>1579</v>
      </c>
      <c r="H295" s="333" t="s">
        <v>1551</v>
      </c>
      <c r="I295" s="334" t="s">
        <v>1778</v>
      </c>
      <c r="J295" s="404" t="s">
        <v>2502</v>
      </c>
      <c r="K295" s="335" t="s">
        <v>334</v>
      </c>
      <c r="L295" s="335">
        <v>5</v>
      </c>
      <c r="M295" s="335" t="s">
        <v>334</v>
      </c>
      <c r="N295" s="366" t="s">
        <v>776</v>
      </c>
      <c r="O295" s="367"/>
      <c r="P295" s="367"/>
    </row>
    <row r="296" spans="1:16" s="380" customFormat="1" ht="12.75" customHeight="1" x14ac:dyDescent="0.2">
      <c r="A296" s="362">
        <f t="shared" si="8"/>
        <v>295</v>
      </c>
      <c r="B296" s="362" t="s">
        <v>133</v>
      </c>
      <c r="C296" s="362">
        <v>2</v>
      </c>
      <c r="D296" s="362">
        <v>512</v>
      </c>
      <c r="E296" s="367" t="str">
        <f>VLOOKUP( T_Aop[[#This Row],[Id]], T_Aop[], ID_Jezik +10, 1)</f>
        <v>6</v>
      </c>
      <c r="F296" s="362" t="str">
        <f>REPT( "  ", T_Aop[[#This Row],[Aop nivo]]) &amp; VLOOKUP( T_Aop[[#This Row],[Id]], T_Aop[], ID_Jezik + 6, 1)</f>
        <v xml:space="preserve">    Ostali odlivi iz poslovnih aktivnosti</v>
      </c>
      <c r="G296" s="334" t="s">
        <v>1580</v>
      </c>
      <c r="H296" s="333" t="s">
        <v>1552</v>
      </c>
      <c r="I296" s="334" t="s">
        <v>1779</v>
      </c>
      <c r="J296" s="404" t="s">
        <v>2503</v>
      </c>
      <c r="K296" s="335" t="s">
        <v>335</v>
      </c>
      <c r="L296" s="335">
        <v>6</v>
      </c>
      <c r="M296" s="335" t="s">
        <v>335</v>
      </c>
      <c r="N296" s="366" t="s">
        <v>777</v>
      </c>
      <c r="O296" s="367"/>
      <c r="P296" s="367"/>
    </row>
    <row r="297" spans="1:16" s="380" customFormat="1" ht="12.75" customHeight="1" x14ac:dyDescent="0.2">
      <c r="A297" s="362">
        <f t="shared" si="8"/>
        <v>296</v>
      </c>
      <c r="B297" s="362" t="s">
        <v>133</v>
      </c>
      <c r="C297" s="362">
        <v>1</v>
      </c>
      <c r="D297" s="362">
        <v>513</v>
      </c>
      <c r="E297" s="367" t="str">
        <f>VLOOKUP( T_Aop[[#This Row],[Id]], T_Aop[], ID_Jezik +10, 1)</f>
        <v>III</v>
      </c>
      <c r="F297" s="362" t="str">
        <f>REPT( "  ", T_Aop[[#This Row],[Aop nivo]]) &amp; VLOOKUP( T_Aop[[#This Row],[Id]], T_Aop[], ID_Jezik + 6, 1)</f>
        <v xml:space="preserve">  Neto priliv gotovine iz poslovnih aktivnosti (501 – 506)</v>
      </c>
      <c r="G297" s="334" t="s">
        <v>1581</v>
      </c>
      <c r="H297" s="333" t="s">
        <v>1553</v>
      </c>
      <c r="I297" s="334" t="s">
        <v>1780</v>
      </c>
      <c r="J297" s="404" t="s">
        <v>2504</v>
      </c>
      <c r="K297" s="335" t="s">
        <v>1516</v>
      </c>
      <c r="L297" s="335" t="s">
        <v>1516</v>
      </c>
      <c r="M297" s="335" t="s">
        <v>1516</v>
      </c>
      <c r="N297" s="366" t="s">
        <v>1516</v>
      </c>
      <c r="O297" s="367">
        <v>1</v>
      </c>
      <c r="P297" s="367"/>
    </row>
    <row r="298" spans="1:16" s="380" customFormat="1" ht="12.75" customHeight="1" x14ac:dyDescent="0.2">
      <c r="A298" s="362">
        <f t="shared" si="8"/>
        <v>297</v>
      </c>
      <c r="B298" s="362" t="s">
        <v>133</v>
      </c>
      <c r="C298" s="362">
        <v>1</v>
      </c>
      <c r="D298" s="362">
        <v>514</v>
      </c>
      <c r="E298" s="367" t="str">
        <f>VLOOKUP( T_Aop[[#This Row],[Id]], T_Aop[], ID_Jezik +10, 1)</f>
        <v>IV</v>
      </c>
      <c r="F298" s="362" t="str">
        <f>REPT( "  ", T_Aop[[#This Row],[Aop nivo]]) &amp; VLOOKUP( T_Aop[[#This Row],[Id]], T_Aop[], ID_Jezik + 6, 1)</f>
        <v xml:space="preserve">  Neto odliv gotovine iz poslovnih aktivnosti (506 – 501)</v>
      </c>
      <c r="G298" s="334" t="s">
        <v>1582</v>
      </c>
      <c r="H298" s="333" t="s">
        <v>1554</v>
      </c>
      <c r="I298" s="334" t="s">
        <v>1781</v>
      </c>
      <c r="J298" s="404" t="s">
        <v>2505</v>
      </c>
      <c r="K298" s="335" t="s">
        <v>1517</v>
      </c>
      <c r="L298" s="335" t="s">
        <v>1517</v>
      </c>
      <c r="M298" s="335" t="s">
        <v>1517</v>
      </c>
      <c r="N298" s="366" t="s">
        <v>1517</v>
      </c>
      <c r="O298" s="367">
        <v>1</v>
      </c>
      <c r="P298" s="367"/>
    </row>
    <row r="299" spans="1:16" s="380" customFormat="1" ht="12.75" customHeight="1" x14ac:dyDescent="0.2">
      <c r="A299" s="362">
        <f t="shared" si="8"/>
        <v>298</v>
      </c>
      <c r="B299" s="362" t="s">
        <v>133</v>
      </c>
      <c r="C299" s="362">
        <v>0</v>
      </c>
      <c r="D299" s="362">
        <v>515</v>
      </c>
      <c r="E299" s="367" t="str">
        <f>VLOOKUP( T_Aop[[#This Row],[Id]], T_Aop[], ID_Jezik +10, 1)</f>
        <v>B_x000D_
I</v>
      </c>
      <c r="F299" s="390" t="str">
        <f>REPT( "  ", T_Aop[[#This Row],[Aop nivo]]) &amp; VLOOKUP( T_Aop[[#This Row],[Id]], T_Aop[], ID_Jezik + 6, 1)</f>
        <v>TOKOVI GOTOVINE IZ AKTIVNOSTI INVESTIRANJA
Prilivi gotovine iz aktivnosti investiranja (516 do 530)</v>
      </c>
      <c r="G299" s="512" t="s">
        <v>3033</v>
      </c>
      <c r="H299" s="333" t="s">
        <v>1555</v>
      </c>
      <c r="I299" s="365" t="s">
        <v>3025</v>
      </c>
      <c r="J299" s="404" t="s">
        <v>2608</v>
      </c>
      <c r="K299" s="335" t="s">
        <v>1530</v>
      </c>
      <c r="L299" s="335" t="s">
        <v>1518</v>
      </c>
      <c r="M299" s="335" t="s">
        <v>1530</v>
      </c>
      <c r="N299" s="366" t="s">
        <v>2559</v>
      </c>
      <c r="O299" s="367">
        <v>1</v>
      </c>
      <c r="P299" s="367"/>
    </row>
    <row r="300" spans="1:16" s="380" customFormat="1" ht="12.75" customHeight="1" x14ac:dyDescent="0.2">
      <c r="A300" s="362">
        <f t="shared" si="8"/>
        <v>299</v>
      </c>
      <c r="B300" s="362" t="s">
        <v>133</v>
      </c>
      <c r="C300" s="362">
        <v>2</v>
      </c>
      <c r="D300" s="362">
        <v>516</v>
      </c>
      <c r="E300" s="367" t="str">
        <f>VLOOKUP( T_Aop[[#This Row],[Id]], T_Aop[], ID_Jezik +10, 1)</f>
        <v>1</v>
      </c>
      <c r="F300" s="362" t="str">
        <f>REPT( "  ", T_Aop[[#This Row],[Aop nivo]]) &amp; VLOOKUP( T_Aop[[#This Row],[Id]], T_Aop[], ID_Jezik + 6, 1)</f>
        <v xml:space="preserve">    Prilivi gotovine po osnovu prodaje akcija i udjela zavisnih i pridruženih društava i zajedničkih poduhvata</v>
      </c>
      <c r="G300" s="334" t="s">
        <v>1583</v>
      </c>
      <c r="H300" s="333" t="s">
        <v>1556</v>
      </c>
      <c r="I300" s="334" t="s">
        <v>1782</v>
      </c>
      <c r="J300" s="404" t="s">
        <v>2506</v>
      </c>
      <c r="K300" s="335" t="s">
        <v>823</v>
      </c>
      <c r="L300" s="335">
        <v>1</v>
      </c>
      <c r="M300" s="335" t="s">
        <v>823</v>
      </c>
      <c r="N300" s="366" t="s">
        <v>772</v>
      </c>
      <c r="O300" s="367"/>
      <c r="P300" s="367"/>
    </row>
    <row r="301" spans="1:16" s="380" customFormat="1" ht="12.75" customHeight="1" x14ac:dyDescent="0.2">
      <c r="A301" s="362">
        <f t="shared" si="8"/>
        <v>300</v>
      </c>
      <c r="B301" s="362" t="s">
        <v>133</v>
      </c>
      <c r="C301" s="362">
        <v>2</v>
      </c>
      <c r="D301" s="362">
        <v>517</v>
      </c>
      <c r="E301" s="367" t="str">
        <f>VLOOKUP( T_Aop[[#This Row],[Id]], T_Aop[], ID_Jezik +10, 1)</f>
        <v>2</v>
      </c>
      <c r="F301" s="362" t="str">
        <f>REPT( "  ", T_Aop[[#This Row],[Aop nivo]]) &amp; VLOOKUP( T_Aop[[#This Row],[Id]], T_Aop[], ID_Jezik + 6, 1)</f>
        <v xml:space="preserve">    Prilivi po osnovu prodaje nekretnina, postrojenja i opreme</v>
      </c>
      <c r="G301" s="334" t="s">
        <v>1584</v>
      </c>
      <c r="H301" s="333" t="s">
        <v>1557</v>
      </c>
      <c r="I301" s="334" t="s">
        <v>1783</v>
      </c>
      <c r="J301" s="404" t="s">
        <v>2507</v>
      </c>
      <c r="K301" s="335" t="s">
        <v>1529</v>
      </c>
      <c r="L301" s="335">
        <v>2</v>
      </c>
      <c r="M301" s="335" t="s">
        <v>1529</v>
      </c>
      <c r="N301" s="366" t="s">
        <v>773</v>
      </c>
      <c r="O301" s="367"/>
      <c r="P301" s="367"/>
    </row>
    <row r="302" spans="1:16" s="380" customFormat="1" ht="12.75" customHeight="1" x14ac:dyDescent="0.2">
      <c r="A302" s="362">
        <f t="shared" si="8"/>
        <v>301</v>
      </c>
      <c r="B302" s="362" t="s">
        <v>133</v>
      </c>
      <c r="C302" s="362">
        <v>2</v>
      </c>
      <c r="D302" s="362">
        <v>518</v>
      </c>
      <c r="E302" s="367" t="str">
        <f>VLOOKUP( T_Aop[[#This Row],[Id]], T_Aop[], ID_Jezik +10, 1)</f>
        <v>3</v>
      </c>
      <c r="F302" s="362" t="str">
        <f>REPT( "  ", T_Aop[[#This Row],[Aop nivo]]) &amp; VLOOKUP( T_Aop[[#This Row],[Id]], T_Aop[], ID_Jezik + 6, 1)</f>
        <v xml:space="preserve">    Prilivi po osnovu prodaje investicionih nekretnina</v>
      </c>
      <c r="G302" s="334" t="s">
        <v>1585</v>
      </c>
      <c r="H302" s="333" t="s">
        <v>1558</v>
      </c>
      <c r="I302" s="334" t="s">
        <v>1784</v>
      </c>
      <c r="J302" s="404" t="s">
        <v>2508</v>
      </c>
      <c r="K302" s="335" t="s">
        <v>304</v>
      </c>
      <c r="L302" s="335">
        <v>3</v>
      </c>
      <c r="M302" s="335" t="s">
        <v>304</v>
      </c>
      <c r="N302" s="366" t="s">
        <v>774</v>
      </c>
      <c r="O302" s="367"/>
      <c r="P302" s="367">
        <v>1</v>
      </c>
    </row>
    <row r="303" spans="1:16" s="380" customFormat="1" ht="12.75" customHeight="1" x14ac:dyDescent="0.2">
      <c r="A303" s="362">
        <f t="shared" si="8"/>
        <v>302</v>
      </c>
      <c r="B303" s="362" t="s">
        <v>133</v>
      </c>
      <c r="C303" s="362">
        <v>2</v>
      </c>
      <c r="D303" s="362">
        <v>519</v>
      </c>
      <c r="E303" s="367" t="str">
        <f>VLOOKUP( T_Aop[[#This Row],[Id]], T_Aop[], ID_Jezik +10, 1)</f>
        <v>4</v>
      </c>
      <c r="F303" s="362" t="str">
        <f>REPT( "  ", T_Aop[[#This Row],[Aop nivo]]) &amp; VLOOKUP( T_Aop[[#This Row],[Id]], T_Aop[], ID_Jezik + 6, 1)</f>
        <v xml:space="preserve">    Prilivi po osnovu prodaje bioloških sredstava</v>
      </c>
      <c r="G303" s="334" t="s">
        <v>1586</v>
      </c>
      <c r="H303" s="333" t="s">
        <v>1559</v>
      </c>
      <c r="I303" s="334" t="s">
        <v>1785</v>
      </c>
      <c r="J303" s="404" t="s">
        <v>2684</v>
      </c>
      <c r="K303" s="335" t="s">
        <v>333</v>
      </c>
      <c r="L303" s="335">
        <v>4</v>
      </c>
      <c r="M303" s="335" t="s">
        <v>333</v>
      </c>
      <c r="N303" s="366" t="s">
        <v>775</v>
      </c>
      <c r="O303" s="367"/>
      <c r="P303" s="367"/>
    </row>
    <row r="304" spans="1:16" s="380" customFormat="1" ht="12.75" customHeight="1" x14ac:dyDescent="0.2">
      <c r="A304" s="362">
        <f t="shared" si="8"/>
        <v>303</v>
      </c>
      <c r="B304" s="362" t="s">
        <v>133</v>
      </c>
      <c r="C304" s="362">
        <v>2</v>
      </c>
      <c r="D304" s="362">
        <v>520</v>
      </c>
      <c r="E304" s="367" t="str">
        <f>VLOOKUP( T_Aop[[#This Row],[Id]], T_Aop[], ID_Jezik +10, 1)</f>
        <v>5</v>
      </c>
      <c r="F304" s="362" t="str">
        <f>REPT( "  ", T_Aop[[#This Row],[Aop nivo]]) &amp; VLOOKUP( T_Aop[[#This Row],[Id]], T_Aop[], ID_Jezik + 6, 1)</f>
        <v xml:space="preserve">    Prilivi po osnovu prodaje nematerijalnih sredstava</v>
      </c>
      <c r="G304" s="334" t="s">
        <v>1587</v>
      </c>
      <c r="H304" s="333" t="s">
        <v>1560</v>
      </c>
      <c r="I304" s="334" t="s">
        <v>1786</v>
      </c>
      <c r="J304" s="404" t="s">
        <v>2509</v>
      </c>
      <c r="K304" s="335" t="s">
        <v>334</v>
      </c>
      <c r="L304" s="335">
        <v>5</v>
      </c>
      <c r="M304" s="335" t="s">
        <v>334</v>
      </c>
      <c r="N304" s="366" t="s">
        <v>776</v>
      </c>
      <c r="O304" s="367"/>
      <c r="P304" s="367"/>
    </row>
    <row r="305" spans="1:16" s="380" customFormat="1" ht="12.75" customHeight="1" x14ac:dyDescent="0.2">
      <c r="A305" s="362">
        <f t="shared" si="8"/>
        <v>304</v>
      </c>
      <c r="B305" s="362" t="s">
        <v>133</v>
      </c>
      <c r="C305" s="362">
        <v>2</v>
      </c>
      <c r="D305" s="362">
        <v>521</v>
      </c>
      <c r="E305" s="367" t="str">
        <f>VLOOKUP( T_Aop[[#This Row],[Id]], T_Aop[], ID_Jezik +10, 1)</f>
        <v>6</v>
      </c>
      <c r="F305" s="362" t="str">
        <f>REPT( "  ", T_Aop[[#This Row],[Aop nivo]]) &amp; VLOOKUP( T_Aop[[#This Row],[Id]], T_Aop[], ID_Jezik + 6, 1)</f>
        <v xml:space="preserve">    Prilivi po osnovu prodaje stalnih sredstava namijenjenih prodaji</v>
      </c>
      <c r="G305" s="334" t="s">
        <v>1588</v>
      </c>
      <c r="H305" s="333" t="s">
        <v>1561</v>
      </c>
      <c r="I305" s="350" t="s">
        <v>1787</v>
      </c>
      <c r="J305" s="404" t="s">
        <v>2510</v>
      </c>
      <c r="K305" s="335" t="s">
        <v>335</v>
      </c>
      <c r="L305" s="335">
        <v>6</v>
      </c>
      <c r="M305" s="335" t="s">
        <v>335</v>
      </c>
      <c r="N305" s="366" t="s">
        <v>777</v>
      </c>
      <c r="O305" s="367"/>
      <c r="P305" s="367"/>
    </row>
    <row r="306" spans="1:16" s="380" customFormat="1" ht="12.75" customHeight="1" x14ac:dyDescent="0.2">
      <c r="A306" s="362">
        <f t="shared" si="8"/>
        <v>305</v>
      </c>
      <c r="B306" s="362" t="s">
        <v>133</v>
      </c>
      <c r="C306" s="362">
        <v>2</v>
      </c>
      <c r="D306" s="362">
        <v>522</v>
      </c>
      <c r="E306" s="367" t="str">
        <f>VLOOKUP( T_Aop[[#This Row],[Id]], T_Aop[], ID_Jezik +10, 1)</f>
        <v>7</v>
      </c>
      <c r="F306" s="362" t="str">
        <f>REPT( "  ", T_Aop[[#This Row],[Aop nivo]]) &amp; VLOOKUP( T_Aop[[#This Row],[Id]], T_Aop[], ID_Jezik + 6, 1)</f>
        <v xml:space="preserve">    Prilivi od finansijskih sredstava po fer vrijednosti kroz ostali ukupni rezultat</v>
      </c>
      <c r="G306" s="334" t="s">
        <v>1589</v>
      </c>
      <c r="H306" s="333" t="s">
        <v>1562</v>
      </c>
      <c r="I306" s="350" t="s">
        <v>1788</v>
      </c>
      <c r="J306" s="404" t="s">
        <v>2511</v>
      </c>
      <c r="K306" s="335" t="s">
        <v>336</v>
      </c>
      <c r="L306" s="335">
        <v>7</v>
      </c>
      <c r="M306" s="335" t="s">
        <v>336</v>
      </c>
      <c r="N306" s="366" t="s">
        <v>778</v>
      </c>
      <c r="O306" s="367"/>
      <c r="P306" s="367"/>
    </row>
    <row r="307" spans="1:16" s="380" customFormat="1" ht="12.75" customHeight="1" x14ac:dyDescent="0.2">
      <c r="A307" s="362">
        <f t="shared" si="8"/>
        <v>306</v>
      </c>
      <c r="B307" s="362" t="s">
        <v>133</v>
      </c>
      <c r="C307" s="362">
        <v>2</v>
      </c>
      <c r="D307" s="362">
        <v>523</v>
      </c>
      <c r="E307" s="367" t="str">
        <f>VLOOKUP( T_Aop[[#This Row],[Id]], T_Aop[], ID_Jezik +10, 1)</f>
        <v>8</v>
      </c>
      <c r="F307" s="362" t="str">
        <f>REPT( "  ", T_Aop[[#This Row],[Aop nivo]]) &amp; VLOOKUP( T_Aop[[#This Row],[Id]], T_Aop[], ID_Jezik + 6, 1)</f>
        <v xml:space="preserve">    Prilivi od finansijskih sredstva po fer vrijednosti kroz bilans uspjeha</v>
      </c>
      <c r="G307" s="334" t="s">
        <v>1590</v>
      </c>
      <c r="H307" s="333" t="s">
        <v>1563</v>
      </c>
      <c r="I307" s="350" t="s">
        <v>1789</v>
      </c>
      <c r="J307" s="404" t="s">
        <v>2512</v>
      </c>
      <c r="K307" s="335" t="s">
        <v>337</v>
      </c>
      <c r="L307" s="335">
        <v>8</v>
      </c>
      <c r="M307" s="335" t="s">
        <v>337</v>
      </c>
      <c r="N307" s="366" t="s">
        <v>779</v>
      </c>
      <c r="O307" s="367"/>
      <c r="P307" s="367"/>
    </row>
    <row r="308" spans="1:16" s="380" customFormat="1" ht="12.75" customHeight="1" x14ac:dyDescent="0.2">
      <c r="A308" s="362">
        <f t="shared" si="8"/>
        <v>307</v>
      </c>
      <c r="B308" s="362" t="s">
        <v>133</v>
      </c>
      <c r="C308" s="362">
        <v>2</v>
      </c>
      <c r="D308" s="362">
        <v>524</v>
      </c>
      <c r="E308" s="367" t="str">
        <f>VLOOKUP( T_Aop[[#This Row],[Id]], T_Aop[], ID_Jezik +10, 1)</f>
        <v>9</v>
      </c>
      <c r="F308" s="362" t="str">
        <f>REPT( "  ", T_Aop[[#This Row],[Aop nivo]]) &amp; VLOOKUP( T_Aop[[#This Row],[Id]], T_Aop[], ID_Jezik + 6, 1)</f>
        <v xml:space="preserve">    Prilivi od ostalih finansijskih sredstava po amortizovanoj vrijednosti</v>
      </c>
      <c r="G308" s="334" t="s">
        <v>1591</v>
      </c>
      <c r="H308" s="333" t="s">
        <v>1564</v>
      </c>
      <c r="I308" s="350" t="s">
        <v>1790</v>
      </c>
      <c r="J308" s="404" t="s">
        <v>2513</v>
      </c>
      <c r="K308" s="335" t="s">
        <v>338</v>
      </c>
      <c r="L308" s="335">
        <v>9</v>
      </c>
      <c r="M308" s="335" t="s">
        <v>338</v>
      </c>
      <c r="N308" s="366" t="s">
        <v>780</v>
      </c>
      <c r="O308" s="367"/>
      <c r="P308" s="367"/>
    </row>
    <row r="309" spans="1:16" s="380" customFormat="1" ht="12.75" customHeight="1" x14ac:dyDescent="0.2">
      <c r="A309" s="362">
        <f t="shared" si="8"/>
        <v>308</v>
      </c>
      <c r="B309" s="362" t="s">
        <v>133</v>
      </c>
      <c r="C309" s="362">
        <v>2</v>
      </c>
      <c r="D309" s="362">
        <v>525</v>
      </c>
      <c r="E309" s="367" t="str">
        <f>VLOOKUP( T_Aop[[#This Row],[Id]], T_Aop[], ID_Jezik +10, 1)</f>
        <v>10</v>
      </c>
      <c r="F309" s="362" t="str">
        <f>REPT( "  ", T_Aop[[#This Row],[Aop nivo]]) &amp; VLOOKUP( T_Aop[[#This Row],[Id]], T_Aop[], ID_Jezik + 6, 1)</f>
        <v xml:space="preserve">    Prilivi po osnovu lizinga (glavnica)</v>
      </c>
      <c r="G309" s="334" t="s">
        <v>1592</v>
      </c>
      <c r="H309" s="333" t="s">
        <v>1565</v>
      </c>
      <c r="I309" s="350" t="s">
        <v>1791</v>
      </c>
      <c r="J309" s="404" t="s">
        <v>2514</v>
      </c>
      <c r="K309" s="335" t="s">
        <v>339</v>
      </c>
      <c r="L309" s="335">
        <v>10</v>
      </c>
      <c r="M309" s="335" t="s">
        <v>339</v>
      </c>
      <c r="N309" s="366" t="s">
        <v>781</v>
      </c>
      <c r="O309" s="367"/>
      <c r="P309" s="367">
        <v>1</v>
      </c>
    </row>
    <row r="310" spans="1:16" s="380" customFormat="1" ht="12.75" customHeight="1" x14ac:dyDescent="0.2">
      <c r="A310" s="362">
        <f t="shared" si="8"/>
        <v>309</v>
      </c>
      <c r="B310" s="362" t="s">
        <v>133</v>
      </c>
      <c r="C310" s="362">
        <v>2</v>
      </c>
      <c r="D310" s="362">
        <v>526</v>
      </c>
      <c r="E310" s="367" t="str">
        <f>VLOOKUP( T_Aop[[#This Row],[Id]], T_Aop[], ID_Jezik +10, 1)</f>
        <v>11</v>
      </c>
      <c r="F310" s="362" t="str">
        <f>REPT( "  ", T_Aop[[#This Row],[Aop nivo]]) &amp; VLOOKUP( T_Aop[[#This Row],[Id]], T_Aop[], ID_Jezik + 6, 1)</f>
        <v xml:space="preserve">    Prilivi po osnovu lizinga (kamata)</v>
      </c>
      <c r="G310" s="334" t="s">
        <v>1593</v>
      </c>
      <c r="H310" s="333" t="s">
        <v>1566</v>
      </c>
      <c r="I310" s="350" t="s">
        <v>1792</v>
      </c>
      <c r="J310" s="404" t="s">
        <v>2515</v>
      </c>
      <c r="K310" s="335" t="s">
        <v>881</v>
      </c>
      <c r="L310" s="335">
        <v>11</v>
      </c>
      <c r="M310" s="335" t="s">
        <v>881</v>
      </c>
      <c r="N310" s="366" t="s">
        <v>782</v>
      </c>
      <c r="O310" s="367"/>
      <c r="P310" s="367"/>
    </row>
    <row r="311" spans="1:16" s="380" customFormat="1" ht="12.75" customHeight="1" x14ac:dyDescent="0.2">
      <c r="A311" s="362">
        <f t="shared" si="8"/>
        <v>310</v>
      </c>
      <c r="B311" s="362" t="s">
        <v>133</v>
      </c>
      <c r="C311" s="362">
        <v>2</v>
      </c>
      <c r="D311" s="362">
        <v>527</v>
      </c>
      <c r="E311" s="367" t="str">
        <f>VLOOKUP( T_Aop[[#This Row],[Id]], T_Aop[], ID_Jezik +10, 1)</f>
        <v>12</v>
      </c>
      <c r="F311" s="362" t="str">
        <f>REPT( "  ", T_Aop[[#This Row],[Aop nivo]]) &amp; VLOOKUP( T_Aop[[#This Row],[Id]], T_Aop[], ID_Jezik + 6, 1)</f>
        <v xml:space="preserve">    Prilivi po osnovu kamata</v>
      </c>
      <c r="G311" s="334" t="s">
        <v>1594</v>
      </c>
      <c r="H311" s="333" t="s">
        <v>1567</v>
      </c>
      <c r="I311" s="350" t="s">
        <v>1793</v>
      </c>
      <c r="J311" s="404" t="s">
        <v>2516</v>
      </c>
      <c r="K311" s="335" t="s">
        <v>882</v>
      </c>
      <c r="L311" s="335">
        <v>12</v>
      </c>
      <c r="M311" s="335" t="s">
        <v>882</v>
      </c>
      <c r="N311" s="366" t="s">
        <v>783</v>
      </c>
      <c r="O311" s="367"/>
      <c r="P311" s="367"/>
    </row>
    <row r="312" spans="1:16" s="380" customFormat="1" ht="12.75" customHeight="1" x14ac:dyDescent="0.2">
      <c r="A312" s="362">
        <f t="shared" ref="A312:A341" si="9">ROW()-ROW($A$1)</f>
        <v>311</v>
      </c>
      <c r="B312" s="362" t="s">
        <v>133</v>
      </c>
      <c r="C312" s="362">
        <v>2</v>
      </c>
      <c r="D312" s="362">
        <v>528</v>
      </c>
      <c r="E312" s="367" t="str">
        <f>VLOOKUP( T_Aop[[#This Row],[Id]], T_Aop[], ID_Jezik +10, 1)</f>
        <v>13</v>
      </c>
      <c r="F312" s="362" t="str">
        <f>REPT( "  ", T_Aop[[#This Row],[Aop nivo]]) &amp; VLOOKUP( T_Aop[[#This Row],[Id]], T_Aop[], ID_Jezik + 6, 1)</f>
        <v xml:space="preserve">    Prilivi od dividendi i učešća u dobiti</v>
      </c>
      <c r="G312" s="334" t="s">
        <v>1595</v>
      </c>
      <c r="H312" s="333" t="s">
        <v>1568</v>
      </c>
      <c r="I312" s="350" t="s">
        <v>1794</v>
      </c>
      <c r="J312" s="404" t="s">
        <v>2517</v>
      </c>
      <c r="K312" s="335" t="s">
        <v>1531</v>
      </c>
      <c r="L312" s="335">
        <v>13</v>
      </c>
      <c r="M312" s="335" t="s">
        <v>1531</v>
      </c>
      <c r="N312" s="366" t="s">
        <v>784</v>
      </c>
      <c r="O312" s="367"/>
      <c r="P312" s="367"/>
    </row>
    <row r="313" spans="1:16" s="380" customFormat="1" ht="12.75" customHeight="1" x14ac:dyDescent="0.2">
      <c r="A313" s="362">
        <f t="shared" si="9"/>
        <v>312</v>
      </c>
      <c r="B313" s="362" t="s">
        <v>133</v>
      </c>
      <c r="C313" s="362">
        <v>2</v>
      </c>
      <c r="D313" s="362">
        <v>529</v>
      </c>
      <c r="E313" s="367" t="str">
        <f>VLOOKUP( T_Aop[[#This Row],[Id]], T_Aop[], ID_Jezik +10, 1)</f>
        <v>14</v>
      </c>
      <c r="F313" s="362" t="str">
        <f>REPT( "  ", T_Aop[[#This Row],[Aop nivo]]) &amp; VLOOKUP( T_Aop[[#This Row],[Id]], T_Aop[], ID_Jezik + 6, 1)</f>
        <v xml:space="preserve">    Prilivi po osnovu derivatnih finansijskih instrumenata</v>
      </c>
      <c r="G313" s="334" t="s">
        <v>1596</v>
      </c>
      <c r="H313" s="333" t="s">
        <v>1569</v>
      </c>
      <c r="I313" s="334" t="s">
        <v>1795</v>
      </c>
      <c r="J313" s="404" t="s">
        <v>2518</v>
      </c>
      <c r="K313" s="335" t="s">
        <v>1532</v>
      </c>
      <c r="L313" s="335">
        <v>14</v>
      </c>
      <c r="M313" s="335" t="s">
        <v>1532</v>
      </c>
      <c r="N313" s="366" t="s">
        <v>785</v>
      </c>
      <c r="O313" s="367"/>
      <c r="P313" s="367"/>
    </row>
    <row r="314" spans="1:16" s="380" customFormat="1" ht="12.75" customHeight="1" x14ac:dyDescent="0.2">
      <c r="A314" s="362">
        <f t="shared" si="9"/>
        <v>313</v>
      </c>
      <c r="B314" s="362" t="s">
        <v>133</v>
      </c>
      <c r="C314" s="362">
        <v>2</v>
      </c>
      <c r="D314" s="362">
        <v>530</v>
      </c>
      <c r="E314" s="367" t="str">
        <f>VLOOKUP( T_Aop[[#This Row],[Id]], T_Aop[], ID_Jezik +10, 1)</f>
        <v>15</v>
      </c>
      <c r="F314" s="362" t="str">
        <f>REPT( "  ", T_Aop[[#This Row],[Aop nivo]]) &amp; VLOOKUP( T_Aop[[#This Row],[Id]], T_Aop[], ID_Jezik + 6, 1)</f>
        <v xml:space="preserve">    Ostali prilivi iz aktivnosti investiranja</v>
      </c>
      <c r="G314" s="334" t="s">
        <v>1476</v>
      </c>
      <c r="H314" s="333" t="s">
        <v>1437</v>
      </c>
      <c r="I314" s="334" t="s">
        <v>1796</v>
      </c>
      <c r="J314" s="404" t="s">
        <v>2519</v>
      </c>
      <c r="K314" s="335" t="s">
        <v>1533</v>
      </c>
      <c r="L314" s="335">
        <v>15</v>
      </c>
      <c r="M314" s="335" t="s">
        <v>1533</v>
      </c>
      <c r="N314" s="366" t="s">
        <v>2557</v>
      </c>
      <c r="O314" s="367"/>
      <c r="P314" s="367"/>
    </row>
    <row r="315" spans="1:16" s="380" customFormat="1" ht="12.75" customHeight="1" x14ac:dyDescent="0.2">
      <c r="A315" s="362">
        <f t="shared" si="9"/>
        <v>314</v>
      </c>
      <c r="B315" s="362" t="s">
        <v>133</v>
      </c>
      <c r="C315" s="362">
        <v>1</v>
      </c>
      <c r="D315" s="362">
        <v>531</v>
      </c>
      <c r="E315" s="367" t="str">
        <f>VLOOKUP( T_Aop[[#This Row],[Id]], T_Aop[], ID_Jezik +10, 1)</f>
        <v>II</v>
      </c>
      <c r="F315" s="362" t="str">
        <f>REPT( "  ", T_Aop[[#This Row],[Aop nivo]]) &amp; VLOOKUP( T_Aop[[#This Row],[Id]], T_Aop[], ID_Jezik + 6, 1)</f>
        <v xml:space="preserve">  Odlivi gotovine iz aktivnosti investiranja (532 do 541)</v>
      </c>
      <c r="G315" s="334" t="s">
        <v>1477</v>
      </c>
      <c r="H315" s="333" t="s">
        <v>1438</v>
      </c>
      <c r="I315" s="334" t="s">
        <v>1797</v>
      </c>
      <c r="J315" s="404" t="s">
        <v>2520</v>
      </c>
      <c r="K315" s="335" t="s">
        <v>1515</v>
      </c>
      <c r="L315" s="335" t="s">
        <v>1515</v>
      </c>
      <c r="M315" s="335" t="s">
        <v>1515</v>
      </c>
      <c r="N315" s="366" t="s">
        <v>1515</v>
      </c>
      <c r="O315" s="367"/>
      <c r="P315" s="367"/>
    </row>
    <row r="316" spans="1:16" s="380" customFormat="1" ht="12.75" customHeight="1" x14ac:dyDescent="0.2">
      <c r="A316" s="362">
        <f t="shared" si="9"/>
        <v>315</v>
      </c>
      <c r="B316" s="362" t="s">
        <v>133</v>
      </c>
      <c r="C316" s="362">
        <v>2</v>
      </c>
      <c r="D316" s="362">
        <v>532</v>
      </c>
      <c r="E316" s="367" t="str">
        <f>VLOOKUP( T_Aop[[#This Row],[Id]], T_Aop[], ID_Jezik +10, 1)</f>
        <v>1</v>
      </c>
      <c r="F316" s="362" t="str">
        <f>REPT( "  ", T_Aop[[#This Row],[Aop nivo]]) &amp; VLOOKUP( T_Aop[[#This Row],[Id]], T_Aop[], ID_Jezik + 6, 1)</f>
        <v xml:space="preserve">    Odlivi gotovine po osnovu kupovine akcija i udjela zavisnih i pridruženih društava i zajedničkih poduhvata</v>
      </c>
      <c r="G316" s="334" t="s">
        <v>1478</v>
      </c>
      <c r="H316" s="333" t="s">
        <v>1439</v>
      </c>
      <c r="I316" s="350" t="s">
        <v>1798</v>
      </c>
      <c r="J316" s="404" t="s">
        <v>2521</v>
      </c>
      <c r="K316" s="335" t="s">
        <v>823</v>
      </c>
      <c r="L316" s="335">
        <v>1</v>
      </c>
      <c r="M316" s="335" t="s">
        <v>823</v>
      </c>
      <c r="N316" s="366" t="s">
        <v>772</v>
      </c>
      <c r="O316" s="367"/>
      <c r="P316" s="367"/>
    </row>
    <row r="317" spans="1:16" s="380" customFormat="1" ht="12.75" customHeight="1" x14ac:dyDescent="0.2">
      <c r="A317" s="362">
        <f t="shared" si="9"/>
        <v>316</v>
      </c>
      <c r="B317" s="362" t="s">
        <v>133</v>
      </c>
      <c r="C317" s="362">
        <v>2</v>
      </c>
      <c r="D317" s="362">
        <v>533</v>
      </c>
      <c r="E317" s="367" t="str">
        <f>VLOOKUP( T_Aop[[#This Row],[Id]], T_Aop[], ID_Jezik +10, 1)</f>
        <v>2</v>
      </c>
      <c r="F317" s="362" t="str">
        <f>REPT( "  ", T_Aop[[#This Row],[Aop nivo]]) &amp; VLOOKUP( T_Aop[[#This Row],[Id]], T_Aop[], ID_Jezik + 6, 1)</f>
        <v xml:space="preserve">    Odlivi po osnovu kupovine nekretnina, postrojenja i opreme</v>
      </c>
      <c r="G317" s="334" t="s">
        <v>1479</v>
      </c>
      <c r="H317" s="333" t="s">
        <v>1440</v>
      </c>
      <c r="I317" s="334" t="s">
        <v>1799</v>
      </c>
      <c r="J317" s="404" t="s">
        <v>2522</v>
      </c>
      <c r="K317" s="335" t="s">
        <v>1529</v>
      </c>
      <c r="L317" s="335">
        <v>2</v>
      </c>
      <c r="M317" s="335" t="s">
        <v>1529</v>
      </c>
      <c r="N317" s="366" t="s">
        <v>773</v>
      </c>
      <c r="O317" s="367"/>
      <c r="P317" s="367"/>
    </row>
    <row r="318" spans="1:16" s="380" customFormat="1" ht="12.75" customHeight="1" x14ac:dyDescent="0.2">
      <c r="A318" s="362">
        <f t="shared" si="9"/>
        <v>317</v>
      </c>
      <c r="B318" s="362" t="s">
        <v>133</v>
      </c>
      <c r="C318" s="362">
        <v>2</v>
      </c>
      <c r="D318" s="362">
        <v>534</v>
      </c>
      <c r="E318" s="367" t="str">
        <f>VLOOKUP( T_Aop[[#This Row],[Id]], T_Aop[], ID_Jezik +10, 1)</f>
        <v>3</v>
      </c>
      <c r="F318" s="362" t="str">
        <f>REPT( "  ", T_Aop[[#This Row],[Aop nivo]]) &amp; VLOOKUP( T_Aop[[#This Row],[Id]], T_Aop[], ID_Jezik + 6, 1)</f>
        <v xml:space="preserve">    Odlivi po osnovu kupovine investicionih nekretnina</v>
      </c>
      <c r="G318" s="334" t="s">
        <v>1480</v>
      </c>
      <c r="H318" s="333" t="s">
        <v>1441</v>
      </c>
      <c r="I318" s="334" t="s">
        <v>1800</v>
      </c>
      <c r="J318" s="404" t="s">
        <v>2523</v>
      </c>
      <c r="K318" s="335" t="s">
        <v>304</v>
      </c>
      <c r="L318" s="335">
        <v>3</v>
      </c>
      <c r="M318" s="335" t="s">
        <v>304</v>
      </c>
      <c r="N318" s="366" t="s">
        <v>774</v>
      </c>
      <c r="O318" s="367"/>
      <c r="P318" s="367"/>
    </row>
    <row r="319" spans="1:16" s="380" customFormat="1" ht="12.75" customHeight="1" x14ac:dyDescent="0.2">
      <c r="A319" s="362">
        <f t="shared" si="9"/>
        <v>318</v>
      </c>
      <c r="B319" s="362" t="s">
        <v>133</v>
      </c>
      <c r="C319" s="362">
        <v>2</v>
      </c>
      <c r="D319" s="362">
        <v>535</v>
      </c>
      <c r="E319" s="367" t="str">
        <f>VLOOKUP( T_Aop[[#This Row],[Id]], T_Aop[], ID_Jezik +10, 1)</f>
        <v>4</v>
      </c>
      <c r="F319" s="362" t="str">
        <f>REPT( "  ", T_Aop[[#This Row],[Aop nivo]]) &amp; VLOOKUP( T_Aop[[#This Row],[Id]], T_Aop[], ID_Jezik + 6, 1)</f>
        <v xml:space="preserve">    Odlivi po osnovu kupovine bioloških sredstava</v>
      </c>
      <c r="G319" s="334" t="s">
        <v>1481</v>
      </c>
      <c r="H319" s="333" t="s">
        <v>1442</v>
      </c>
      <c r="I319" s="334" t="s">
        <v>1801</v>
      </c>
      <c r="J319" s="404" t="s">
        <v>2524</v>
      </c>
      <c r="K319" s="335" t="s">
        <v>333</v>
      </c>
      <c r="L319" s="335">
        <v>4</v>
      </c>
      <c r="M319" s="335" t="s">
        <v>333</v>
      </c>
      <c r="N319" s="366" t="s">
        <v>775</v>
      </c>
      <c r="O319" s="367"/>
      <c r="P319" s="367"/>
    </row>
    <row r="320" spans="1:16" s="380" customFormat="1" ht="12.75" customHeight="1" x14ac:dyDescent="0.2">
      <c r="A320" s="362">
        <f t="shared" si="9"/>
        <v>319</v>
      </c>
      <c r="B320" s="362" t="s">
        <v>133</v>
      </c>
      <c r="C320" s="362">
        <v>2</v>
      </c>
      <c r="D320" s="362">
        <v>536</v>
      </c>
      <c r="E320" s="367" t="str">
        <f>VLOOKUP( T_Aop[[#This Row],[Id]], T_Aop[], ID_Jezik +10, 1)</f>
        <v>5</v>
      </c>
      <c r="F320" s="362" t="str">
        <f>REPT( "  ", T_Aop[[#This Row],[Aop nivo]]) &amp; VLOOKUP( T_Aop[[#This Row],[Id]], T_Aop[], ID_Jezik + 6, 1)</f>
        <v xml:space="preserve">    Odlivi po osnovu kupovine nematerijalnih sredstava</v>
      </c>
      <c r="G320" s="334" t="s">
        <v>1482</v>
      </c>
      <c r="H320" s="333" t="s">
        <v>1443</v>
      </c>
      <c r="I320" s="334" t="s">
        <v>1802</v>
      </c>
      <c r="J320" s="404" t="s">
        <v>2525</v>
      </c>
      <c r="K320" s="335" t="s">
        <v>334</v>
      </c>
      <c r="L320" s="335">
        <v>5</v>
      </c>
      <c r="M320" s="335" t="s">
        <v>334</v>
      </c>
      <c r="N320" s="366" t="s">
        <v>776</v>
      </c>
      <c r="O320" s="367"/>
      <c r="P320" s="367"/>
    </row>
    <row r="321" spans="1:16" s="380" customFormat="1" ht="12.75" customHeight="1" x14ac:dyDescent="0.2">
      <c r="A321" s="362">
        <f t="shared" si="9"/>
        <v>320</v>
      </c>
      <c r="B321" s="362" t="s">
        <v>133</v>
      </c>
      <c r="C321" s="362">
        <v>2</v>
      </c>
      <c r="D321" s="362">
        <v>537</v>
      </c>
      <c r="E321" s="367" t="str">
        <f>VLOOKUP( T_Aop[[#This Row],[Id]], T_Aop[], ID_Jezik +10, 1)</f>
        <v>6</v>
      </c>
      <c r="F321" s="362" t="str">
        <f>REPT( "  ", T_Aop[[#This Row],[Aop nivo]]) &amp; VLOOKUP( T_Aop[[#This Row],[Id]], T_Aop[], ID_Jezik + 6, 1)</f>
        <v xml:space="preserve">    Odlivi po osnovu finansijskih sredstava po fer vrijednosti kroz ostali ukupni rezultat</v>
      </c>
      <c r="G321" s="334" t="s">
        <v>1483</v>
      </c>
      <c r="H321" s="333" t="s">
        <v>1444</v>
      </c>
      <c r="I321" s="334" t="s">
        <v>1803</v>
      </c>
      <c r="J321" s="404" t="s">
        <v>2526</v>
      </c>
      <c r="K321" s="335" t="s">
        <v>335</v>
      </c>
      <c r="L321" s="335">
        <v>6</v>
      </c>
      <c r="M321" s="335" t="s">
        <v>335</v>
      </c>
      <c r="N321" s="366" t="s">
        <v>777</v>
      </c>
      <c r="O321" s="367"/>
      <c r="P321" s="367"/>
    </row>
    <row r="322" spans="1:16" s="380" customFormat="1" ht="12.75" customHeight="1" x14ac:dyDescent="0.2">
      <c r="A322" s="362">
        <f t="shared" si="9"/>
        <v>321</v>
      </c>
      <c r="B322" s="362" t="s">
        <v>133</v>
      </c>
      <c r="C322" s="362">
        <v>2</v>
      </c>
      <c r="D322" s="362">
        <v>538</v>
      </c>
      <c r="E322" s="367" t="str">
        <f>VLOOKUP( T_Aop[[#This Row],[Id]], T_Aop[], ID_Jezik +10, 1)</f>
        <v>7</v>
      </c>
      <c r="F322" s="362" t="str">
        <f>REPT( "  ", T_Aop[[#This Row],[Aop nivo]]) &amp; VLOOKUP( T_Aop[[#This Row],[Id]], T_Aop[], ID_Jezik + 6, 1)</f>
        <v xml:space="preserve">    Odlivi po osnovu finansijskih sredstva po fer vrijednosti kroz bilans uspjeha</v>
      </c>
      <c r="G322" s="334" t="s">
        <v>1484</v>
      </c>
      <c r="H322" s="333" t="s">
        <v>1445</v>
      </c>
      <c r="I322" s="334" t="s">
        <v>1804</v>
      </c>
      <c r="J322" s="404" t="s">
        <v>2527</v>
      </c>
      <c r="K322" s="335" t="s">
        <v>336</v>
      </c>
      <c r="L322" s="335">
        <v>7</v>
      </c>
      <c r="M322" s="335" t="s">
        <v>336</v>
      </c>
      <c r="N322" s="366" t="s">
        <v>778</v>
      </c>
      <c r="O322" s="367"/>
      <c r="P322" s="367"/>
    </row>
    <row r="323" spans="1:16" s="380" customFormat="1" ht="12.75" customHeight="1" x14ac:dyDescent="0.2">
      <c r="A323" s="362">
        <f t="shared" si="9"/>
        <v>322</v>
      </c>
      <c r="B323" s="362" t="s">
        <v>133</v>
      </c>
      <c r="C323" s="362">
        <v>2</v>
      </c>
      <c r="D323" s="362">
        <v>539</v>
      </c>
      <c r="E323" s="367" t="str">
        <f>VLOOKUP( T_Aop[[#This Row],[Id]], T_Aop[], ID_Jezik +10, 1)</f>
        <v>8</v>
      </c>
      <c r="F323" s="362" t="str">
        <f>REPT( "  ", T_Aop[[#This Row],[Aop nivo]]) &amp; VLOOKUP( T_Aop[[#This Row],[Id]], T_Aop[], ID_Jezik + 6, 1)</f>
        <v xml:space="preserve">    Odlivi po osnovu ostalih finansijskih sredstava po amortizovanoj vrijednosti</v>
      </c>
      <c r="G323" s="334" t="s">
        <v>1485</v>
      </c>
      <c r="H323" s="333" t="s">
        <v>1446</v>
      </c>
      <c r="I323" s="334" t="s">
        <v>1805</v>
      </c>
      <c r="J323" s="404" t="s">
        <v>2528</v>
      </c>
      <c r="K323" s="335" t="s">
        <v>337</v>
      </c>
      <c r="L323" s="335">
        <v>8</v>
      </c>
      <c r="M323" s="335" t="s">
        <v>337</v>
      </c>
      <c r="N323" s="366" t="s">
        <v>779</v>
      </c>
      <c r="O323" s="367"/>
      <c r="P323" s="367"/>
    </row>
    <row r="324" spans="1:16" s="380" customFormat="1" ht="12.75" customHeight="1" x14ac:dyDescent="0.2">
      <c r="A324" s="362">
        <f t="shared" si="9"/>
        <v>323</v>
      </c>
      <c r="B324" s="362" t="s">
        <v>133</v>
      </c>
      <c r="C324" s="362">
        <v>2</v>
      </c>
      <c r="D324" s="362">
        <v>540</v>
      </c>
      <c r="E324" s="367" t="str">
        <f>VLOOKUP( T_Aop[[#This Row],[Id]], T_Aop[], ID_Jezik +10, 1)</f>
        <v>9</v>
      </c>
      <c r="F324" s="362" t="str">
        <f>REPT( "  ", T_Aop[[#This Row],[Aop nivo]]) &amp; VLOOKUP( T_Aop[[#This Row],[Id]], T_Aop[], ID_Jezik + 6, 1)</f>
        <v xml:space="preserve">    Odlivi po osnovu derivatnih finansijskih instrumenata</v>
      </c>
      <c r="G324" s="334" t="s">
        <v>1486</v>
      </c>
      <c r="H324" s="333" t="s">
        <v>1447</v>
      </c>
      <c r="I324" s="334" t="s">
        <v>1806</v>
      </c>
      <c r="J324" s="404" t="s">
        <v>2529</v>
      </c>
      <c r="K324" s="335" t="s">
        <v>338</v>
      </c>
      <c r="L324" s="335">
        <v>9</v>
      </c>
      <c r="M324" s="335" t="s">
        <v>338</v>
      </c>
      <c r="N324" s="366" t="s">
        <v>780</v>
      </c>
      <c r="O324" s="367"/>
      <c r="P324" s="367"/>
    </row>
    <row r="325" spans="1:16" s="380" customFormat="1" ht="12.75" customHeight="1" x14ac:dyDescent="0.2">
      <c r="A325" s="362">
        <f t="shared" ref="A325:A337" si="10">ROW()-ROW($A$1)</f>
        <v>324</v>
      </c>
      <c r="B325" s="362" t="s">
        <v>133</v>
      </c>
      <c r="C325" s="362">
        <v>2</v>
      </c>
      <c r="D325" s="362">
        <v>541</v>
      </c>
      <c r="E325" s="367" t="str">
        <f>VLOOKUP( T_Aop[[#This Row],[Id]], T_Aop[], ID_Jezik +10, 1)</f>
        <v>10</v>
      </c>
      <c r="F325" s="362" t="str">
        <f>REPT( "  ", T_Aop[[#This Row],[Aop nivo]]) &amp; VLOOKUP( T_Aop[[#This Row],[Id]], T_Aop[], ID_Jezik + 6, 1)</f>
        <v xml:space="preserve">    Ostali odlivi iz aktivnosti investiranja</v>
      </c>
      <c r="G325" s="334" t="s">
        <v>1487</v>
      </c>
      <c r="H325" s="333" t="s">
        <v>1448</v>
      </c>
      <c r="I325" s="334" t="s">
        <v>1807</v>
      </c>
      <c r="J325" s="404" t="s">
        <v>2530</v>
      </c>
      <c r="K325" s="335" t="s">
        <v>339</v>
      </c>
      <c r="L325" s="335">
        <v>10</v>
      </c>
      <c r="M325" s="335" t="s">
        <v>339</v>
      </c>
      <c r="N325" s="366" t="s">
        <v>781</v>
      </c>
      <c r="O325" s="367"/>
      <c r="P325" s="367"/>
    </row>
    <row r="326" spans="1:16" s="380" customFormat="1" ht="12.75" customHeight="1" x14ac:dyDescent="0.2">
      <c r="A326" s="362">
        <f t="shared" si="10"/>
        <v>325</v>
      </c>
      <c r="B326" s="362" t="s">
        <v>133</v>
      </c>
      <c r="C326" s="362">
        <v>1</v>
      </c>
      <c r="D326" s="362">
        <v>542</v>
      </c>
      <c r="E326" s="367" t="str">
        <f>VLOOKUP( T_Aop[[#This Row],[Id]], T_Aop[], ID_Jezik +10, 1)</f>
        <v>III</v>
      </c>
      <c r="F326" s="362" t="str">
        <f>REPT( "  ", T_Aop[[#This Row],[Aop nivo]]) &amp; VLOOKUP( T_Aop[[#This Row],[Id]], T_Aop[], ID_Jezik + 6, 1)</f>
        <v xml:space="preserve">  Neto priliv gotovine iz aktivnosti investiranja (515-531)</v>
      </c>
      <c r="G326" s="334" t="s">
        <v>1488</v>
      </c>
      <c r="H326" s="333" t="s">
        <v>1449</v>
      </c>
      <c r="I326" s="334" t="s">
        <v>1808</v>
      </c>
      <c r="J326" s="404" t="s">
        <v>2531</v>
      </c>
      <c r="K326" s="335" t="s">
        <v>1516</v>
      </c>
      <c r="L326" s="335" t="s">
        <v>1516</v>
      </c>
      <c r="M326" s="335" t="s">
        <v>1516</v>
      </c>
      <c r="N326" s="366" t="s">
        <v>1516</v>
      </c>
      <c r="O326" s="367">
        <v>1</v>
      </c>
      <c r="P326" s="367"/>
    </row>
    <row r="327" spans="1:16" s="380" customFormat="1" ht="12.75" customHeight="1" x14ac:dyDescent="0.2">
      <c r="A327" s="362">
        <f t="shared" si="10"/>
        <v>326</v>
      </c>
      <c r="B327" s="362" t="s">
        <v>133</v>
      </c>
      <c r="C327" s="362">
        <v>1</v>
      </c>
      <c r="D327" s="362">
        <v>543</v>
      </c>
      <c r="E327" s="367" t="str">
        <f>VLOOKUP( T_Aop[[#This Row],[Id]], T_Aop[], ID_Jezik +10, 1)</f>
        <v>IV</v>
      </c>
      <c r="F327" s="362" t="str">
        <f>REPT( "  ", T_Aop[[#This Row],[Aop nivo]]) &amp; VLOOKUP( T_Aop[[#This Row],[Id]], T_Aop[], ID_Jezik + 6, 1)</f>
        <v xml:space="preserve">  Neto odliv gotovine iz aktivnosti investiranja (531 – 515)</v>
      </c>
      <c r="G327" s="334" t="s">
        <v>1489</v>
      </c>
      <c r="H327" s="333" t="s">
        <v>1450</v>
      </c>
      <c r="I327" s="334" t="s">
        <v>1809</v>
      </c>
      <c r="J327" s="404" t="s">
        <v>2532</v>
      </c>
      <c r="K327" s="335" t="s">
        <v>1517</v>
      </c>
      <c r="L327" s="335" t="s">
        <v>1517</v>
      </c>
      <c r="M327" s="335" t="s">
        <v>1517</v>
      </c>
      <c r="N327" s="366" t="s">
        <v>1517</v>
      </c>
      <c r="O327" s="367">
        <v>1</v>
      </c>
      <c r="P327" s="367"/>
    </row>
    <row r="328" spans="1:16" s="380" customFormat="1" ht="25.5" customHeight="1" x14ac:dyDescent="0.2">
      <c r="A328" s="362">
        <f t="shared" si="10"/>
        <v>327</v>
      </c>
      <c r="B328" s="362" t="s">
        <v>133</v>
      </c>
      <c r="C328" s="362">
        <v>0</v>
      </c>
      <c r="D328" s="362">
        <v>544</v>
      </c>
      <c r="E328" s="367" t="str">
        <f>VLOOKUP( T_Aop[[#This Row],[Id]], T_Aop[], ID_Jezik +10, 1)</f>
        <v>B_x000D_
I</v>
      </c>
      <c r="F328" s="390" t="str">
        <f>REPT( "  ", T_Aop[[#This Row],[Aop nivo]]) &amp; VLOOKUP( T_Aop[[#This Row],[Id]], T_Aop[], ID_Jezik + 6, 1)</f>
        <v>TOKOVI GOTOVINE IZ AKTIVNOSTI FINANSIRANJA
Prilivi gotovine iz aktivnosti finansiranja (545 do 550)</v>
      </c>
      <c r="G328" s="512" t="s">
        <v>3034</v>
      </c>
      <c r="H328" s="333" t="s">
        <v>1451</v>
      </c>
      <c r="I328" s="365" t="s">
        <v>3026</v>
      </c>
      <c r="J328" s="404" t="s">
        <v>2610</v>
      </c>
      <c r="K328" s="335" t="s">
        <v>1530</v>
      </c>
      <c r="L328" s="335" t="s">
        <v>1519</v>
      </c>
      <c r="M328" s="335" t="s">
        <v>1530</v>
      </c>
      <c r="N328" s="366" t="s">
        <v>2560</v>
      </c>
      <c r="O328" s="367">
        <v>1</v>
      </c>
      <c r="P328" s="367"/>
    </row>
    <row r="329" spans="1:16" s="380" customFormat="1" ht="12.75" customHeight="1" x14ac:dyDescent="0.2">
      <c r="A329" s="362">
        <f t="shared" si="10"/>
        <v>328</v>
      </c>
      <c r="B329" s="362" t="s">
        <v>133</v>
      </c>
      <c r="C329" s="362">
        <v>2</v>
      </c>
      <c r="D329" s="362">
        <v>545</v>
      </c>
      <c r="E329" s="367" t="str">
        <f>VLOOKUP( T_Aop[[#This Row],[Id]], T_Aop[], ID_Jezik +10, 1)</f>
        <v>1</v>
      </c>
      <c r="F329" s="362" t="str">
        <f>REPT( "  ", T_Aop[[#This Row],[Aop nivo]]) &amp; VLOOKUP( T_Aop[[#This Row],[Id]], T_Aop[], ID_Jezik + 6, 1)</f>
        <v xml:space="preserve">    Prilivi po osnovu povećanja osnovnog kapitala</v>
      </c>
      <c r="G329" s="334" t="s">
        <v>1490</v>
      </c>
      <c r="H329" s="333" t="s">
        <v>1452</v>
      </c>
      <c r="I329" s="334" t="s">
        <v>1810</v>
      </c>
      <c r="J329" s="404" t="s">
        <v>2533</v>
      </c>
      <c r="K329" s="335" t="s">
        <v>823</v>
      </c>
      <c r="L329" s="335">
        <v>1</v>
      </c>
      <c r="M329" s="335" t="s">
        <v>823</v>
      </c>
      <c r="N329" s="366" t="s">
        <v>772</v>
      </c>
      <c r="O329" s="367"/>
      <c r="P329" s="367"/>
    </row>
    <row r="330" spans="1:16" s="380" customFormat="1" ht="12.75" customHeight="1" x14ac:dyDescent="0.2">
      <c r="A330" s="362">
        <f t="shared" si="10"/>
        <v>329</v>
      </c>
      <c r="B330" s="362" t="s">
        <v>133</v>
      </c>
      <c r="C330" s="362">
        <v>2</v>
      </c>
      <c r="D330" s="362">
        <v>546</v>
      </c>
      <c r="E330" s="367" t="str">
        <f>VLOOKUP( T_Aop[[#This Row],[Id]], T_Aop[], ID_Jezik +10, 1)</f>
        <v>2</v>
      </c>
      <c r="F330" s="362" t="str">
        <f>REPT( "  ", T_Aop[[#This Row],[Aop nivo]]) &amp; VLOOKUP( T_Aop[[#This Row],[Id]], T_Aop[], ID_Jezik + 6, 1)</f>
        <v xml:space="preserve">    Prilivi od prodaje otkupljenih sopstvenih akcija</v>
      </c>
      <c r="G330" s="334" t="s">
        <v>1491</v>
      </c>
      <c r="H330" s="333" t="s">
        <v>1453</v>
      </c>
      <c r="I330" s="350" t="s">
        <v>1811</v>
      </c>
      <c r="J330" s="404" t="s">
        <v>2534</v>
      </c>
      <c r="K330" s="335" t="s">
        <v>1529</v>
      </c>
      <c r="L330" s="335">
        <v>2</v>
      </c>
      <c r="M330" s="335" t="s">
        <v>1529</v>
      </c>
      <c r="N330" s="366" t="s">
        <v>773</v>
      </c>
      <c r="O330" s="367"/>
      <c r="P330" s="367"/>
    </row>
    <row r="331" spans="1:16" s="380" customFormat="1" ht="12.75" customHeight="1" x14ac:dyDescent="0.2">
      <c r="A331" s="362">
        <f t="shared" si="10"/>
        <v>330</v>
      </c>
      <c r="B331" s="362" t="s">
        <v>133</v>
      </c>
      <c r="C331" s="362">
        <v>2</v>
      </c>
      <c r="D331" s="362">
        <v>547</v>
      </c>
      <c r="E331" s="367" t="str">
        <f>VLOOKUP( T_Aop[[#This Row],[Id]], T_Aop[], ID_Jezik +10, 1)</f>
        <v>3</v>
      </c>
      <c r="F331" s="362" t="str">
        <f>REPT( "  ", T_Aop[[#This Row],[Aop nivo]]) &amp; VLOOKUP( T_Aop[[#This Row],[Id]], T_Aop[], ID_Jezik + 6, 1)</f>
        <v xml:space="preserve">    Prilivi po osnovu dugoročnih kredita</v>
      </c>
      <c r="G331" s="334" t="s">
        <v>1492</v>
      </c>
      <c r="H331" s="333" t="s">
        <v>1454</v>
      </c>
      <c r="I331" s="334" t="s">
        <v>1812</v>
      </c>
      <c r="J331" s="404" t="s">
        <v>2535</v>
      </c>
      <c r="K331" s="335" t="s">
        <v>304</v>
      </c>
      <c r="L331" s="335">
        <v>3</v>
      </c>
      <c r="M331" s="335" t="s">
        <v>304</v>
      </c>
      <c r="N331" s="366" t="s">
        <v>774</v>
      </c>
      <c r="O331" s="367"/>
      <c r="P331" s="367"/>
    </row>
    <row r="332" spans="1:16" s="380" customFormat="1" ht="12.75" customHeight="1" x14ac:dyDescent="0.2">
      <c r="A332" s="362">
        <f t="shared" si="10"/>
        <v>331</v>
      </c>
      <c r="B332" s="362" t="s">
        <v>133</v>
      </c>
      <c r="C332" s="362">
        <v>2</v>
      </c>
      <c r="D332" s="362">
        <v>548</v>
      </c>
      <c r="E332" s="367" t="str">
        <f>VLOOKUP( T_Aop[[#This Row],[Id]], T_Aop[], ID_Jezik +10, 1)</f>
        <v>4</v>
      </c>
      <c r="F332" s="362" t="str">
        <f>REPT( "  ", T_Aop[[#This Row],[Aop nivo]]) &amp; VLOOKUP( T_Aop[[#This Row],[Id]], T_Aop[], ID_Jezik + 6, 1)</f>
        <v xml:space="preserve">    Prilivi po osnovu kratkoročnih kredita</v>
      </c>
      <c r="G332" s="334" t="s">
        <v>1493</v>
      </c>
      <c r="H332" s="333" t="s">
        <v>1455</v>
      </c>
      <c r="I332" s="334" t="s">
        <v>1813</v>
      </c>
      <c r="J332" s="404" t="s">
        <v>2536</v>
      </c>
      <c r="K332" s="335" t="s">
        <v>333</v>
      </c>
      <c r="L332" s="335">
        <v>4</v>
      </c>
      <c r="M332" s="335" t="s">
        <v>333</v>
      </c>
      <c r="N332" s="366" t="s">
        <v>775</v>
      </c>
      <c r="O332" s="367"/>
      <c r="P332" s="367"/>
    </row>
    <row r="333" spans="1:16" s="380" customFormat="1" ht="12.75" customHeight="1" x14ac:dyDescent="0.2">
      <c r="A333" s="362">
        <f t="shared" si="10"/>
        <v>332</v>
      </c>
      <c r="B333" s="362" t="s">
        <v>133</v>
      </c>
      <c r="C333" s="362">
        <v>2</v>
      </c>
      <c r="D333" s="362">
        <v>549</v>
      </c>
      <c r="E333" s="367" t="str">
        <f>VLOOKUP( T_Aop[[#This Row],[Id]], T_Aop[], ID_Jezik +10, 1)</f>
        <v>5</v>
      </c>
      <c r="F333" s="362" t="str">
        <f>REPT( "  ", T_Aop[[#This Row],[Aop nivo]]) &amp; VLOOKUP( T_Aop[[#This Row],[Id]], T_Aop[], ID_Jezik + 6, 1)</f>
        <v xml:space="preserve">    Prilivi po osnovu izdatih dužničkih instrumenta</v>
      </c>
      <c r="G333" s="334" t="s">
        <v>1494</v>
      </c>
      <c r="H333" s="333" t="s">
        <v>1456</v>
      </c>
      <c r="I333" s="334" t="s">
        <v>1814</v>
      </c>
      <c r="J333" s="404" t="s">
        <v>2537</v>
      </c>
      <c r="K333" s="335" t="s">
        <v>334</v>
      </c>
      <c r="L333" s="335">
        <v>5</v>
      </c>
      <c r="M333" s="335" t="s">
        <v>334</v>
      </c>
      <c r="N333" s="366" t="s">
        <v>776</v>
      </c>
      <c r="O333" s="367"/>
      <c r="P333" s="367"/>
    </row>
    <row r="334" spans="1:16" s="380" customFormat="1" ht="12.75" customHeight="1" x14ac:dyDescent="0.2">
      <c r="A334" s="362">
        <f t="shared" si="10"/>
        <v>333</v>
      </c>
      <c r="B334" s="362" t="s">
        <v>133</v>
      </c>
      <c r="C334" s="362">
        <v>2</v>
      </c>
      <c r="D334" s="362">
        <v>550</v>
      </c>
      <c r="E334" s="367" t="str">
        <f>VLOOKUP( T_Aop[[#This Row],[Id]], T_Aop[], ID_Jezik +10, 1)</f>
        <v>6</v>
      </c>
      <c r="F334" s="362" t="str">
        <f>REPT( "  ", T_Aop[[#This Row],[Aop nivo]]) &amp; VLOOKUP( T_Aop[[#This Row],[Id]], T_Aop[], ID_Jezik + 6, 1)</f>
        <v xml:space="preserve">    Ostali prilivi iz aktivnosti finansiranja </v>
      </c>
      <c r="G334" s="334" t="s">
        <v>1495</v>
      </c>
      <c r="H334" s="333" t="s">
        <v>1457</v>
      </c>
      <c r="I334" s="334" t="s">
        <v>1815</v>
      </c>
      <c r="J334" s="404" t="s">
        <v>2538</v>
      </c>
      <c r="K334" s="335" t="s">
        <v>335</v>
      </c>
      <c r="L334" s="335">
        <v>6</v>
      </c>
      <c r="M334" s="335" t="s">
        <v>335</v>
      </c>
      <c r="N334" s="366" t="s">
        <v>777</v>
      </c>
      <c r="O334" s="367"/>
      <c r="P334" s="367"/>
    </row>
    <row r="335" spans="1:16" s="380" customFormat="1" ht="12.75" customHeight="1" x14ac:dyDescent="0.2">
      <c r="A335" s="362">
        <f t="shared" si="10"/>
        <v>334</v>
      </c>
      <c r="B335" s="362" t="s">
        <v>133</v>
      </c>
      <c r="C335" s="362">
        <v>2</v>
      </c>
      <c r="D335" s="362">
        <v>551</v>
      </c>
      <c r="E335" s="367" t="str">
        <f>VLOOKUP( T_Aop[[#This Row],[Id]], T_Aop[], ID_Jezik +10, 1)</f>
        <v>II</v>
      </c>
      <c r="F335" s="362" t="str">
        <f>REPT( "  ", T_Aop[[#This Row],[Aop nivo]]) &amp; VLOOKUP( T_Aop[[#This Row],[Id]], T_Aop[], ID_Jezik + 6, 1)</f>
        <v xml:space="preserve">    Odlivi gotovine iz aktivnosti finansiranja (552 do 558)</v>
      </c>
      <c r="G335" s="334" t="s">
        <v>1496</v>
      </c>
      <c r="H335" s="333" t="s">
        <v>1458</v>
      </c>
      <c r="I335" s="334" t="s">
        <v>1816</v>
      </c>
      <c r="J335" s="404" t="s">
        <v>2539</v>
      </c>
      <c r="K335" s="335" t="s">
        <v>1515</v>
      </c>
      <c r="L335" s="335" t="s">
        <v>1515</v>
      </c>
      <c r="M335" s="335" t="s">
        <v>1515</v>
      </c>
      <c r="N335" s="366" t="s">
        <v>1515</v>
      </c>
      <c r="O335" s="367"/>
      <c r="P335" s="367"/>
    </row>
    <row r="336" spans="1:16" s="380" customFormat="1" ht="12.75" customHeight="1" x14ac:dyDescent="0.2">
      <c r="A336" s="362">
        <f t="shared" si="10"/>
        <v>335</v>
      </c>
      <c r="B336" s="362" t="s">
        <v>133</v>
      </c>
      <c r="C336" s="362">
        <v>2</v>
      </c>
      <c r="D336" s="362">
        <v>552</v>
      </c>
      <c r="E336" s="367" t="str">
        <f>VLOOKUP( T_Aop[[#This Row],[Id]], T_Aop[], ID_Jezik +10, 1)</f>
        <v>1</v>
      </c>
      <c r="F336" s="362" t="str">
        <f>REPT( "  ", T_Aop[[#This Row],[Aop nivo]]) &amp; VLOOKUP( T_Aop[[#This Row],[Id]], T_Aop[], ID_Jezik + 6, 1)</f>
        <v xml:space="preserve">    Odlivi po osnovu otkupa sopstvenih akcija i udjela</v>
      </c>
      <c r="G336" s="334" t="s">
        <v>1497</v>
      </c>
      <c r="H336" s="333" t="s">
        <v>1459</v>
      </c>
      <c r="I336" s="334" t="s">
        <v>1817</v>
      </c>
      <c r="J336" s="404" t="s">
        <v>2540</v>
      </c>
      <c r="K336" s="335" t="s">
        <v>823</v>
      </c>
      <c r="L336" s="335">
        <v>1</v>
      </c>
      <c r="M336" s="335" t="s">
        <v>823</v>
      </c>
      <c r="N336" s="366" t="s">
        <v>772</v>
      </c>
      <c r="O336" s="367"/>
      <c r="P336" s="367"/>
    </row>
    <row r="337" spans="1:16" s="380" customFormat="1" ht="12.75" customHeight="1" x14ac:dyDescent="0.2">
      <c r="A337" s="362">
        <f t="shared" si="10"/>
        <v>336</v>
      </c>
      <c r="B337" s="362" t="s">
        <v>133</v>
      </c>
      <c r="C337" s="362">
        <v>2</v>
      </c>
      <c r="D337" s="362">
        <v>553</v>
      </c>
      <c r="E337" s="367" t="str">
        <f>VLOOKUP( T_Aop[[#This Row],[Id]], T_Aop[], ID_Jezik +10, 1)</f>
        <v>2</v>
      </c>
      <c r="F337" s="362" t="str">
        <f>REPT( "  ", T_Aop[[#This Row],[Aop nivo]]) &amp; VLOOKUP( T_Aop[[#This Row],[Id]], T_Aop[], ID_Jezik + 6, 1)</f>
        <v xml:space="preserve">    Odlivi po osnovu dugoročnih kredita </v>
      </c>
      <c r="G337" s="334" t="s">
        <v>1498</v>
      </c>
      <c r="H337" s="333" t="s">
        <v>1460</v>
      </c>
      <c r="I337" s="334" t="s">
        <v>1818</v>
      </c>
      <c r="J337" s="404" t="s">
        <v>2541</v>
      </c>
      <c r="K337" s="335" t="s">
        <v>1529</v>
      </c>
      <c r="L337" s="335">
        <v>2</v>
      </c>
      <c r="M337" s="335" t="s">
        <v>1529</v>
      </c>
      <c r="N337" s="366" t="s">
        <v>773</v>
      </c>
      <c r="O337" s="367"/>
      <c r="P337" s="367"/>
    </row>
    <row r="338" spans="1:16" s="380" customFormat="1" ht="12.75" customHeight="1" x14ac:dyDescent="0.2">
      <c r="A338" s="362">
        <f t="shared" si="9"/>
        <v>337</v>
      </c>
      <c r="B338" s="362" t="s">
        <v>133</v>
      </c>
      <c r="C338" s="362">
        <v>2</v>
      </c>
      <c r="D338" s="362">
        <v>554</v>
      </c>
      <c r="E338" s="367" t="str">
        <f>VLOOKUP( T_Aop[[#This Row],[Id]], T_Aop[], ID_Jezik +10, 1)</f>
        <v>3</v>
      </c>
      <c r="F338" s="362" t="str">
        <f>REPT( "  ", T_Aop[[#This Row],[Aop nivo]]) &amp; VLOOKUP( T_Aop[[#This Row],[Id]], T_Aop[], ID_Jezik + 6, 1)</f>
        <v xml:space="preserve">    Odlivi po osnovu kratkoročnih kredita </v>
      </c>
      <c r="G338" s="334" t="s">
        <v>1499</v>
      </c>
      <c r="H338" s="333" t="s">
        <v>1461</v>
      </c>
      <c r="I338" s="334" t="s">
        <v>1819</v>
      </c>
      <c r="J338" s="404" t="s">
        <v>2542</v>
      </c>
      <c r="K338" s="335" t="s">
        <v>304</v>
      </c>
      <c r="L338" s="335">
        <v>3</v>
      </c>
      <c r="M338" s="335" t="s">
        <v>304</v>
      </c>
      <c r="N338" s="366" t="s">
        <v>774</v>
      </c>
      <c r="O338" s="367"/>
      <c r="P338" s="367"/>
    </row>
    <row r="339" spans="1:16" s="380" customFormat="1" ht="12.75" customHeight="1" x14ac:dyDescent="0.2">
      <c r="A339" s="362">
        <f t="shared" si="9"/>
        <v>338</v>
      </c>
      <c r="B339" s="362" t="s">
        <v>133</v>
      </c>
      <c r="C339" s="362">
        <v>2</v>
      </c>
      <c r="D339" s="362">
        <v>555</v>
      </c>
      <c r="E339" s="367" t="str">
        <f>VLOOKUP( T_Aop[[#This Row],[Id]], T_Aop[], ID_Jezik +10, 1)</f>
        <v>4</v>
      </c>
      <c r="F339" s="362" t="str">
        <f>REPT( "  ", T_Aop[[#This Row],[Aop nivo]]) &amp; VLOOKUP( T_Aop[[#This Row],[Id]], T_Aop[], ID_Jezik + 6, 1)</f>
        <v xml:space="preserve">    Odlivi po osnovu lizinga </v>
      </c>
      <c r="G339" s="334" t="s">
        <v>1500</v>
      </c>
      <c r="H339" s="333" t="s">
        <v>1462</v>
      </c>
      <c r="I339" s="334" t="s">
        <v>1820</v>
      </c>
      <c r="J339" s="404" t="s">
        <v>2543</v>
      </c>
      <c r="K339" s="335" t="s">
        <v>333</v>
      </c>
      <c r="L339" s="335">
        <v>4</v>
      </c>
      <c r="M339" s="335" t="s">
        <v>333</v>
      </c>
      <c r="N339" s="366" t="s">
        <v>775</v>
      </c>
      <c r="O339" s="367"/>
      <c r="P339" s="367"/>
    </row>
    <row r="340" spans="1:16" s="380" customFormat="1" ht="12.75" customHeight="1" x14ac:dyDescent="0.2">
      <c r="A340" s="362">
        <f t="shared" si="9"/>
        <v>339</v>
      </c>
      <c r="B340" s="362" t="s">
        <v>133</v>
      </c>
      <c r="C340" s="362">
        <v>2</v>
      </c>
      <c r="D340" s="362">
        <v>556</v>
      </c>
      <c r="E340" s="367" t="str">
        <f>VLOOKUP( T_Aop[[#This Row],[Id]], T_Aop[], ID_Jezik +10, 1)</f>
        <v>5</v>
      </c>
      <c r="F340" s="362" t="str">
        <f>REPT( "  ", T_Aop[[#This Row],[Aop nivo]]) &amp; VLOOKUP( T_Aop[[#This Row],[Id]], T_Aop[], ID_Jezik + 6, 1)</f>
        <v xml:space="preserve">    Odlivi po osnovu dužničkih instrumenata</v>
      </c>
      <c r="G340" s="334" t="s">
        <v>1501</v>
      </c>
      <c r="H340" s="333" t="s">
        <v>1463</v>
      </c>
      <c r="I340" s="334" t="s">
        <v>1821</v>
      </c>
      <c r="J340" s="404" t="s">
        <v>2544</v>
      </c>
      <c r="K340" s="335" t="s">
        <v>334</v>
      </c>
      <c r="L340" s="335">
        <v>5</v>
      </c>
      <c r="M340" s="335" t="s">
        <v>334</v>
      </c>
      <c r="N340" s="366" t="s">
        <v>776</v>
      </c>
      <c r="O340" s="367"/>
      <c r="P340" s="367"/>
    </row>
    <row r="341" spans="1:16" s="380" customFormat="1" ht="12.75" customHeight="1" x14ac:dyDescent="0.2">
      <c r="A341" s="362">
        <f t="shared" si="9"/>
        <v>340</v>
      </c>
      <c r="B341" s="362" t="s">
        <v>133</v>
      </c>
      <c r="C341" s="362">
        <v>2</v>
      </c>
      <c r="D341" s="362">
        <v>557</v>
      </c>
      <c r="E341" s="367" t="str">
        <f>VLOOKUP( T_Aop[[#This Row],[Id]], T_Aop[], ID_Jezik +10, 1)</f>
        <v>6</v>
      </c>
      <c r="F341" s="362" t="str">
        <f>REPT( "  ", T_Aop[[#This Row],[Aop nivo]]) &amp; VLOOKUP( T_Aop[[#This Row],[Id]], T_Aop[], ID_Jezik + 6, 1)</f>
        <v xml:space="preserve">    Odlivi po osnovu isplaćenih dividendi</v>
      </c>
      <c r="G341" s="334" t="s">
        <v>1502</v>
      </c>
      <c r="H341" s="333" t="s">
        <v>1464</v>
      </c>
      <c r="I341" s="334" t="s">
        <v>1822</v>
      </c>
      <c r="J341" s="404" t="s">
        <v>2545</v>
      </c>
      <c r="K341" s="335" t="s">
        <v>335</v>
      </c>
      <c r="L341" s="335">
        <v>6</v>
      </c>
      <c r="M341" s="335" t="s">
        <v>335</v>
      </c>
      <c r="N341" s="366" t="s">
        <v>777</v>
      </c>
      <c r="O341" s="367"/>
      <c r="P341" s="367"/>
    </row>
    <row r="342" spans="1:16" s="380" customFormat="1" ht="12.75" customHeight="1" x14ac:dyDescent="0.2">
      <c r="A342" s="362">
        <f t="shared" ref="A342:A352" si="11">ROW()-ROW($A$1)</f>
        <v>341</v>
      </c>
      <c r="B342" s="362" t="s">
        <v>133</v>
      </c>
      <c r="C342" s="362">
        <v>2</v>
      </c>
      <c r="D342" s="362">
        <v>558</v>
      </c>
      <c r="E342" s="367" t="str">
        <f>VLOOKUP( T_Aop[[#This Row],[Id]], T_Aop[], ID_Jezik +10, 1)</f>
        <v>7</v>
      </c>
      <c r="F342" s="362" t="str">
        <f>REPT( "  ", T_Aop[[#This Row],[Aop nivo]]) &amp; VLOOKUP( T_Aop[[#This Row],[Id]], T_Aop[], ID_Jezik + 6, 1)</f>
        <v xml:space="preserve">    Ostali odlivi iz aktivnosti finansiranja</v>
      </c>
      <c r="G342" s="334" t="s">
        <v>1503</v>
      </c>
      <c r="H342" s="333" t="s">
        <v>1465</v>
      </c>
      <c r="I342" s="334" t="s">
        <v>1823</v>
      </c>
      <c r="J342" s="404" t="s">
        <v>2546</v>
      </c>
      <c r="K342" s="335" t="s">
        <v>336</v>
      </c>
      <c r="L342" s="335">
        <v>7</v>
      </c>
      <c r="M342" s="335" t="s">
        <v>336</v>
      </c>
      <c r="N342" s="366" t="s">
        <v>778</v>
      </c>
      <c r="O342" s="367"/>
      <c r="P342" s="367"/>
    </row>
    <row r="343" spans="1:16" s="380" customFormat="1" ht="12.75" customHeight="1" x14ac:dyDescent="0.2">
      <c r="A343" s="362">
        <f t="shared" si="11"/>
        <v>342</v>
      </c>
      <c r="B343" s="362" t="s">
        <v>133</v>
      </c>
      <c r="C343" s="362">
        <v>1</v>
      </c>
      <c r="D343" s="362">
        <v>559</v>
      </c>
      <c r="E343" s="367" t="str">
        <f>VLOOKUP( T_Aop[[#This Row],[Id]], T_Aop[], ID_Jezik +10, 1)</f>
        <v>III</v>
      </c>
      <c r="F343" s="362" t="str">
        <f>REPT( "  ", T_Aop[[#This Row],[Aop nivo]]) &amp; VLOOKUP( T_Aop[[#This Row],[Id]], T_Aop[], ID_Jezik + 6, 1)</f>
        <v xml:space="preserve">  Neto priliv gotovine iz aktivnosti finansiranja (544 – 551)</v>
      </c>
      <c r="G343" s="334" t="s">
        <v>1504</v>
      </c>
      <c r="H343" s="333" t="s">
        <v>1466</v>
      </c>
      <c r="I343" s="334" t="s">
        <v>2870</v>
      </c>
      <c r="J343" s="404" t="s">
        <v>2547</v>
      </c>
      <c r="K343" s="335" t="s">
        <v>1516</v>
      </c>
      <c r="L343" s="335" t="s">
        <v>1516</v>
      </c>
      <c r="M343" s="335" t="s">
        <v>1516</v>
      </c>
      <c r="N343" s="366" t="s">
        <v>1516</v>
      </c>
      <c r="O343" s="367">
        <v>1</v>
      </c>
      <c r="P343" s="367"/>
    </row>
    <row r="344" spans="1:16" s="380" customFormat="1" ht="12.75" customHeight="1" x14ac:dyDescent="0.2">
      <c r="A344" s="362">
        <f t="shared" si="11"/>
        <v>343</v>
      </c>
      <c r="B344" s="362" t="s">
        <v>133</v>
      </c>
      <c r="C344" s="362">
        <v>1</v>
      </c>
      <c r="D344" s="362">
        <v>560</v>
      </c>
      <c r="E344" s="367" t="str">
        <f>VLOOKUP( T_Aop[[#This Row],[Id]], T_Aop[], ID_Jezik +10, 1)</f>
        <v>IV</v>
      </c>
      <c r="F344" s="362" t="str">
        <f>REPT( "  ", T_Aop[[#This Row],[Aop nivo]]) &amp; VLOOKUP( T_Aop[[#This Row],[Id]], T_Aop[], ID_Jezik + 6, 1)</f>
        <v xml:space="preserve">  Neto odliv gotovine iz aktivnosti finansiranja (551 – 544) </v>
      </c>
      <c r="G344" s="334" t="s">
        <v>1505</v>
      </c>
      <c r="H344" s="333" t="s">
        <v>1467</v>
      </c>
      <c r="I344" s="334" t="s">
        <v>1824</v>
      </c>
      <c r="J344" s="404" t="s">
        <v>2548</v>
      </c>
      <c r="K344" s="335" t="s">
        <v>1517</v>
      </c>
      <c r="L344" s="335" t="s">
        <v>1517</v>
      </c>
      <c r="M344" s="335" t="s">
        <v>1517</v>
      </c>
      <c r="N344" s="366" t="s">
        <v>1517</v>
      </c>
      <c r="O344" s="367">
        <v>1</v>
      </c>
      <c r="P344" s="367"/>
    </row>
    <row r="345" spans="1:16" s="380" customFormat="1" ht="12.75" customHeight="1" x14ac:dyDescent="0.2">
      <c r="A345" s="362">
        <f t="shared" si="11"/>
        <v>344</v>
      </c>
      <c r="B345" s="362" t="s">
        <v>133</v>
      </c>
      <c r="C345" s="362">
        <v>0</v>
      </c>
      <c r="D345" s="362">
        <v>561</v>
      </c>
      <c r="E345" s="367" t="str">
        <f>VLOOKUP( T_Aop[[#This Row],[Id]], T_Aop[], ID_Jezik +10, 1)</f>
        <v>G</v>
      </c>
      <c r="F345" s="390" t="str">
        <f>REPT( "  ", T_Aop[[#This Row],[Aop nivo]]) &amp; VLOOKUP( T_Aop[[#This Row],[Id]], T_Aop[], ID_Jezik + 6, 1)</f>
        <v>UKUPNI PRILIVI GOTOVINE (501 + 515 + 544)</v>
      </c>
      <c r="G345" s="513" t="s">
        <v>1506</v>
      </c>
      <c r="H345" s="333" t="s">
        <v>1468</v>
      </c>
      <c r="I345" s="334" t="s">
        <v>1825</v>
      </c>
      <c r="J345" s="404" t="s">
        <v>2549</v>
      </c>
      <c r="K345" s="335" t="s">
        <v>1534</v>
      </c>
      <c r="L345" s="335" t="s">
        <v>1520</v>
      </c>
      <c r="M345" s="335" t="s">
        <v>1534</v>
      </c>
      <c r="N345" s="366" t="s">
        <v>1520</v>
      </c>
      <c r="O345" s="367">
        <v>1</v>
      </c>
      <c r="P345" s="367"/>
    </row>
    <row r="346" spans="1:16" s="380" customFormat="1" ht="12.75" customHeight="1" x14ac:dyDescent="0.2">
      <c r="A346" s="362">
        <f t="shared" si="11"/>
        <v>345</v>
      </c>
      <c r="B346" s="362" t="s">
        <v>133</v>
      </c>
      <c r="C346" s="362">
        <v>0</v>
      </c>
      <c r="D346" s="362">
        <v>562</v>
      </c>
      <c r="E346" s="367" t="str">
        <f>VLOOKUP( T_Aop[[#This Row],[Id]], T_Aop[], ID_Jezik +10, 1)</f>
        <v>D</v>
      </c>
      <c r="F346" s="390" t="str">
        <f>REPT( "  ", T_Aop[[#This Row],[Aop nivo]]) &amp; VLOOKUP( T_Aop[[#This Row],[Id]], T_Aop[], ID_Jezik + 6, 1)</f>
        <v>UKUPNI ODLIVI GOTOVINE (506 + 531 + 551)</v>
      </c>
      <c r="G346" s="513" t="s">
        <v>1507</v>
      </c>
      <c r="H346" s="333" t="s">
        <v>1469</v>
      </c>
      <c r="I346" s="334" t="s">
        <v>1826</v>
      </c>
      <c r="J346" s="404" t="s">
        <v>2550</v>
      </c>
      <c r="K346" s="335" t="s">
        <v>1535</v>
      </c>
      <c r="L346" s="335" t="s">
        <v>1521</v>
      </c>
      <c r="M346" s="335" t="s">
        <v>1535</v>
      </c>
      <c r="N346" s="366" t="s">
        <v>1521</v>
      </c>
      <c r="O346" s="367">
        <v>1</v>
      </c>
      <c r="P346" s="367"/>
    </row>
    <row r="347" spans="1:16" s="380" customFormat="1" ht="12.75" customHeight="1" x14ac:dyDescent="0.2">
      <c r="A347" s="362">
        <f t="shared" si="11"/>
        <v>346</v>
      </c>
      <c r="B347" s="362" t="s">
        <v>133</v>
      </c>
      <c r="C347" s="362">
        <v>0</v>
      </c>
      <c r="D347" s="362">
        <v>563</v>
      </c>
      <c r="E347" s="367" t="str">
        <f>VLOOKUP( T_Aop[[#This Row],[Id]], T_Aop[], ID_Jezik +10, 1)</f>
        <v>Đ</v>
      </c>
      <c r="F347" s="390" t="str">
        <f>REPT( "  ", T_Aop[[#This Row],[Aop nivo]]) &amp; VLOOKUP( T_Aop[[#This Row],[Id]], T_Aop[], ID_Jezik + 6, 1)</f>
        <v>NETO PRILIV GOTOVINE (561 – 562)</v>
      </c>
      <c r="G347" s="513" t="s">
        <v>1508</v>
      </c>
      <c r="H347" s="333" t="s">
        <v>1470</v>
      </c>
      <c r="I347" s="334" t="s">
        <v>1827</v>
      </c>
      <c r="J347" s="404" t="s">
        <v>2551</v>
      </c>
      <c r="K347" s="335" t="s">
        <v>1536</v>
      </c>
      <c r="L347" s="335" t="s">
        <v>1522</v>
      </c>
      <c r="M347" s="335" t="s">
        <v>1536</v>
      </c>
      <c r="N347" s="366" t="s">
        <v>1522</v>
      </c>
      <c r="O347" s="367">
        <v>1</v>
      </c>
      <c r="P347" s="367"/>
    </row>
    <row r="348" spans="1:16" s="380" customFormat="1" ht="12.75" customHeight="1" x14ac:dyDescent="0.2">
      <c r="A348" s="362">
        <f t="shared" si="11"/>
        <v>347</v>
      </c>
      <c r="B348" s="362" t="s">
        <v>133</v>
      </c>
      <c r="C348" s="362">
        <v>0</v>
      </c>
      <c r="D348" s="362">
        <v>564</v>
      </c>
      <c r="E348" s="367" t="str">
        <f>VLOOKUP( T_Aop[[#This Row],[Id]], T_Aop[], ID_Jezik +10, 1)</f>
        <v>E</v>
      </c>
      <c r="F348" s="390" t="str">
        <f>REPT( "  ", T_Aop[[#This Row],[Aop nivo]]) &amp; VLOOKUP( T_Aop[[#This Row],[Id]], T_Aop[], ID_Jezik + 6, 1)</f>
        <v>NETO ODLIV GOTOVINE (562 – 561)</v>
      </c>
      <c r="G348" s="513" t="s">
        <v>1509</v>
      </c>
      <c r="H348" s="333" t="s">
        <v>1471</v>
      </c>
      <c r="I348" s="334" t="s">
        <v>1828</v>
      </c>
      <c r="J348" s="404" t="s">
        <v>2552</v>
      </c>
      <c r="K348" s="335" t="s">
        <v>1537</v>
      </c>
      <c r="L348" s="335" t="s">
        <v>1523</v>
      </c>
      <c r="M348" s="335" t="s">
        <v>1537</v>
      </c>
      <c r="N348" s="366" t="s">
        <v>1523</v>
      </c>
      <c r="O348" s="367">
        <v>1</v>
      </c>
      <c r="P348" s="367"/>
    </row>
    <row r="349" spans="1:16" s="380" customFormat="1" ht="12.75" customHeight="1" x14ac:dyDescent="0.2">
      <c r="A349" s="362">
        <f t="shared" si="11"/>
        <v>348</v>
      </c>
      <c r="B349" s="362" t="s">
        <v>133</v>
      </c>
      <c r="C349" s="362">
        <v>0</v>
      </c>
      <c r="D349" s="362">
        <v>565</v>
      </c>
      <c r="E349" s="367" t="str">
        <f>VLOOKUP( T_Aop[[#This Row],[Id]], T_Aop[], ID_Jezik +10, 1)</f>
        <v>Ž</v>
      </c>
      <c r="F349" s="390" t="str">
        <f>REPT( "  ", T_Aop[[#This Row],[Aop nivo]]) &amp; VLOOKUP( T_Aop[[#This Row],[Id]], T_Aop[], ID_Jezik + 6, 1)</f>
        <v xml:space="preserve">GOTOVINA NA POČETKU OBRAČUNSKOG PERIODA </v>
      </c>
      <c r="G349" s="513" t="s">
        <v>1510</v>
      </c>
      <c r="H349" s="333" t="s">
        <v>1472</v>
      </c>
      <c r="I349" s="334" t="s">
        <v>1829</v>
      </c>
      <c r="J349" s="404" t="s">
        <v>2553</v>
      </c>
      <c r="K349" s="335" t="s">
        <v>1538</v>
      </c>
      <c r="L349" s="335" t="s">
        <v>1524</v>
      </c>
      <c r="M349" s="335" t="s">
        <v>1538</v>
      </c>
      <c r="N349" s="366" t="s">
        <v>1524</v>
      </c>
      <c r="O349" s="367">
        <v>1</v>
      </c>
      <c r="P349" s="367"/>
    </row>
    <row r="350" spans="1:16" s="380" customFormat="1" ht="12.75" customHeight="1" x14ac:dyDescent="0.2">
      <c r="A350" s="362">
        <f t="shared" si="11"/>
        <v>349</v>
      </c>
      <c r="B350" s="362" t="s">
        <v>133</v>
      </c>
      <c r="C350" s="362">
        <v>0</v>
      </c>
      <c r="D350" s="362">
        <v>566</v>
      </c>
      <c r="E350" s="367" t="str">
        <f>VLOOKUP( T_Aop[[#This Row],[Id]], T_Aop[], ID_Jezik +10, 1)</f>
        <v>Z</v>
      </c>
      <c r="F350" s="390" t="str">
        <f>REPT( "  ", T_Aop[[#This Row],[Aop nivo]]) &amp; VLOOKUP( T_Aop[[#This Row],[Id]], T_Aop[], ID_Jezik + 6, 1)</f>
        <v>POZITIVNE KURSNE RAZLIKE PO OSNOVU PRERAČUNA GOTOVINE</v>
      </c>
      <c r="G350" s="513" t="s">
        <v>1511</v>
      </c>
      <c r="H350" s="333" t="s">
        <v>1473</v>
      </c>
      <c r="I350" s="334" t="s">
        <v>1830</v>
      </c>
      <c r="J350" s="404" t="s">
        <v>2554</v>
      </c>
      <c r="K350" s="335" t="s">
        <v>1539</v>
      </c>
      <c r="L350" s="335" t="s">
        <v>1525</v>
      </c>
      <c r="M350" s="335" t="s">
        <v>1539</v>
      </c>
      <c r="N350" s="366" t="s">
        <v>1525</v>
      </c>
      <c r="O350" s="367">
        <v>1</v>
      </c>
      <c r="P350" s="367"/>
    </row>
    <row r="351" spans="1:16" s="380" customFormat="1" ht="12.75" customHeight="1" x14ac:dyDescent="0.2">
      <c r="A351" s="362">
        <f t="shared" si="11"/>
        <v>350</v>
      </c>
      <c r="B351" s="362" t="s">
        <v>133</v>
      </c>
      <c r="C351" s="362">
        <v>0</v>
      </c>
      <c r="D351" s="362">
        <v>567</v>
      </c>
      <c r="E351" s="367" t="str">
        <f>VLOOKUP( T_Aop[[#This Row],[Id]], T_Aop[], ID_Jezik +10, 1)</f>
        <v>I</v>
      </c>
      <c r="F351" s="390" t="str">
        <f>REPT( "  ", T_Aop[[#This Row],[Aop nivo]]) &amp; VLOOKUP( T_Aop[[#This Row],[Id]], T_Aop[], ID_Jezik + 6, 1)</f>
        <v>NEGATIVNE KURSNE RAZLIKE PO OSNOVU PRERAČUNA GOTOVINE</v>
      </c>
      <c r="G351" s="513" t="s">
        <v>1512</v>
      </c>
      <c r="H351" s="333" t="s">
        <v>1474</v>
      </c>
      <c r="I351" s="334" t="s">
        <v>1831</v>
      </c>
      <c r="J351" s="404" t="s">
        <v>2555</v>
      </c>
      <c r="K351" s="335" t="s">
        <v>1540</v>
      </c>
      <c r="L351" s="335" t="s">
        <v>1526</v>
      </c>
      <c r="M351" s="335" t="s">
        <v>1540</v>
      </c>
      <c r="N351" s="366" t="s">
        <v>1526</v>
      </c>
      <c r="O351" s="367">
        <v>1</v>
      </c>
      <c r="P351" s="367"/>
    </row>
    <row r="352" spans="1:16" s="380" customFormat="1" ht="12.75" customHeight="1" x14ac:dyDescent="0.2">
      <c r="A352" s="370">
        <f t="shared" si="11"/>
        <v>351</v>
      </c>
      <c r="B352" s="370" t="s">
        <v>133</v>
      </c>
      <c r="C352" s="370">
        <v>0</v>
      </c>
      <c r="D352" s="370">
        <v>568</v>
      </c>
      <c r="E352" s="371" t="str">
        <f>VLOOKUP( T_Aop[[#This Row],[Id]], T_Aop[], ID_Jezik +10, 1)</f>
        <v>J</v>
      </c>
      <c r="F352" s="391" t="str">
        <f>REPT( "  ", T_Aop[[#This Row],[Aop nivo]]) &amp; VLOOKUP( T_Aop[[#This Row],[Id]], T_Aop[], ID_Jezik + 6, 1)</f>
        <v>GOTOVINA NA KRAJU OBRAČUNSKOG PERIODA (565 + 563 – 564 + 566 – 567)</v>
      </c>
      <c r="G352" s="514" t="s">
        <v>1513</v>
      </c>
      <c r="H352" s="372" t="s">
        <v>1475</v>
      </c>
      <c r="I352" s="334" t="s">
        <v>1832</v>
      </c>
      <c r="J352" s="404" t="s">
        <v>2556</v>
      </c>
      <c r="K352" s="373" t="s">
        <v>1541</v>
      </c>
      <c r="L352" s="373" t="s">
        <v>1527</v>
      </c>
      <c r="M352" s="373" t="s">
        <v>1541</v>
      </c>
      <c r="N352" s="366" t="s">
        <v>1527</v>
      </c>
      <c r="O352" s="371">
        <v>1</v>
      </c>
      <c r="P352" s="371"/>
    </row>
    <row r="353" spans="1:16" ht="25.5" x14ac:dyDescent="0.2">
      <c r="A353">
        <f t="shared" ref="A353:A415" si="12">ROW()-ROW($A$1)</f>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309" t="s">
        <v>537</v>
      </c>
      <c r="H353" s="307" t="s">
        <v>538</v>
      </c>
      <c r="I353" s="307" t="s">
        <v>539</v>
      </c>
      <c r="J353" s="407" t="s">
        <v>2715</v>
      </c>
      <c r="K353" s="313" t="s">
        <v>791</v>
      </c>
      <c r="L353" s="313" t="s">
        <v>791</v>
      </c>
      <c r="M353" s="313" t="s">
        <v>791</v>
      </c>
      <c r="N353" s="353">
        <v>10</v>
      </c>
      <c r="O353" s="10"/>
      <c r="P353" s="10"/>
    </row>
    <row r="354" spans="1:16" ht="14.25" customHeight="1" x14ac:dyDescent="0.2">
      <c r="A354">
        <f t="shared" si="12"/>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309" t="s">
        <v>540</v>
      </c>
      <c r="H354" s="307" t="s">
        <v>541</v>
      </c>
      <c r="I354" s="307" t="s">
        <v>542</v>
      </c>
      <c r="J354" s="408" t="s">
        <v>2716</v>
      </c>
      <c r="K354" s="313" t="s">
        <v>703</v>
      </c>
      <c r="L354" s="324" t="s">
        <v>704</v>
      </c>
      <c r="M354" s="313" t="s">
        <v>705</v>
      </c>
      <c r="N354" s="354" t="s">
        <v>2772</v>
      </c>
      <c r="O354" s="10"/>
      <c r="P354" s="10">
        <v>1</v>
      </c>
    </row>
    <row r="355" spans="1:16" ht="14.25" customHeight="1" x14ac:dyDescent="0.2">
      <c r="A355">
        <f t="shared" si="12"/>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309" t="s">
        <v>543</v>
      </c>
      <c r="H355" s="307" t="s">
        <v>544</v>
      </c>
      <c r="I355" s="307" t="s">
        <v>545</v>
      </c>
      <c r="J355" s="407" t="s">
        <v>2717</v>
      </c>
      <c r="K355" s="313" t="s">
        <v>706</v>
      </c>
      <c r="L355" s="324" t="s">
        <v>707</v>
      </c>
      <c r="M355" s="313" t="s">
        <v>708</v>
      </c>
      <c r="N355" s="67" t="s">
        <v>2773</v>
      </c>
      <c r="O355" s="10"/>
      <c r="P355" s="10">
        <v>1</v>
      </c>
    </row>
    <row r="356" spans="1:16" ht="14.25" customHeight="1" x14ac:dyDescent="0.2">
      <c r="A356">
        <f t="shared" si="12"/>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309" t="s">
        <v>546</v>
      </c>
      <c r="H356" s="307" t="s">
        <v>547</v>
      </c>
      <c r="I356" s="307" t="s">
        <v>548</v>
      </c>
      <c r="J356" s="408" t="s">
        <v>2718</v>
      </c>
      <c r="K356" s="313" t="s">
        <v>709</v>
      </c>
      <c r="L356" s="313" t="s">
        <v>710</v>
      </c>
      <c r="M356" s="313" t="s">
        <v>711</v>
      </c>
      <c r="N356" s="354" t="s">
        <v>2774</v>
      </c>
      <c r="O356" s="10"/>
      <c r="P356" s="10">
        <v>1</v>
      </c>
    </row>
    <row r="357" spans="1:16" ht="14.25" customHeight="1" x14ac:dyDescent="0.2">
      <c r="A357">
        <f t="shared" si="12"/>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309" t="s">
        <v>549</v>
      </c>
      <c r="H357" s="307" t="s">
        <v>550</v>
      </c>
      <c r="I357" s="307" t="s">
        <v>551</v>
      </c>
      <c r="J357" s="407" t="s">
        <v>2719</v>
      </c>
      <c r="K357" s="313" t="s">
        <v>712</v>
      </c>
      <c r="L357" s="313" t="s">
        <v>713</v>
      </c>
      <c r="M357" s="313" t="s">
        <v>714</v>
      </c>
      <c r="N357" s="67" t="s">
        <v>2775</v>
      </c>
      <c r="O357" s="10"/>
      <c r="P357" s="10">
        <v>1</v>
      </c>
    </row>
    <row r="358" spans="1:16" ht="14.25" customHeight="1" x14ac:dyDescent="0.2">
      <c r="A358">
        <f t="shared" si="12"/>
        <v>357</v>
      </c>
      <c r="B358" t="s">
        <v>134</v>
      </c>
      <c r="C358">
        <v>0</v>
      </c>
      <c r="D358">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309" t="s">
        <v>552</v>
      </c>
      <c r="H358" s="307" t="s">
        <v>553</v>
      </c>
      <c r="I358" s="307" t="s">
        <v>554</v>
      </c>
      <c r="J358" s="407" t="s">
        <v>2720</v>
      </c>
      <c r="K358" s="313" t="s">
        <v>715</v>
      </c>
      <c r="L358" s="324" t="s">
        <v>716</v>
      </c>
      <c r="M358" s="313" t="s">
        <v>717</v>
      </c>
      <c r="N358" s="354" t="s">
        <v>2776</v>
      </c>
      <c r="O358" s="10"/>
      <c r="P358" s="10">
        <v>1</v>
      </c>
    </row>
    <row r="359" spans="1:16" ht="14.25" customHeight="1" x14ac:dyDescent="0.2">
      <c r="A359">
        <f t="shared" si="12"/>
        <v>358</v>
      </c>
      <c r="B359" t="s">
        <v>134</v>
      </c>
      <c r="C359">
        <v>0</v>
      </c>
      <c r="D359">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309" t="s">
        <v>555</v>
      </c>
      <c r="H359" s="307" t="s">
        <v>556</v>
      </c>
      <c r="I359" s="307" t="s">
        <v>557</v>
      </c>
      <c r="J359" s="407" t="s">
        <v>2721</v>
      </c>
      <c r="K359" s="313" t="s">
        <v>718</v>
      </c>
      <c r="L359" s="324" t="s">
        <v>719</v>
      </c>
      <c r="M359" s="313" t="s">
        <v>720</v>
      </c>
      <c r="N359" s="67" t="s">
        <v>2777</v>
      </c>
      <c r="O359" s="10"/>
      <c r="P359" s="10">
        <v>1</v>
      </c>
    </row>
    <row r="360" spans="1:16" ht="14.25" customHeight="1" x14ac:dyDescent="0.2">
      <c r="A360">
        <f t="shared" si="12"/>
        <v>359</v>
      </c>
      <c r="B360" t="s">
        <v>134</v>
      </c>
      <c r="C360">
        <v>0</v>
      </c>
      <c r="D360">
        <v>608</v>
      </c>
      <c r="E360" s="2" t="str">
        <f>VLOOKUP( T_Aop[[#This Row],[Id]], T_Aop[], ID_Jezik +10, 1)</f>
        <v>601, dio 600</v>
      </c>
      <c r="F360" t="str">
        <f>REPT( "  ", T_Aop[[#This Row],[Aop nivo]]) &amp; VLOOKUP( T_Aop[[#This Row],[Id]], T_Aop[], ID_Jezik + 6, 1)</f>
        <v>Prihodi od prodaje robe u Republici Srpskoj i prihodi od prodaje robe povezanim pravnim licima u RS</v>
      </c>
      <c r="G360" s="309" t="s">
        <v>558</v>
      </c>
      <c r="H360" s="307" t="s">
        <v>559</v>
      </c>
      <c r="I360" s="307" t="s">
        <v>560</v>
      </c>
      <c r="J360" s="408" t="s">
        <v>2722</v>
      </c>
      <c r="K360" s="313" t="s">
        <v>721</v>
      </c>
      <c r="L360" s="324" t="s">
        <v>722</v>
      </c>
      <c r="M360" s="313" t="s">
        <v>723</v>
      </c>
      <c r="N360" s="354" t="s">
        <v>2778</v>
      </c>
      <c r="O360" s="10"/>
      <c r="P360" s="10">
        <v>1</v>
      </c>
    </row>
    <row r="361" spans="1:16" ht="14.25" customHeight="1" x14ac:dyDescent="0.2">
      <c r="A361">
        <f t="shared" si="12"/>
        <v>360</v>
      </c>
      <c r="B361" t="s">
        <v>134</v>
      </c>
      <c r="C361">
        <v>0</v>
      </c>
      <c r="D361">
        <v>609</v>
      </c>
      <c r="E361" s="2" t="str">
        <f>VLOOKUP( T_Aop[[#This Row],[Id]], T_Aop[], ID_Jezik +10, 1)</f>
        <v>602, dio 600</v>
      </c>
      <c r="F361" t="str">
        <f>REPT( "  ", T_Aop[[#This Row],[Aop nivo]]) &amp; VLOOKUP( T_Aop[[#This Row],[Id]], T_Aop[], ID_Jezik + 6, 1)</f>
        <v>Prihodi od prodaje robe u Federaciji BiH i prihodi od prodaje robe povezanim pravnim licima u FBiH</v>
      </c>
      <c r="G361" s="309" t="s">
        <v>561</v>
      </c>
      <c r="H361" s="307" t="s">
        <v>562</v>
      </c>
      <c r="I361" s="307" t="s">
        <v>563</v>
      </c>
      <c r="J361" s="409" t="s">
        <v>2723</v>
      </c>
      <c r="K361" s="313" t="s">
        <v>724</v>
      </c>
      <c r="L361" s="324" t="s">
        <v>725</v>
      </c>
      <c r="M361" s="313" t="s">
        <v>726</v>
      </c>
      <c r="N361" s="67" t="s">
        <v>2779</v>
      </c>
      <c r="O361" s="10"/>
      <c r="P361" s="10">
        <v>1</v>
      </c>
    </row>
    <row r="362" spans="1:16" ht="14.25" customHeight="1" x14ac:dyDescent="0.2">
      <c r="A362">
        <f t="shared" si="12"/>
        <v>361</v>
      </c>
      <c r="B362" t="s">
        <v>134</v>
      </c>
      <c r="C362">
        <v>0</v>
      </c>
      <c r="D362">
        <v>610</v>
      </c>
      <c r="E362" s="2" t="str">
        <f>VLOOKUP( T_Aop[[#This Row],[Id]], T_Aop[], ID_Jezik +10, 1)</f>
        <v>603, dio 600</v>
      </c>
      <c r="F362" t="str">
        <f>REPT( "  ", T_Aop[[#This Row],[Aop nivo]]) &amp; VLOOKUP( T_Aop[[#This Row],[Id]], T_Aop[], ID_Jezik + 6, 1)</f>
        <v>Prihodi od prodaje robe u Brčko Distriktu BiH i prihodi od prodaje robe povezanim pravnim licima u BD</v>
      </c>
      <c r="G362" s="309" t="s">
        <v>564</v>
      </c>
      <c r="H362" s="307" t="s">
        <v>565</v>
      </c>
      <c r="I362" s="307" t="s">
        <v>566</v>
      </c>
      <c r="J362" s="408" t="s">
        <v>2724</v>
      </c>
      <c r="K362" s="313" t="s">
        <v>727</v>
      </c>
      <c r="L362" s="324" t="s">
        <v>728</v>
      </c>
      <c r="M362" s="313" t="s">
        <v>729</v>
      </c>
      <c r="N362" s="354" t="s">
        <v>2780</v>
      </c>
      <c r="O362" s="10"/>
      <c r="P362" s="10">
        <v>1</v>
      </c>
    </row>
    <row r="363" spans="1:16" ht="14.25" customHeight="1" x14ac:dyDescent="0.2">
      <c r="A363">
        <f t="shared" si="12"/>
        <v>362</v>
      </c>
      <c r="B363" t="s">
        <v>134</v>
      </c>
      <c r="C363">
        <v>0</v>
      </c>
      <c r="D363">
        <v>611</v>
      </c>
      <c r="E363" s="2" t="str">
        <f>VLOOKUP( T_Aop[[#This Row],[Id]], T_Aop[], ID_Jezik +10, 1)</f>
        <v>dio 61</v>
      </c>
      <c r="F363" t="str">
        <f>REPT( "  ", T_Aop[[#This Row],[Aop nivo]]) &amp; VLOOKUP( T_Aop[[#This Row],[Id]], T_Aop[], ID_Jezik + 6, 1)</f>
        <v>Prihodi od prodaje proizvoda</v>
      </c>
      <c r="G363" s="309" t="s">
        <v>807</v>
      </c>
      <c r="H363" s="307" t="s">
        <v>836</v>
      </c>
      <c r="I363" s="307" t="s">
        <v>824</v>
      </c>
      <c r="J363" s="408" t="s">
        <v>2725</v>
      </c>
      <c r="K363" s="313" t="s">
        <v>802</v>
      </c>
      <c r="L363" s="324" t="s">
        <v>806</v>
      </c>
      <c r="M363" s="313" t="s">
        <v>805</v>
      </c>
      <c r="N363" s="354" t="s">
        <v>2781</v>
      </c>
      <c r="O363" s="10"/>
      <c r="P363" s="10"/>
    </row>
    <row r="364" spans="1:16" ht="14.25" customHeight="1" x14ac:dyDescent="0.2">
      <c r="A364">
        <f t="shared" si="12"/>
        <v>363</v>
      </c>
      <c r="B364" t="s">
        <v>134</v>
      </c>
      <c r="C364">
        <v>0</v>
      </c>
      <c r="D364">
        <v>612</v>
      </c>
      <c r="E364" s="2" t="str">
        <f>VLOOKUP( T_Aop[[#This Row],[Id]], T_Aop[], ID_Jezik +10, 1)</f>
        <v>dio 61</v>
      </c>
      <c r="F364" t="str">
        <f>REPT( "  ", T_Aop[[#This Row],[Aop nivo]]) &amp; VLOOKUP( T_Aop[[#This Row],[Id]], T_Aop[], ID_Jezik + 6, 1)</f>
        <v>Prihodi od prodaje usluga</v>
      </c>
      <c r="G364" s="309" t="s">
        <v>808</v>
      </c>
      <c r="H364" s="307" t="s">
        <v>835</v>
      </c>
      <c r="I364" s="307" t="s">
        <v>825</v>
      </c>
      <c r="J364" s="408" t="s">
        <v>2726</v>
      </c>
      <c r="K364" s="313" t="s">
        <v>802</v>
      </c>
      <c r="L364" s="324" t="s">
        <v>806</v>
      </c>
      <c r="M364" s="313" t="s">
        <v>805</v>
      </c>
      <c r="N364" s="354" t="s">
        <v>2781</v>
      </c>
      <c r="O364" s="10"/>
      <c r="P364" s="10"/>
    </row>
    <row r="365" spans="1:16" ht="14.25" customHeight="1" x14ac:dyDescent="0.2">
      <c r="A365">
        <f t="shared" si="12"/>
        <v>364</v>
      </c>
      <c r="B365" t="s">
        <v>134</v>
      </c>
      <c r="C365">
        <v>0</v>
      </c>
      <c r="D365">
        <v>613</v>
      </c>
      <c r="E365" s="2" t="str">
        <f>VLOOKUP( T_Aop[[#This Row],[Id]], T_Aop[], ID_Jezik +10, 1)</f>
        <v>611, dio 610</v>
      </c>
      <c r="F365" t="str">
        <f>REPT( "  ", T_Aop[[#This Row],[Aop nivo]]) &amp; VLOOKUP( T_Aop[[#This Row],[Id]], T_Aop[], ID_Jezik + 6, 1)</f>
        <v>Prihodi od prodaje učinaka u Republici Srpskoj i prihodi od prodaje učinaka povezanim pravnim licima u RS</v>
      </c>
      <c r="G365" s="309" t="s">
        <v>567</v>
      </c>
      <c r="H365" s="307" t="s">
        <v>568</v>
      </c>
      <c r="I365" s="307" t="s">
        <v>569</v>
      </c>
      <c r="J365" s="407" t="s">
        <v>2727</v>
      </c>
      <c r="K365" s="313" t="s">
        <v>730</v>
      </c>
      <c r="L365" s="324" t="s">
        <v>731</v>
      </c>
      <c r="M365" s="313" t="s">
        <v>732</v>
      </c>
      <c r="N365" s="67" t="s">
        <v>2782</v>
      </c>
      <c r="O365" s="10"/>
      <c r="P365" s="10">
        <v>1</v>
      </c>
    </row>
    <row r="366" spans="1:16" ht="14.25" customHeight="1" x14ac:dyDescent="0.2">
      <c r="A366">
        <f t="shared" si="12"/>
        <v>365</v>
      </c>
      <c r="B366" t="s">
        <v>134</v>
      </c>
      <c r="C366">
        <v>0</v>
      </c>
      <c r="D366">
        <v>614</v>
      </c>
      <c r="E366" s="2" t="str">
        <f>VLOOKUP( T_Aop[[#This Row],[Id]], T_Aop[], ID_Jezik +10, 1)</f>
        <v>612, dio 610</v>
      </c>
      <c r="F366" t="str">
        <f>REPT( "  ", T_Aop[[#This Row],[Aop nivo]]) &amp; VLOOKUP( T_Aop[[#This Row],[Id]], T_Aop[], ID_Jezik + 6, 1)</f>
        <v>Prihodi od prodaje učinaka u Federaciji BiH i prihodi od prodaje učinaka povezanim pravnim licima u FBiH</v>
      </c>
      <c r="G366" s="309" t="s">
        <v>570</v>
      </c>
      <c r="H366" s="307" t="s">
        <v>571</v>
      </c>
      <c r="I366" s="307" t="s">
        <v>572</v>
      </c>
      <c r="J366" s="408" t="s">
        <v>2728</v>
      </c>
      <c r="K366" s="313" t="s">
        <v>733</v>
      </c>
      <c r="L366" s="313" t="s">
        <v>734</v>
      </c>
      <c r="M366" s="313" t="s">
        <v>735</v>
      </c>
      <c r="N366" s="354" t="s">
        <v>2783</v>
      </c>
      <c r="O366" s="10"/>
      <c r="P366" s="10" t="s">
        <v>823</v>
      </c>
    </row>
    <row r="367" spans="1:16" ht="16.5" customHeight="1" x14ac:dyDescent="0.2">
      <c r="A367">
        <f t="shared" si="12"/>
        <v>366</v>
      </c>
      <c r="B367" t="s">
        <v>134</v>
      </c>
      <c r="C367">
        <v>0</v>
      </c>
      <c r="D367">
        <v>615</v>
      </c>
      <c r="E367" s="2" t="str">
        <f>VLOOKUP( T_Aop[[#This Row],[Id]], T_Aop[], ID_Jezik +10, 1)</f>
        <v>613, dio 610</v>
      </c>
      <c r="F367" t="str">
        <f>REPT( "  ", T_Aop[[#This Row],[Aop nivo]]) &amp; VLOOKUP( T_Aop[[#This Row],[Id]], T_Aop[], ID_Jezik + 6, 1)</f>
        <v>Prihodi od prodaje učinaka u Brčko Distriktu BiH i prihodi od prodaje učinaka povezanim pravnim licima u BD</v>
      </c>
      <c r="G367" s="309" t="s">
        <v>573</v>
      </c>
      <c r="H367" s="307" t="s">
        <v>574</v>
      </c>
      <c r="I367" s="307" t="s">
        <v>575</v>
      </c>
      <c r="J367" s="407" t="s">
        <v>2729</v>
      </c>
      <c r="K367" s="313" t="s">
        <v>736</v>
      </c>
      <c r="L367" s="313" t="s">
        <v>737</v>
      </c>
      <c r="M367" s="313" t="s">
        <v>738</v>
      </c>
      <c r="N367" s="67" t="s">
        <v>2784</v>
      </c>
      <c r="O367" s="10"/>
      <c r="P367" s="10" t="s">
        <v>823</v>
      </c>
    </row>
    <row r="368" spans="1:16" x14ac:dyDescent="0.2">
      <c r="A368">
        <f t="shared" si="12"/>
        <v>367</v>
      </c>
      <c r="B368" t="s">
        <v>134</v>
      </c>
      <c r="C368">
        <v>0</v>
      </c>
      <c r="D368">
        <v>616</v>
      </c>
      <c r="E368" s="2" t="str">
        <f>VLOOKUP( T_Aop[[#This Row],[Id]], T_Aop[], ID_Jezik +10, 1)</f>
        <v>dio 611</v>
      </c>
      <c r="F368" t="str">
        <f>REPT( "  ", T_Aop[[#This Row],[Aop nivo]]) &amp; VLOOKUP( T_Aop[[#This Row],[Id]], T_Aop[], ID_Jezik + 6, 1)</f>
        <v>Prihodi od prodaje usluga u Republici Srpskoj</v>
      </c>
      <c r="G368" s="309" t="s">
        <v>576</v>
      </c>
      <c r="H368" s="307" t="s">
        <v>577</v>
      </c>
      <c r="I368" s="307" t="s">
        <v>578</v>
      </c>
      <c r="J368" s="408" t="s">
        <v>2730</v>
      </c>
      <c r="K368" s="313" t="s">
        <v>358</v>
      </c>
      <c r="L368" s="313" t="s">
        <v>739</v>
      </c>
      <c r="M368" s="313" t="s">
        <v>365</v>
      </c>
      <c r="N368" s="355" t="s">
        <v>2785</v>
      </c>
      <c r="O368" s="10"/>
      <c r="P368" s="10"/>
    </row>
    <row r="369" spans="1:16" x14ac:dyDescent="0.2">
      <c r="A369">
        <f t="shared" si="12"/>
        <v>368</v>
      </c>
      <c r="B369" t="s">
        <v>134</v>
      </c>
      <c r="C369">
        <v>0</v>
      </c>
      <c r="D369">
        <v>617</v>
      </c>
      <c r="E369" s="2" t="str">
        <f>VLOOKUP( T_Aop[[#This Row],[Id]], T_Aop[], ID_Jezik +10, 1)</f>
        <v>dio 612</v>
      </c>
      <c r="F369" t="str">
        <f>REPT( "  ", T_Aop[[#This Row],[Aop nivo]]) &amp; VLOOKUP( T_Aop[[#This Row],[Id]], T_Aop[], ID_Jezik + 6, 1)</f>
        <v>Prihodi od prodaje usluga u Federaciji BiH</v>
      </c>
      <c r="G369" s="309" t="s">
        <v>579</v>
      </c>
      <c r="H369" s="307" t="s">
        <v>580</v>
      </c>
      <c r="I369" s="307" t="s">
        <v>581</v>
      </c>
      <c r="J369" s="407" t="s">
        <v>2731</v>
      </c>
      <c r="K369" s="313" t="s">
        <v>357</v>
      </c>
      <c r="L369" s="324" t="s">
        <v>740</v>
      </c>
      <c r="M369" s="313" t="s">
        <v>364</v>
      </c>
      <c r="N369" s="67" t="s">
        <v>2786</v>
      </c>
      <c r="O369" s="10"/>
      <c r="P369" s="10"/>
    </row>
    <row r="370" spans="1:16" x14ac:dyDescent="0.2">
      <c r="A370">
        <f t="shared" si="12"/>
        <v>369</v>
      </c>
      <c r="B370" t="s">
        <v>134</v>
      </c>
      <c r="C370">
        <v>0</v>
      </c>
      <c r="D370">
        <v>618</v>
      </c>
      <c r="E370" s="2" t="str">
        <f>VLOOKUP( T_Aop[[#This Row],[Id]], T_Aop[], ID_Jezik +10, 1)</f>
        <v>dio 613</v>
      </c>
      <c r="F370" t="str">
        <f>REPT( "  ", T_Aop[[#This Row],[Aop nivo]]) &amp; VLOOKUP( T_Aop[[#This Row],[Id]], T_Aop[], ID_Jezik + 6, 1)</f>
        <v>Prihodi od prodaje usluga u Brčko Distriktu BiH</v>
      </c>
      <c r="G370" s="309" t="s">
        <v>582</v>
      </c>
      <c r="H370" s="307" t="s">
        <v>583</v>
      </c>
      <c r="I370" s="307" t="s">
        <v>584</v>
      </c>
      <c r="J370" s="408" t="s">
        <v>2732</v>
      </c>
      <c r="K370" s="313" t="s">
        <v>741</v>
      </c>
      <c r="L370" s="324" t="s">
        <v>742</v>
      </c>
      <c r="M370" s="313" t="s">
        <v>743</v>
      </c>
      <c r="N370" s="354" t="s">
        <v>2787</v>
      </c>
      <c r="O370" s="10"/>
      <c r="P370" s="10"/>
    </row>
    <row r="371" spans="1:16" x14ac:dyDescent="0.2">
      <c r="A371">
        <f t="shared" si="12"/>
        <v>370</v>
      </c>
      <c r="B371" t="s">
        <v>134</v>
      </c>
      <c r="C371">
        <v>0</v>
      </c>
      <c r="D371">
        <v>619</v>
      </c>
      <c r="E371" s="2">
        <f>VLOOKUP( T_Aop[[#This Row],[Id]], T_Aop[], ID_Jezik +10, 1)</f>
        <v>65</v>
      </c>
      <c r="F371" t="str">
        <f>REPT( "  ", T_Aop[[#This Row],[Aop nivo]]) &amp; VLOOKUP( T_Aop[[#This Row],[Id]], T_Aop[], ID_Jezik + 6, 1)</f>
        <v>OSTALI POSLOVNI PRIHODI (620 + 623 + 624 + 625 + 626 + 627 + 628)</v>
      </c>
      <c r="G371" s="309" t="s">
        <v>809</v>
      </c>
      <c r="H371" s="307" t="s">
        <v>857</v>
      </c>
      <c r="I371" s="307" t="s">
        <v>858</v>
      </c>
      <c r="J371" s="410" t="s">
        <v>2733</v>
      </c>
      <c r="K371" s="313">
        <v>65</v>
      </c>
      <c r="L371" s="324">
        <v>65</v>
      </c>
      <c r="M371" s="313">
        <v>65</v>
      </c>
      <c r="N371" s="356">
        <v>65</v>
      </c>
      <c r="O371" s="10">
        <v>1</v>
      </c>
      <c r="P371" s="10"/>
    </row>
    <row r="372" spans="1:16" ht="17.25" customHeight="1" x14ac:dyDescent="0.2">
      <c r="A372">
        <f t="shared" si="12"/>
        <v>371</v>
      </c>
      <c r="B372" t="s">
        <v>134</v>
      </c>
      <c r="C372">
        <v>1</v>
      </c>
      <c r="D372">
        <v>620</v>
      </c>
      <c r="E372" s="2">
        <f>VLOOKUP( T_Aop[[#This Row],[Id]], T_Aop[], ID_Jezik +10, 1)</f>
        <v>650</v>
      </c>
      <c r="F372" t="str">
        <f>REPT( "  ", T_Aop[[#This Row],[Aop nivo]]) &amp; VLOOKUP( T_Aop[[#This Row],[Id]], T_Aop[], ID_Jezik + 6, 1)</f>
        <v xml:space="preserve">  a) Prihodi od premija, subvencija, dotacija, regresa, podsticaja i slično</v>
      </c>
      <c r="G372" s="309" t="s">
        <v>585</v>
      </c>
      <c r="H372" s="307" t="s">
        <v>586</v>
      </c>
      <c r="I372" s="307" t="s">
        <v>373</v>
      </c>
      <c r="J372" s="408" t="s">
        <v>2734</v>
      </c>
      <c r="K372" s="313">
        <v>650</v>
      </c>
      <c r="L372" s="324">
        <v>650</v>
      </c>
      <c r="M372" s="313">
        <v>650</v>
      </c>
      <c r="N372" s="355">
        <v>650</v>
      </c>
      <c r="O372" s="10"/>
      <c r="P372" s="10"/>
    </row>
    <row r="373" spans="1:16" ht="17.25" customHeight="1" x14ac:dyDescent="0.2">
      <c r="A373">
        <f t="shared" si="12"/>
        <v>372</v>
      </c>
      <c r="B373" t="s">
        <v>134</v>
      </c>
      <c r="C373">
        <v>2</v>
      </c>
      <c r="D373">
        <v>621</v>
      </c>
      <c r="E373" s="2" t="str">
        <f>VLOOKUP( T_Aop[[#This Row],[Id]], T_Aop[], ID_Jezik +10, 1)</f>
        <v>dio 650</v>
      </c>
      <c r="F373" t="str">
        <f>REPT( "  ", T_Aop[[#This Row],[Aop nivo]]) &amp; VLOOKUP( T_Aop[[#This Row],[Id]], T_Aop[], ID_Jezik + 6, 1)</f>
        <v xml:space="preserve">    Od toga: prihodi po osnovu subvencija na proizvode (subvencije koje se mogu prikazati po jedinici proizvoda, npr. vozna karta, brašno, hljeb, mlijeko i dr.)</v>
      </c>
      <c r="G373" s="309" t="s">
        <v>374</v>
      </c>
      <c r="H373" s="307" t="s">
        <v>587</v>
      </c>
      <c r="I373" s="307" t="s">
        <v>375</v>
      </c>
      <c r="J373" s="407" t="s">
        <v>2735</v>
      </c>
      <c r="K373" s="313" t="s">
        <v>36</v>
      </c>
      <c r="L373" s="324" t="s">
        <v>744</v>
      </c>
      <c r="M373" s="313" t="s">
        <v>366</v>
      </c>
      <c r="N373" s="67" t="s">
        <v>2788</v>
      </c>
      <c r="O373" s="10"/>
      <c r="P373" s="10">
        <v>1</v>
      </c>
    </row>
    <row r="374" spans="1:16" ht="25.5" x14ac:dyDescent="0.2">
      <c r="A374">
        <f t="shared" si="12"/>
        <v>373</v>
      </c>
      <c r="B374" t="s">
        <v>134</v>
      </c>
      <c r="C374">
        <v>2</v>
      </c>
      <c r="D374">
        <v>622</v>
      </c>
      <c r="E374" s="2" t="str">
        <f>VLOOKUP( T_Aop[[#This Row],[Id]], T_Aop[], ID_Jezik +10, 1)</f>
        <v>dio 650</v>
      </c>
      <c r="F374" t="str">
        <f>REPT( "  ", T_Aop[[#This Row],[Aop nivo]]) &amp; VLOOKUP( T_Aop[[#This Row],[Id]], T_Aop[], ID_Jezik + 6, 1)</f>
        <v xml:space="preserve">    Od toga: prihodi po osnovu subvencija na proizvodnju (na zapošljavanje, platu, kamatnu stopu, za smanjenje zagađenja i dr.)</v>
      </c>
      <c r="G374" s="309" t="s">
        <v>848</v>
      </c>
      <c r="H374" s="307" t="s">
        <v>849</v>
      </c>
      <c r="I374" s="307" t="s">
        <v>850</v>
      </c>
      <c r="J374" s="408" t="s">
        <v>2736</v>
      </c>
      <c r="K374" s="324" t="s">
        <v>36</v>
      </c>
      <c r="L374" s="313" t="s">
        <v>744</v>
      </c>
      <c r="M374" s="313" t="s">
        <v>366</v>
      </c>
      <c r="N374" s="354" t="s">
        <v>2788</v>
      </c>
      <c r="O374" s="10"/>
      <c r="P374" s="10">
        <v>1</v>
      </c>
    </row>
    <row r="375" spans="1:16" x14ac:dyDescent="0.2">
      <c r="A375">
        <f t="shared" si="12"/>
        <v>374</v>
      </c>
      <c r="B375" t="s">
        <v>134</v>
      </c>
      <c r="C375">
        <v>1</v>
      </c>
      <c r="D375">
        <v>623</v>
      </c>
      <c r="E375" s="2">
        <f>VLOOKUP( T_Aop[[#This Row],[Id]], T_Aop[], ID_Jezik +10, 1)</f>
        <v>651</v>
      </c>
      <c r="F375" t="str">
        <f>REPT( "  ", T_Aop[[#This Row],[Aop nivo]]) &amp; VLOOKUP( T_Aop[[#This Row],[Id]], T_Aop[], ID_Jezik + 6, 1)</f>
        <v xml:space="preserve">  b) Prihod od zakupnina</v>
      </c>
      <c r="G375" s="309" t="s">
        <v>376</v>
      </c>
      <c r="H375" s="307" t="s">
        <v>588</v>
      </c>
      <c r="I375" s="307" t="s">
        <v>377</v>
      </c>
      <c r="J375" s="407" t="s">
        <v>2737</v>
      </c>
      <c r="K375" s="324">
        <v>651</v>
      </c>
      <c r="L375" s="313">
        <v>651</v>
      </c>
      <c r="M375" s="313">
        <v>651</v>
      </c>
      <c r="N375" s="67">
        <v>651</v>
      </c>
      <c r="O375" s="10"/>
      <c r="P375" s="10"/>
    </row>
    <row r="376" spans="1:16" x14ac:dyDescent="0.2">
      <c r="A376">
        <f t="shared" si="12"/>
        <v>375</v>
      </c>
      <c r="B376" t="s">
        <v>134</v>
      </c>
      <c r="C376">
        <v>1</v>
      </c>
      <c r="D376">
        <v>624</v>
      </c>
      <c r="E376" s="2">
        <f>VLOOKUP( T_Aop[[#This Row],[Id]], T_Aop[], ID_Jezik +10, 1)</f>
        <v>652</v>
      </c>
      <c r="F376" t="str">
        <f>REPT( "  ", T_Aop[[#This Row],[Aop nivo]]) &amp; VLOOKUP( T_Aop[[#This Row],[Id]], T_Aop[], ID_Jezik + 6, 1)</f>
        <v xml:space="preserve">  c) Prihod od donacija</v>
      </c>
      <c r="G376" s="309" t="s">
        <v>2863</v>
      </c>
      <c r="H376" s="307" t="s">
        <v>589</v>
      </c>
      <c r="I376" s="307" t="s">
        <v>378</v>
      </c>
      <c r="J376" s="408" t="s">
        <v>2738</v>
      </c>
      <c r="K376" s="313">
        <v>652</v>
      </c>
      <c r="L376" s="324">
        <v>652</v>
      </c>
      <c r="M376" s="324">
        <v>652</v>
      </c>
      <c r="N376" s="354">
        <v>652</v>
      </c>
      <c r="O376" s="10"/>
      <c r="P376" s="10"/>
    </row>
    <row r="377" spans="1:16" x14ac:dyDescent="0.2">
      <c r="A377">
        <f t="shared" si="12"/>
        <v>376</v>
      </c>
      <c r="B377" t="s">
        <v>134</v>
      </c>
      <c r="C377">
        <v>1</v>
      </c>
      <c r="D377">
        <v>625</v>
      </c>
      <c r="E377" s="2">
        <f>VLOOKUP( T_Aop[[#This Row],[Id]], T_Aop[], ID_Jezik +10, 1)</f>
        <v>653</v>
      </c>
      <c r="F377" t="str">
        <f>REPT( "  ", T_Aop[[#This Row],[Aop nivo]]) &amp; VLOOKUP( T_Aop[[#This Row],[Id]], T_Aop[], ID_Jezik + 6, 1)</f>
        <v xml:space="preserve">  d) Prihod od članarina</v>
      </c>
      <c r="G377" s="309" t="s">
        <v>2864</v>
      </c>
      <c r="H377" s="307" t="s">
        <v>590</v>
      </c>
      <c r="I377" s="307" t="s">
        <v>379</v>
      </c>
      <c r="J377" s="407" t="s">
        <v>2739</v>
      </c>
      <c r="K377" s="313">
        <v>653</v>
      </c>
      <c r="L377" s="324">
        <v>653</v>
      </c>
      <c r="M377" s="324">
        <v>653</v>
      </c>
      <c r="N377" s="67">
        <v>653</v>
      </c>
      <c r="O377" s="10"/>
      <c r="P377" s="10"/>
    </row>
    <row r="378" spans="1:16" x14ac:dyDescent="0.2">
      <c r="A378">
        <f t="shared" si="12"/>
        <v>377</v>
      </c>
      <c r="B378" s="79" t="s">
        <v>134</v>
      </c>
      <c r="C378">
        <v>1</v>
      </c>
      <c r="D378" s="80">
        <v>626</v>
      </c>
      <c r="E378" s="81">
        <f>VLOOKUP( T_Aop[[#This Row],[Id]], T_Aop[], ID_Jezik +10, 1)</f>
        <v>654</v>
      </c>
      <c r="F378" s="80" t="str">
        <f>REPT( "  ", T_Aop[[#This Row],[Aop nivo]]) &amp; VLOOKUP( T_Aop[[#This Row],[Id]], T_Aop[], ID_Jezik + 6, 1)</f>
        <v xml:space="preserve">  e) Prihod od tantijema i licencnih prava</v>
      </c>
      <c r="G378" s="320" t="s">
        <v>2865</v>
      </c>
      <c r="H378" s="307" t="s">
        <v>591</v>
      </c>
      <c r="I378" s="307" t="s">
        <v>380</v>
      </c>
      <c r="J378" s="408" t="s">
        <v>2740</v>
      </c>
      <c r="K378" s="321">
        <v>654</v>
      </c>
      <c r="L378" s="324">
        <v>654</v>
      </c>
      <c r="M378" s="313">
        <v>654</v>
      </c>
      <c r="N378" s="354">
        <v>654</v>
      </c>
      <c r="O378" s="10"/>
      <c r="P378" s="10"/>
    </row>
    <row r="379" spans="1:16" x14ac:dyDescent="0.2">
      <c r="A379">
        <f t="shared" si="12"/>
        <v>378</v>
      </c>
      <c r="B379" s="79" t="s">
        <v>134</v>
      </c>
      <c r="C379">
        <v>1</v>
      </c>
      <c r="D379" s="80">
        <v>627</v>
      </c>
      <c r="E379" s="81">
        <f>VLOOKUP( T_Aop[[#This Row],[Id]], T_Aop[], ID_Jezik +10, 1)</f>
        <v>655</v>
      </c>
      <c r="F379" s="80" t="str">
        <f>REPT( "  ", T_Aop[[#This Row],[Aop nivo]]) &amp; VLOOKUP( T_Aop[[#This Row],[Id]], T_Aop[], ID_Jezik + 6, 1)</f>
        <v xml:space="preserve">  f) Prihod iz namjenskih izvora finansiranja (iz budžeta, fondova i dr.)</v>
      </c>
      <c r="G379" s="320" t="s">
        <v>2866</v>
      </c>
      <c r="H379" s="307" t="s">
        <v>592</v>
      </c>
      <c r="I379" s="307" t="s">
        <v>381</v>
      </c>
      <c r="J379" s="407" t="s">
        <v>2741</v>
      </c>
      <c r="K379" s="321">
        <v>655</v>
      </c>
      <c r="L379" s="313">
        <v>655</v>
      </c>
      <c r="M379" s="313">
        <v>655</v>
      </c>
      <c r="N379" s="67">
        <v>655</v>
      </c>
      <c r="O379" s="10"/>
      <c r="P379" s="10"/>
    </row>
    <row r="380" spans="1:16" x14ac:dyDescent="0.2">
      <c r="A380">
        <f t="shared" si="12"/>
        <v>379</v>
      </c>
      <c r="B380" s="79" t="s">
        <v>134</v>
      </c>
      <c r="C380" s="80">
        <v>1</v>
      </c>
      <c r="D380" s="80">
        <v>628</v>
      </c>
      <c r="E380" s="81">
        <f>VLOOKUP( T_Aop[[#This Row],[Id]], T_Aop[], ID_Jezik +10, 1)</f>
        <v>659</v>
      </c>
      <c r="F380" s="80" t="str">
        <f>REPT( "  ", T_Aop[[#This Row],[Aop nivo]]) &amp; VLOOKUP( T_Aop[[#This Row],[Id]], T_Aop[], ID_Jezik + 6, 1)</f>
        <v xml:space="preserve">  g) Ostali poslovni prihodi po drugim osnovima</v>
      </c>
      <c r="G380" s="320" t="s">
        <v>2867</v>
      </c>
      <c r="H380" s="325" t="s">
        <v>593</v>
      </c>
      <c r="I380" s="325" t="s">
        <v>382</v>
      </c>
      <c r="J380" s="408" t="s">
        <v>2742</v>
      </c>
      <c r="K380" s="321">
        <v>659</v>
      </c>
      <c r="L380" s="321">
        <v>659</v>
      </c>
      <c r="M380" s="321">
        <v>659</v>
      </c>
      <c r="N380" s="354">
        <v>659</v>
      </c>
      <c r="O380" s="81"/>
      <c r="P380" s="81"/>
    </row>
    <row r="381" spans="1:16" x14ac:dyDescent="0.2">
      <c r="A381">
        <f t="shared" si="12"/>
        <v>380</v>
      </c>
      <c r="B381" s="79" t="s">
        <v>134</v>
      </c>
      <c r="C381" s="80">
        <v>0</v>
      </c>
      <c r="D381" s="80">
        <v>629</v>
      </c>
      <c r="E381" s="81" t="str">
        <f>VLOOKUP( T_Aop[[#This Row],[Id]], T_Aop[], ID_Jezik +10, 1)</f>
        <v>66 + 67</v>
      </c>
      <c r="F381" s="80" t="str">
        <f>REPT( "  ", T_Aop[[#This Row],[Aop nivo]]) &amp; VLOOKUP( T_Aop[[#This Row],[Id]], T_Aop[], ID_Jezik + 6, 1)</f>
        <v>FINANSIJSKI I OSTALI PRIHODI</v>
      </c>
      <c r="G381" s="320" t="s">
        <v>348</v>
      </c>
      <c r="H381" s="325" t="s">
        <v>594</v>
      </c>
      <c r="I381" s="325" t="s">
        <v>383</v>
      </c>
      <c r="J381" s="411" t="s">
        <v>2743</v>
      </c>
      <c r="K381" s="321" t="s">
        <v>745</v>
      </c>
      <c r="L381" s="326" t="s">
        <v>745</v>
      </c>
      <c r="M381" s="321" t="s">
        <v>745</v>
      </c>
      <c r="N381" s="356" t="s">
        <v>745</v>
      </c>
      <c r="O381" s="81">
        <v>1</v>
      </c>
      <c r="P381" s="81"/>
    </row>
    <row r="382" spans="1:16" x14ac:dyDescent="0.2">
      <c r="A382">
        <f t="shared" si="12"/>
        <v>381</v>
      </c>
      <c r="B382" s="79" t="s">
        <v>134</v>
      </c>
      <c r="C382" s="80">
        <v>2</v>
      </c>
      <c r="D382" s="80">
        <v>630</v>
      </c>
      <c r="E382" s="81" t="str">
        <f>VLOOKUP( T_Aop[[#This Row],[Id]], T_Aop[], ID_Jezik +10, 1)</f>
        <v>dio 660</v>
      </c>
      <c r="F382" s="80" t="str">
        <f>REPT( "  ", T_Aop[[#This Row],[Aop nivo]]) &amp; VLOOKUP( T_Aop[[#This Row],[Id]], T_Aop[], ID_Jezik + 6, 1)</f>
        <v xml:space="preserve">    Od toga: prihodi od učešća u dobiti (dividendi)</v>
      </c>
      <c r="G382" s="320" t="s">
        <v>349</v>
      </c>
      <c r="H382" s="325" t="s">
        <v>595</v>
      </c>
      <c r="I382" s="325" t="s">
        <v>384</v>
      </c>
      <c r="J382" s="408" t="s">
        <v>2744</v>
      </c>
      <c r="K382" s="321" t="s">
        <v>359</v>
      </c>
      <c r="L382" s="321" t="s">
        <v>746</v>
      </c>
      <c r="M382" s="321" t="s">
        <v>367</v>
      </c>
      <c r="N382" s="354" t="s">
        <v>2789</v>
      </c>
      <c r="O382" s="81"/>
      <c r="P382" s="81"/>
    </row>
    <row r="383" spans="1:16" x14ac:dyDescent="0.2">
      <c r="A383">
        <f t="shared" si="12"/>
        <v>382</v>
      </c>
      <c r="B383" s="79" t="s">
        <v>134</v>
      </c>
      <c r="C383" s="80">
        <v>1</v>
      </c>
      <c r="D383" s="80">
        <v>631</v>
      </c>
      <c r="E383" s="81" t="str">
        <f>VLOOKUP( T_Aop[[#This Row],[Id]], T_Aop[], ID_Jezik +10, 1)</f>
        <v>dio 670</v>
      </c>
      <c r="F383" s="80" t="str">
        <f>REPT( "  ", T_Aop[[#This Row],[Aop nivo]]) &amp; VLOOKUP( T_Aop[[#This Row],[Id]], T_Aop[], ID_Jezik + 6, 1)</f>
        <v xml:space="preserve">  Dobici po osnovu prodaje nekretnina, postrojenja i opreme</v>
      </c>
      <c r="G383" s="320" t="s">
        <v>596</v>
      </c>
      <c r="H383" s="325" t="s">
        <v>597</v>
      </c>
      <c r="I383" s="325" t="s">
        <v>385</v>
      </c>
      <c r="J383" s="407" t="s">
        <v>2745</v>
      </c>
      <c r="K383" s="321" t="s">
        <v>360</v>
      </c>
      <c r="L383" s="321" t="s">
        <v>747</v>
      </c>
      <c r="M383" s="321" t="s">
        <v>368</v>
      </c>
      <c r="N383" s="67" t="s">
        <v>2790</v>
      </c>
      <c r="O383" s="81"/>
      <c r="P383" s="81"/>
    </row>
    <row r="384" spans="1:16" ht="25.5" x14ac:dyDescent="0.2">
      <c r="A384">
        <f t="shared" si="12"/>
        <v>383</v>
      </c>
      <c r="B384" s="79" t="s">
        <v>134</v>
      </c>
      <c r="C384" s="80">
        <v>1</v>
      </c>
      <c r="D384" s="80">
        <v>632</v>
      </c>
      <c r="E384" s="81">
        <f>VLOOKUP( T_Aop[[#This Row],[Id]], T_Aop[], ID_Jezik +10, 1)</f>
        <v>678</v>
      </c>
      <c r="F384" s="80" t="str">
        <f>REPT( "  ", T_Aop[[#This Row],[Aop nivo]]) &amp; VLOOKUP( T_Aop[[#This Row],[Id]], T_Aop[], ID_Jezik + 6, 1)</f>
        <v xml:space="preserve">  Prihodi po osnovu ugovorene zaštite od rizika koji ne ispunjavaju uslove da se iskažu u okviru revalorizacionih rezervi</v>
      </c>
      <c r="G384" s="320" t="s">
        <v>810</v>
      </c>
      <c r="H384" s="325" t="s">
        <v>2868</v>
      </c>
      <c r="I384" s="325" t="s">
        <v>2869</v>
      </c>
      <c r="J384" s="408" t="s">
        <v>2746</v>
      </c>
      <c r="K384" s="321">
        <v>678</v>
      </c>
      <c r="L384" s="326">
        <v>678</v>
      </c>
      <c r="M384" s="321">
        <v>678</v>
      </c>
      <c r="N384" s="355">
        <v>678</v>
      </c>
      <c r="O384" s="81"/>
      <c r="P384" s="81"/>
    </row>
    <row r="385" spans="1:16" x14ac:dyDescent="0.2">
      <c r="A385">
        <f t="shared" si="12"/>
        <v>384</v>
      </c>
      <c r="B385" s="79" t="s">
        <v>134</v>
      </c>
      <c r="C385" s="80">
        <v>0</v>
      </c>
      <c r="D385" s="80">
        <v>633</v>
      </c>
      <c r="E385" s="81">
        <f>VLOOKUP( T_Aop[[#This Row],[Id]], T_Aop[], ID_Jezik +10, 1)</f>
        <v>51</v>
      </c>
      <c r="F385" s="80" t="str">
        <f>REPT( "  ", T_Aop[[#This Row],[Aop nivo]]) &amp; VLOOKUP( T_Aop[[#This Row],[Id]], T_Aop[], ID_Jezik + 6, 1)</f>
        <v>TROŠKOVI MATERIJALA</v>
      </c>
      <c r="G385" s="320" t="s">
        <v>350</v>
      </c>
      <c r="H385" s="325" t="s">
        <v>598</v>
      </c>
      <c r="I385" s="325" t="s">
        <v>386</v>
      </c>
      <c r="J385" s="412" t="s">
        <v>2747</v>
      </c>
      <c r="K385" s="321">
        <v>51</v>
      </c>
      <c r="L385" s="321">
        <v>51</v>
      </c>
      <c r="M385" s="321">
        <v>51</v>
      </c>
      <c r="N385" s="357">
        <v>51</v>
      </c>
      <c r="O385" s="81">
        <v>1</v>
      </c>
      <c r="P385" s="81"/>
    </row>
    <row r="386" spans="1:16" x14ac:dyDescent="0.2">
      <c r="A386">
        <f t="shared" si="12"/>
        <v>385</v>
      </c>
      <c r="B386" s="79" t="s">
        <v>134</v>
      </c>
      <c r="C386" s="80">
        <v>2</v>
      </c>
      <c r="D386" s="80">
        <v>634</v>
      </c>
      <c r="E386" s="81">
        <f>VLOOKUP( T_Aop[[#This Row],[Id]], T_Aop[], ID_Jezik +10, 1)</f>
        <v>513</v>
      </c>
      <c r="F386" s="80" t="str">
        <f>REPT( "  ", T_Aop[[#This Row],[Aop nivo]]) &amp; VLOOKUP( T_Aop[[#This Row],[Id]], T_Aop[], ID_Jezik + 6, 1)</f>
        <v xml:space="preserve">    Od toga: troškovi goriva i energije</v>
      </c>
      <c r="G386" s="320" t="s">
        <v>351</v>
      </c>
      <c r="H386" s="325" t="s">
        <v>599</v>
      </c>
      <c r="I386" s="325" t="s">
        <v>387</v>
      </c>
      <c r="J386" s="408" t="s">
        <v>2748</v>
      </c>
      <c r="K386" s="321">
        <v>513</v>
      </c>
      <c r="L386" s="321">
        <v>513</v>
      </c>
      <c r="M386" s="321">
        <v>513</v>
      </c>
      <c r="N386" s="355">
        <v>513</v>
      </c>
      <c r="O386" s="81"/>
      <c r="P386" s="81"/>
    </row>
    <row r="387" spans="1:16" ht="25.5" x14ac:dyDescent="0.2">
      <c r="A387">
        <f t="shared" si="12"/>
        <v>386</v>
      </c>
      <c r="B387" s="79" t="s">
        <v>134</v>
      </c>
      <c r="C387" s="80">
        <v>0</v>
      </c>
      <c r="D387" s="80">
        <v>635</v>
      </c>
      <c r="E387" s="81">
        <f>VLOOKUP( T_Aop[[#This Row],[Id]], T_Aop[], ID_Jezik +10, 1)</f>
        <v>52</v>
      </c>
      <c r="F387" s="80" t="str">
        <f>REPT( "  ", T_Aop[[#This Row],[Aop nivo]]) &amp; VLOOKUP( T_Aop[[#This Row],[Id]], T_Aop[], ID_Jezik + 6, 1)</f>
        <v>TROŠKOVI ZARADA, NAKNADA ZARADA I OSTALIH LIČNIH RASHODA</v>
      </c>
      <c r="G387" s="320" t="s">
        <v>352</v>
      </c>
      <c r="H387" s="325" t="s">
        <v>600</v>
      </c>
      <c r="I387" s="325" t="s">
        <v>388</v>
      </c>
      <c r="J387" s="411" t="s">
        <v>2749</v>
      </c>
      <c r="K387" s="321">
        <v>52</v>
      </c>
      <c r="L387" s="326">
        <v>52</v>
      </c>
      <c r="M387" s="321">
        <v>52</v>
      </c>
      <c r="N387" s="356">
        <v>52</v>
      </c>
      <c r="O387" s="81">
        <v>1</v>
      </c>
      <c r="P387" s="81"/>
    </row>
    <row r="388" spans="1:16" ht="25.5" x14ac:dyDescent="0.2">
      <c r="A388">
        <f t="shared" si="12"/>
        <v>387</v>
      </c>
      <c r="B388" s="79" t="s">
        <v>134</v>
      </c>
      <c r="C388" s="80">
        <v>1</v>
      </c>
      <c r="D388" s="80">
        <v>636</v>
      </c>
      <c r="E388" s="81" t="str">
        <f>VLOOKUP( T_Aop[[#This Row],[Id]], T_Aop[], ID_Jezik +10, 1)</f>
        <v>522 + 523</v>
      </c>
      <c r="F388" s="80" t="str">
        <f>REPT( "  ", T_Aop[[#This Row],[Aop nivo]]) &amp; VLOOKUP( T_Aop[[#This Row],[Id]], T_Aop[], ID_Jezik + 6, 1)</f>
        <v xml:space="preserve">  Troškovi bruto naknada članovima upravnog, nadzornog, odbora za reviziju i dr.</v>
      </c>
      <c r="G388" s="320" t="s">
        <v>811</v>
      </c>
      <c r="H388" s="325" t="s">
        <v>837</v>
      </c>
      <c r="I388" s="325" t="s">
        <v>847</v>
      </c>
      <c r="J388" s="408" t="s">
        <v>2750</v>
      </c>
      <c r="K388" s="321" t="s">
        <v>803</v>
      </c>
      <c r="L388" s="326" t="s">
        <v>803</v>
      </c>
      <c r="M388" s="321" t="s">
        <v>803</v>
      </c>
      <c r="N388" s="358" t="s">
        <v>2791</v>
      </c>
      <c r="O388" s="81"/>
      <c r="P388" s="81"/>
    </row>
    <row r="389" spans="1:16" x14ac:dyDescent="0.2">
      <c r="A389">
        <f t="shared" si="12"/>
        <v>388</v>
      </c>
      <c r="B389" s="79" t="s">
        <v>134</v>
      </c>
      <c r="C389" s="80">
        <v>1</v>
      </c>
      <c r="D389" s="80">
        <v>637</v>
      </c>
      <c r="E389" s="81">
        <f>VLOOKUP( T_Aop[[#This Row],[Id]], T_Aop[], ID_Jezik +10, 1)</f>
        <v>525</v>
      </c>
      <c r="F389" s="80" t="str">
        <f>REPT( "  ", T_Aop[[#This Row],[Aop nivo]]) &amp; VLOOKUP( T_Aop[[#This Row],[Id]], T_Aop[], ID_Jezik + 6, 1)</f>
        <v xml:space="preserve">  Troškovi zaposlenih na službenom putu</v>
      </c>
      <c r="G389" s="320" t="s">
        <v>601</v>
      </c>
      <c r="H389" s="325" t="s">
        <v>602</v>
      </c>
      <c r="I389" s="325" t="s">
        <v>603</v>
      </c>
      <c r="J389" s="408" t="s">
        <v>2751</v>
      </c>
      <c r="K389" s="321">
        <v>525</v>
      </c>
      <c r="L389" s="326">
        <v>525</v>
      </c>
      <c r="M389" s="321">
        <v>525</v>
      </c>
      <c r="N389" s="355">
        <v>525</v>
      </c>
      <c r="O389" s="81"/>
      <c r="P389" s="81"/>
    </row>
    <row r="390" spans="1:16" x14ac:dyDescent="0.2">
      <c r="A390">
        <f t="shared" si="12"/>
        <v>389</v>
      </c>
      <c r="B390" s="79" t="s">
        <v>134</v>
      </c>
      <c r="C390" s="80">
        <v>2</v>
      </c>
      <c r="D390" s="80">
        <v>638</v>
      </c>
      <c r="E390" s="81" t="str">
        <f>VLOOKUP( T_Aop[[#This Row],[Id]], T_Aop[], ID_Jezik +10, 1)</f>
        <v>dio 525</v>
      </c>
      <c r="F390" s="80" t="str">
        <f>REPT( "  ", T_Aop[[#This Row],[Aop nivo]]) &amp; VLOOKUP( T_Aop[[#This Row],[Id]], T_Aop[], ID_Jezik + 6, 1)</f>
        <v xml:space="preserve">    Od toga: dnevnice</v>
      </c>
      <c r="G390" s="320" t="s">
        <v>604</v>
      </c>
      <c r="H390" s="325" t="s">
        <v>605</v>
      </c>
      <c r="I390" s="325" t="s">
        <v>606</v>
      </c>
      <c r="J390" s="407" t="s">
        <v>2752</v>
      </c>
      <c r="K390" s="321" t="s">
        <v>748</v>
      </c>
      <c r="L390" s="321" t="s">
        <v>749</v>
      </c>
      <c r="M390" s="321" t="s">
        <v>750</v>
      </c>
      <c r="N390" s="358" t="s">
        <v>2792</v>
      </c>
      <c r="O390" s="81"/>
      <c r="P390" s="81"/>
    </row>
    <row r="391" spans="1:16" ht="25.5" x14ac:dyDescent="0.2">
      <c r="A391">
        <f t="shared" si="12"/>
        <v>390</v>
      </c>
      <c r="B391" s="79" t="s">
        <v>134</v>
      </c>
      <c r="C391" s="80">
        <v>0</v>
      </c>
      <c r="D391" s="80">
        <v>639</v>
      </c>
      <c r="E391" s="81">
        <f>VLOOKUP( T_Aop[[#This Row],[Id]], T_Aop[], ID_Jezik +10, 1)</f>
        <v>53</v>
      </c>
      <c r="F391" s="80" t="str">
        <f>REPT( "  ", T_Aop[[#This Row],[Aop nivo]]) &amp; VLOOKUP( T_Aop[[#This Row],[Id]], T_Aop[], ID_Jezik + 6, 1)</f>
        <v>TROŠKOVI PROIZVODNIH USLUGA (640 + 641 + 642 + 643 + 644 + 645 + 646 + 647)</v>
      </c>
      <c r="G391" s="320" t="s">
        <v>812</v>
      </c>
      <c r="H391" s="325" t="s">
        <v>859</v>
      </c>
      <c r="I391" s="325" t="s">
        <v>860</v>
      </c>
      <c r="J391" s="410" t="s">
        <v>2753</v>
      </c>
      <c r="K391" s="321">
        <v>53</v>
      </c>
      <c r="L391" s="326">
        <v>53</v>
      </c>
      <c r="M391" s="321">
        <v>53</v>
      </c>
      <c r="N391" s="359">
        <v>53</v>
      </c>
      <c r="O391" s="81">
        <v>1</v>
      </c>
      <c r="P391" s="81"/>
    </row>
    <row r="392" spans="1:16" x14ac:dyDescent="0.2">
      <c r="A392">
        <f t="shared" si="12"/>
        <v>391</v>
      </c>
      <c r="B392" s="79" t="s">
        <v>134</v>
      </c>
      <c r="C392" s="80">
        <v>1</v>
      </c>
      <c r="D392" s="80">
        <v>640</v>
      </c>
      <c r="E392" s="81">
        <f>VLOOKUP( T_Aop[[#This Row],[Id]], T_Aop[], ID_Jezik +10, 1)</f>
        <v>530</v>
      </c>
      <c r="F392" s="80" t="str">
        <f>REPT( "  ", T_Aop[[#This Row],[Aop nivo]]) &amp; VLOOKUP( T_Aop[[#This Row],[Id]], T_Aop[], ID_Jezik + 6, 1)</f>
        <v xml:space="preserve">  a) Troškovi usluga na izradi učinaka</v>
      </c>
      <c r="G392" s="320" t="s">
        <v>353</v>
      </c>
      <c r="H392" s="325" t="s">
        <v>607</v>
      </c>
      <c r="I392" s="325" t="s">
        <v>608</v>
      </c>
      <c r="J392" s="407" t="s">
        <v>2754</v>
      </c>
      <c r="K392" s="321">
        <v>530</v>
      </c>
      <c r="L392" s="326">
        <v>530</v>
      </c>
      <c r="M392" s="321">
        <v>530</v>
      </c>
      <c r="N392" s="67">
        <v>530</v>
      </c>
      <c r="O392" s="81"/>
      <c r="P392" s="81"/>
    </row>
    <row r="393" spans="1:16" x14ac:dyDescent="0.2">
      <c r="A393">
        <f t="shared" si="12"/>
        <v>392</v>
      </c>
      <c r="B393" s="79" t="s">
        <v>134</v>
      </c>
      <c r="C393" s="80">
        <v>1</v>
      </c>
      <c r="D393" s="80">
        <v>641</v>
      </c>
      <c r="E393" s="81">
        <f>VLOOKUP( T_Aop[[#This Row],[Id]], T_Aop[], ID_Jezik +10, 1)</f>
        <v>531</v>
      </c>
      <c r="F393" s="80" t="str">
        <f>REPT( "  ", T_Aop[[#This Row],[Aop nivo]]) &amp; VLOOKUP( T_Aop[[#This Row],[Id]], T_Aop[], ID_Jezik + 6, 1)</f>
        <v xml:space="preserve">  b) Troškovi transportnih usluga</v>
      </c>
      <c r="G393" s="320" t="s">
        <v>354</v>
      </c>
      <c r="H393" s="325" t="s">
        <v>609</v>
      </c>
      <c r="I393" s="325" t="s">
        <v>389</v>
      </c>
      <c r="J393" s="408" t="s">
        <v>2755</v>
      </c>
      <c r="K393" s="321">
        <v>531</v>
      </c>
      <c r="L393" s="326">
        <v>531</v>
      </c>
      <c r="M393" s="321">
        <v>531</v>
      </c>
      <c r="N393" s="354">
        <v>531</v>
      </c>
      <c r="O393" s="81"/>
      <c r="P393" s="81"/>
    </row>
    <row r="394" spans="1:16" x14ac:dyDescent="0.2">
      <c r="A394">
        <f t="shared" si="12"/>
        <v>393</v>
      </c>
      <c r="B394" s="79" t="s">
        <v>134</v>
      </c>
      <c r="C394" s="80">
        <v>1</v>
      </c>
      <c r="D394" s="80">
        <v>642</v>
      </c>
      <c r="E394" s="81" t="str">
        <f>VLOOKUP( T_Aop[[#This Row],[Id]], T_Aop[], ID_Jezik +10, 1)</f>
        <v>dio 532</v>
      </c>
      <c r="F394" s="80" t="str">
        <f>REPT( "  ", T_Aop[[#This Row],[Aop nivo]]) &amp; VLOOKUP( T_Aop[[#This Row],[Id]], T_Aop[], ID_Jezik + 6, 1)</f>
        <v xml:space="preserve">  v) Troškovi za usluge tekućeg održavanja osnovnih sredstava</v>
      </c>
      <c r="G394" s="320" t="s">
        <v>610</v>
      </c>
      <c r="H394" s="325" t="s">
        <v>611</v>
      </c>
      <c r="I394" s="325" t="s">
        <v>612</v>
      </c>
      <c r="J394" s="407" t="s">
        <v>2756</v>
      </c>
      <c r="K394" s="321" t="s">
        <v>361</v>
      </c>
      <c r="L394" s="326" t="s">
        <v>751</v>
      </c>
      <c r="M394" s="321" t="s">
        <v>369</v>
      </c>
      <c r="N394" s="360" t="s">
        <v>2793</v>
      </c>
      <c r="O394" s="81"/>
      <c r="P394" s="81"/>
    </row>
    <row r="395" spans="1:16" x14ac:dyDescent="0.2">
      <c r="A395">
        <f t="shared" si="12"/>
        <v>394</v>
      </c>
      <c r="B395" s="79" t="s">
        <v>134</v>
      </c>
      <c r="C395" s="80">
        <v>1</v>
      </c>
      <c r="D395" s="80">
        <v>643</v>
      </c>
      <c r="E395" s="81" t="str">
        <f>VLOOKUP( T_Aop[[#This Row],[Id]], T_Aop[], ID_Jezik +10, 1)</f>
        <v>dio 532</v>
      </c>
      <c r="F395" s="80" t="str">
        <f>REPT( "  ", T_Aop[[#This Row],[Aop nivo]]) &amp; VLOOKUP( T_Aop[[#This Row],[Id]], T_Aop[], ID_Jezik + 6, 1)</f>
        <v xml:space="preserve">  g) Troškovi za usluge investicionog održavanja osnovnih sredstava</v>
      </c>
      <c r="G395" s="320" t="s">
        <v>613</v>
      </c>
      <c r="H395" s="325" t="s">
        <v>614</v>
      </c>
      <c r="I395" s="325" t="s">
        <v>615</v>
      </c>
      <c r="J395" s="408" t="s">
        <v>2757</v>
      </c>
      <c r="K395" s="321" t="s">
        <v>361</v>
      </c>
      <c r="L395" s="321" t="s">
        <v>751</v>
      </c>
      <c r="M395" s="321" t="s">
        <v>369</v>
      </c>
      <c r="N395" s="354" t="s">
        <v>2793</v>
      </c>
      <c r="O395" s="81"/>
      <c r="P395" s="81"/>
    </row>
    <row r="396" spans="1:16" x14ac:dyDescent="0.2">
      <c r="A396">
        <f t="shared" si="12"/>
        <v>395</v>
      </c>
      <c r="B396" s="79" t="s">
        <v>134</v>
      </c>
      <c r="C396" s="80">
        <v>1</v>
      </c>
      <c r="D396" s="80">
        <v>644</v>
      </c>
      <c r="E396" s="81">
        <f>VLOOKUP( T_Aop[[#This Row],[Id]], T_Aop[], ID_Jezik +10, 1)</f>
        <v>533</v>
      </c>
      <c r="F396" s="80" t="str">
        <f>REPT( "  ", T_Aop[[#This Row],[Aop nivo]]) &amp; VLOOKUP( T_Aop[[#This Row],[Id]], T_Aop[], ID_Jezik + 6, 1)</f>
        <v xml:space="preserve">  d) Troškovi zakupa</v>
      </c>
      <c r="G396" s="320" t="s">
        <v>616</v>
      </c>
      <c r="H396" s="325" t="s">
        <v>617</v>
      </c>
      <c r="I396" s="325" t="s">
        <v>390</v>
      </c>
      <c r="J396" s="413" t="s">
        <v>2758</v>
      </c>
      <c r="K396" s="321">
        <v>533</v>
      </c>
      <c r="L396" s="321">
        <v>533</v>
      </c>
      <c r="M396" s="321">
        <v>533</v>
      </c>
      <c r="N396" s="360">
        <v>533</v>
      </c>
      <c r="O396" s="81"/>
      <c r="P396" s="81"/>
    </row>
    <row r="397" spans="1:16" x14ac:dyDescent="0.2">
      <c r="A397">
        <f t="shared" si="12"/>
        <v>396</v>
      </c>
      <c r="B397" s="79" t="s">
        <v>134</v>
      </c>
      <c r="C397" s="80">
        <v>1</v>
      </c>
      <c r="D397" s="80">
        <v>645</v>
      </c>
      <c r="E397" s="81" t="str">
        <f>VLOOKUP( T_Aop[[#This Row],[Id]], T_Aop[], ID_Jezik +10, 1)</f>
        <v>534 + 535</v>
      </c>
      <c r="F397" s="80" t="str">
        <f>REPT( "  ", T_Aop[[#This Row],[Aop nivo]]) &amp; VLOOKUP( T_Aop[[#This Row],[Id]], T_Aop[], ID_Jezik + 6, 1)</f>
        <v xml:space="preserve">  đ) Troškovi sajmova, reklame i propagande</v>
      </c>
      <c r="G397" s="320" t="s">
        <v>618</v>
      </c>
      <c r="H397" s="325" t="s">
        <v>619</v>
      </c>
      <c r="I397" s="325" t="s">
        <v>391</v>
      </c>
      <c r="J397" s="408" t="s">
        <v>2759</v>
      </c>
      <c r="K397" s="321" t="s">
        <v>752</v>
      </c>
      <c r="L397" s="326" t="s">
        <v>752</v>
      </c>
      <c r="M397" s="321" t="s">
        <v>752</v>
      </c>
      <c r="N397" s="354" t="s">
        <v>2794</v>
      </c>
      <c r="O397" s="81"/>
      <c r="P397" s="81"/>
    </row>
    <row r="398" spans="1:16" x14ac:dyDescent="0.2">
      <c r="A398">
        <f t="shared" si="12"/>
        <v>397</v>
      </c>
      <c r="B398" s="79" t="s">
        <v>134</v>
      </c>
      <c r="C398" s="80">
        <v>1</v>
      </c>
      <c r="D398" s="80">
        <v>646</v>
      </c>
      <c r="E398" s="81" t="str">
        <f>VLOOKUP( T_Aop[[#This Row],[Id]], T_Aop[], ID_Jezik +10, 1)</f>
        <v>536 + 537</v>
      </c>
      <c r="F398" s="80" t="str">
        <f>REPT( "  ", T_Aop[[#This Row],[Aop nivo]]) &amp; VLOOKUP( T_Aop[[#This Row],[Id]], T_Aop[], ID_Jezik + 6, 1)</f>
        <v xml:space="preserve">  e) Troškovi istraživanja i razvoja koji se ne kapitalizuju</v>
      </c>
      <c r="G398" s="320" t="s">
        <v>620</v>
      </c>
      <c r="H398" s="325" t="s">
        <v>621</v>
      </c>
      <c r="I398" s="325" t="s">
        <v>392</v>
      </c>
      <c r="J398" s="407" t="s">
        <v>2760</v>
      </c>
      <c r="K398" s="321" t="s">
        <v>753</v>
      </c>
      <c r="L398" s="321" t="s">
        <v>753</v>
      </c>
      <c r="M398" s="321" t="s">
        <v>753</v>
      </c>
      <c r="N398" s="67" t="s">
        <v>2795</v>
      </c>
      <c r="O398" s="81"/>
      <c r="P398" s="81"/>
    </row>
    <row r="399" spans="1:16" x14ac:dyDescent="0.2">
      <c r="A399">
        <f t="shared" si="12"/>
        <v>398</v>
      </c>
      <c r="B399" s="79" t="s">
        <v>134</v>
      </c>
      <c r="C399" s="80">
        <v>1</v>
      </c>
      <c r="D399" s="80">
        <v>647</v>
      </c>
      <c r="E399" s="81">
        <f>VLOOKUP( T_Aop[[#This Row],[Id]], T_Aop[], ID_Jezik +10, 1)</f>
        <v>539</v>
      </c>
      <c r="F399" s="80" t="str">
        <f>REPT( "  ", T_Aop[[#This Row],[Aop nivo]]) &amp; VLOOKUP( T_Aop[[#This Row],[Id]], T_Aop[], ID_Jezik + 6, 1)</f>
        <v xml:space="preserve">  ž) Troškovi ostalih usluga</v>
      </c>
      <c r="G399" s="320" t="s">
        <v>622</v>
      </c>
      <c r="H399" s="325" t="s">
        <v>623</v>
      </c>
      <c r="I399" s="325" t="s">
        <v>393</v>
      </c>
      <c r="J399" s="408" t="s">
        <v>2761</v>
      </c>
      <c r="K399" s="321">
        <v>539</v>
      </c>
      <c r="L399" s="321">
        <v>539</v>
      </c>
      <c r="M399" s="321">
        <v>539</v>
      </c>
      <c r="N399" s="354">
        <v>539</v>
      </c>
      <c r="O399" s="81"/>
      <c r="P399" s="81"/>
    </row>
    <row r="400" spans="1:16" ht="25.5" x14ac:dyDescent="0.2">
      <c r="A400">
        <f t="shared" si="12"/>
        <v>399</v>
      </c>
      <c r="B400" s="79" t="s">
        <v>134</v>
      </c>
      <c r="C400" s="80">
        <v>2</v>
      </c>
      <c r="D400" s="80">
        <v>648</v>
      </c>
      <c r="E400" s="81" t="str">
        <f>VLOOKUP( T_Aop[[#This Row],[Id]], T_Aop[], ID_Jezik +10, 1)</f>
        <v>dio 539</v>
      </c>
      <c r="F400" s="80" t="str">
        <f>REPT( "  ", T_Aop[[#This Row],[Aop nivo]]) &amp; VLOOKUP( T_Aop[[#This Row],[Id]], T_Aop[], ID_Jezik + 6, 1)</f>
        <v xml:space="preserve">    Od toga: bruto iznosi naknada po ugovorima sa fizičkim licima van radnog odnosa</v>
      </c>
      <c r="G400" s="320" t="s">
        <v>624</v>
      </c>
      <c r="H400" s="325" t="s">
        <v>625</v>
      </c>
      <c r="I400" s="325" t="s">
        <v>626</v>
      </c>
      <c r="J400" s="407" t="s">
        <v>2762</v>
      </c>
      <c r="K400" s="321" t="s">
        <v>362</v>
      </c>
      <c r="L400" s="321" t="s">
        <v>754</v>
      </c>
      <c r="M400" s="321" t="s">
        <v>370</v>
      </c>
      <c r="N400" s="67" t="s">
        <v>2796</v>
      </c>
      <c r="O400" s="81"/>
      <c r="P400" s="81"/>
    </row>
    <row r="401" spans="1:16" x14ac:dyDescent="0.2">
      <c r="A401">
        <f t="shared" si="12"/>
        <v>400</v>
      </c>
      <c r="B401" s="79" t="s">
        <v>134</v>
      </c>
      <c r="C401" s="80">
        <v>0</v>
      </c>
      <c r="D401" s="80">
        <v>649</v>
      </c>
      <c r="E401" s="81">
        <f>VLOOKUP( T_Aop[[#This Row],[Id]], T_Aop[], ID_Jezik +10, 1)</f>
        <v>55</v>
      </c>
      <c r="F401" s="80" t="str">
        <f>REPT( "  ", T_Aop[[#This Row],[Aop nivo]]) &amp; VLOOKUP( T_Aop[[#This Row],[Id]], T_Aop[], ID_Jezik + 6, 1)</f>
        <v>NEMATERIJALNI TROŠKOVI (650 + 653 + 654 + 655 + 656 + 657 + 658 + 659)</v>
      </c>
      <c r="G401" s="320" t="s">
        <v>813</v>
      </c>
      <c r="H401" s="325" t="s">
        <v>861</v>
      </c>
      <c r="I401" s="325" t="s">
        <v>862</v>
      </c>
      <c r="J401" s="410" t="s">
        <v>2763</v>
      </c>
      <c r="K401" s="321">
        <v>55</v>
      </c>
      <c r="L401" s="326">
        <v>55</v>
      </c>
      <c r="M401" s="321">
        <v>55</v>
      </c>
      <c r="N401" s="359">
        <v>55</v>
      </c>
      <c r="O401" s="81">
        <v>1</v>
      </c>
      <c r="P401" s="81"/>
    </row>
    <row r="402" spans="1:16" x14ac:dyDescent="0.2">
      <c r="A402">
        <f t="shared" si="12"/>
        <v>401</v>
      </c>
      <c r="B402" s="79" t="s">
        <v>134</v>
      </c>
      <c r="C402" s="80">
        <v>1</v>
      </c>
      <c r="D402" s="80">
        <v>650</v>
      </c>
      <c r="E402" s="81">
        <f>VLOOKUP( T_Aop[[#This Row],[Id]], T_Aop[], ID_Jezik +10, 1)</f>
        <v>550</v>
      </c>
      <c r="F402" s="80" t="str">
        <f>REPT( "  ", T_Aop[[#This Row],[Aop nivo]]) &amp; VLOOKUP( T_Aop[[#This Row],[Id]], T_Aop[], ID_Jezik + 6, 1)</f>
        <v xml:space="preserve">  a) Troškovi neproizvodnih usluga</v>
      </c>
      <c r="G402" s="320" t="s">
        <v>814</v>
      </c>
      <c r="H402" s="325" t="s">
        <v>839</v>
      </c>
      <c r="I402" s="325" t="s">
        <v>826</v>
      </c>
      <c r="J402" s="407" t="s">
        <v>2764</v>
      </c>
      <c r="K402" s="321">
        <v>550</v>
      </c>
      <c r="L402" s="326">
        <v>550</v>
      </c>
      <c r="M402" s="321">
        <v>550</v>
      </c>
      <c r="N402" s="67">
        <v>550</v>
      </c>
      <c r="O402" s="81"/>
      <c r="P402" s="81"/>
    </row>
    <row r="403" spans="1:16" ht="25.5" x14ac:dyDescent="0.2">
      <c r="A403">
        <f t="shared" si="12"/>
        <v>402</v>
      </c>
      <c r="B403" s="79" t="s">
        <v>134</v>
      </c>
      <c r="C403" s="80">
        <v>2</v>
      </c>
      <c r="D403" s="80">
        <v>651</v>
      </c>
      <c r="E403" s="81" t="str">
        <f>VLOOKUP( T_Aop[[#This Row],[Id]], T_Aop[], ID_Jezik +10, 1)</f>
        <v>dio 550</v>
      </c>
      <c r="F403" s="80" t="str">
        <f>REPT( "  ", T_Aop[[#This Row],[Aop nivo]]) &amp; VLOOKUP( T_Aop[[#This Row],[Id]], T_Aop[], ID_Jezik + 6, 1)</f>
        <v xml:space="preserve">    Od toga: troškovi stručnog obrazovanja i usavršavanja zaposlenih</v>
      </c>
      <c r="G403" s="320" t="s">
        <v>815</v>
      </c>
      <c r="H403" s="325" t="s">
        <v>838</v>
      </c>
      <c r="I403" s="325" t="s">
        <v>394</v>
      </c>
      <c r="J403" s="408" t="s">
        <v>2765</v>
      </c>
      <c r="K403" s="321" t="s">
        <v>59</v>
      </c>
      <c r="L403" s="326" t="s">
        <v>755</v>
      </c>
      <c r="M403" s="321" t="s">
        <v>371</v>
      </c>
      <c r="N403" s="354" t="s">
        <v>2797</v>
      </c>
      <c r="O403" s="81"/>
      <c r="P403" s="81"/>
    </row>
    <row r="404" spans="1:16" ht="25.5" x14ac:dyDescent="0.2">
      <c r="A404">
        <f t="shared" si="12"/>
        <v>403</v>
      </c>
      <c r="B404" s="79" t="s">
        <v>134</v>
      </c>
      <c r="C404" s="80">
        <v>2</v>
      </c>
      <c r="D404" s="80">
        <v>652</v>
      </c>
      <c r="E404" s="81" t="str">
        <f>VLOOKUP( T_Aop[[#This Row],[Id]], T_Aop[], ID_Jezik +10, 1)</f>
        <v>dio 550</v>
      </c>
      <c r="F404" s="80" t="str">
        <f>REPT( "  ", T_Aop[[#This Row],[Aop nivo]]) &amp; VLOOKUP( T_Aop[[#This Row],[Id]], T_Aop[], ID_Jezik + 6, 1)</f>
        <v xml:space="preserve">    Od toga: bruto iznosi naknada po ugovorima sa fizičkim licima van radnog odnosa</v>
      </c>
      <c r="G404" s="320" t="s">
        <v>624</v>
      </c>
      <c r="H404" s="325" t="s">
        <v>625</v>
      </c>
      <c r="I404" s="325" t="s">
        <v>626</v>
      </c>
      <c r="J404" s="408" t="s">
        <v>2762</v>
      </c>
      <c r="K404" s="321" t="s">
        <v>59</v>
      </c>
      <c r="L404" s="326" t="s">
        <v>755</v>
      </c>
      <c r="M404" s="321" t="s">
        <v>371</v>
      </c>
      <c r="N404" s="354" t="s">
        <v>2797</v>
      </c>
      <c r="O404" s="81"/>
      <c r="P404" s="81"/>
    </row>
    <row r="405" spans="1:16" x14ac:dyDescent="0.2">
      <c r="A405">
        <f t="shared" si="12"/>
        <v>404</v>
      </c>
      <c r="B405" s="79" t="s">
        <v>134</v>
      </c>
      <c r="C405" s="80">
        <v>1</v>
      </c>
      <c r="D405" s="80">
        <v>653</v>
      </c>
      <c r="E405" s="81">
        <f>VLOOKUP( T_Aop[[#This Row],[Id]], T_Aop[], ID_Jezik +10, 1)</f>
        <v>551</v>
      </c>
      <c r="F405" s="80" t="str">
        <f>REPT( "  ", T_Aop[[#This Row],[Aop nivo]]) &amp; VLOOKUP( T_Aop[[#This Row],[Id]], T_Aop[], ID_Jezik + 6, 1)</f>
        <v xml:space="preserve">  b) Troškovi reprezentacije</v>
      </c>
      <c r="G405" s="320" t="s">
        <v>816</v>
      </c>
      <c r="H405" s="325" t="s">
        <v>840</v>
      </c>
      <c r="I405" s="325" t="s">
        <v>827</v>
      </c>
      <c r="J405" s="407" t="s">
        <v>2766</v>
      </c>
      <c r="K405" s="321">
        <v>551</v>
      </c>
      <c r="L405" s="326">
        <v>551</v>
      </c>
      <c r="M405" s="321">
        <v>551</v>
      </c>
      <c r="N405" s="67">
        <v>551</v>
      </c>
      <c r="O405" s="81"/>
      <c r="P405" s="81"/>
    </row>
    <row r="406" spans="1:16" x14ac:dyDescent="0.2">
      <c r="A406">
        <f t="shared" si="12"/>
        <v>405</v>
      </c>
      <c r="B406" s="79" t="s">
        <v>134</v>
      </c>
      <c r="C406" s="80">
        <v>1</v>
      </c>
      <c r="D406" s="80">
        <v>654</v>
      </c>
      <c r="E406" s="81">
        <f>VLOOKUP( T_Aop[[#This Row],[Id]], T_Aop[], ID_Jezik +10, 1)</f>
        <v>552</v>
      </c>
      <c r="F406" s="80" t="str">
        <f>REPT( "  ", T_Aop[[#This Row],[Aop nivo]]) &amp; VLOOKUP( T_Aop[[#This Row],[Id]], T_Aop[], ID_Jezik + 6, 1)</f>
        <v xml:space="preserve">  v) Troškovi premije osiguranja</v>
      </c>
      <c r="G406" s="320" t="s">
        <v>817</v>
      </c>
      <c r="H406" s="325" t="s">
        <v>841</v>
      </c>
      <c r="I406" s="325" t="s">
        <v>828</v>
      </c>
      <c r="J406" s="408" t="s">
        <v>2767</v>
      </c>
      <c r="K406" s="321">
        <v>552</v>
      </c>
      <c r="L406" s="326">
        <v>552</v>
      </c>
      <c r="M406" s="321">
        <v>552</v>
      </c>
      <c r="N406" s="354">
        <v>552</v>
      </c>
      <c r="O406" s="81"/>
      <c r="P406" s="81"/>
    </row>
    <row r="407" spans="1:16" x14ac:dyDescent="0.2">
      <c r="A407">
        <f t="shared" si="12"/>
        <v>406</v>
      </c>
      <c r="B407" s="79" t="s">
        <v>134</v>
      </c>
      <c r="C407" s="80">
        <v>1</v>
      </c>
      <c r="D407" s="80">
        <v>655</v>
      </c>
      <c r="E407" s="81">
        <f>VLOOKUP( T_Aop[[#This Row],[Id]], T_Aop[], ID_Jezik +10, 1)</f>
        <v>553</v>
      </c>
      <c r="F407" s="80" t="str">
        <f>REPT( "  ", T_Aop[[#This Row],[Aop nivo]]) &amp; VLOOKUP( T_Aop[[#This Row],[Id]], T_Aop[], ID_Jezik + 6, 1)</f>
        <v xml:space="preserve">  g) Troškovi platnog prometa</v>
      </c>
      <c r="G407" s="320" t="s">
        <v>818</v>
      </c>
      <c r="H407" s="325" t="s">
        <v>842</v>
      </c>
      <c r="I407" s="325" t="s">
        <v>829</v>
      </c>
      <c r="J407" s="407" t="s">
        <v>2768</v>
      </c>
      <c r="K407" s="321">
        <v>553</v>
      </c>
      <c r="L407" s="326">
        <v>553</v>
      </c>
      <c r="M407" s="321">
        <v>553</v>
      </c>
      <c r="N407" s="67">
        <v>553</v>
      </c>
      <c r="O407" s="81"/>
      <c r="P407" s="81"/>
    </row>
    <row r="408" spans="1:16" x14ac:dyDescent="0.2">
      <c r="A408">
        <f t="shared" si="12"/>
        <v>407</v>
      </c>
      <c r="B408" s="79" t="s">
        <v>134</v>
      </c>
      <c r="C408" s="80">
        <v>1</v>
      </c>
      <c r="D408" s="80">
        <v>656</v>
      </c>
      <c r="E408" s="81">
        <f>VLOOKUP( T_Aop[[#This Row],[Id]], T_Aop[], ID_Jezik +10, 1)</f>
        <v>554</v>
      </c>
      <c r="F408" s="80" t="str">
        <f>REPT( "  ", T_Aop[[#This Row],[Aop nivo]]) &amp; VLOOKUP( T_Aop[[#This Row],[Id]], T_Aop[], ID_Jezik + 6, 1)</f>
        <v xml:space="preserve">  d) Troškovi članarina</v>
      </c>
      <c r="G408" s="320" t="s">
        <v>819</v>
      </c>
      <c r="H408" s="325" t="s">
        <v>843</v>
      </c>
      <c r="I408" s="325" t="s">
        <v>830</v>
      </c>
      <c r="J408" s="408" t="s">
        <v>2769</v>
      </c>
      <c r="K408" s="321">
        <v>554</v>
      </c>
      <c r="L408" s="321">
        <v>554</v>
      </c>
      <c r="M408" s="321">
        <v>554</v>
      </c>
      <c r="N408" s="354">
        <v>554</v>
      </c>
      <c r="O408" s="81"/>
      <c r="P408" s="81"/>
    </row>
    <row r="409" spans="1:16" ht="25.5" x14ac:dyDescent="0.2">
      <c r="A409">
        <f t="shared" si="12"/>
        <v>408</v>
      </c>
      <c r="B409" s="79" t="s">
        <v>134</v>
      </c>
      <c r="C409" s="80">
        <v>1</v>
      </c>
      <c r="D409" s="80">
        <v>657</v>
      </c>
      <c r="E409" s="81" t="str">
        <f>VLOOKUP( T_Aop[[#This Row],[Id]], T_Aop[], ID_Jezik +10, 1)</f>
        <v>dio 555</v>
      </c>
      <c r="F409" s="80" t="str">
        <f>REPT( "  ", T_Aop[[#This Row],[Aop nivo]]) &amp; VLOOKUP( T_Aop[[#This Row],[Id]], T_Aop[], ID_Jezik + 6, 1)</f>
        <v xml:space="preserve">  đ) Troškovi poreza na proizvode, carine, boravišne takse, porez na igre na sreću i sl.</v>
      </c>
      <c r="G409" s="320" t="s">
        <v>820</v>
      </c>
      <c r="H409" s="325" t="s">
        <v>844</v>
      </c>
      <c r="I409" s="325" t="s">
        <v>831</v>
      </c>
      <c r="J409" s="407" t="s">
        <v>2770</v>
      </c>
      <c r="K409" s="321" t="s">
        <v>363</v>
      </c>
      <c r="L409" s="321" t="s">
        <v>756</v>
      </c>
      <c r="M409" s="321" t="s">
        <v>372</v>
      </c>
      <c r="N409" s="67" t="s">
        <v>2798</v>
      </c>
      <c r="O409" s="81"/>
      <c r="P409" s="81"/>
    </row>
    <row r="410" spans="1:16" ht="25.5" x14ac:dyDescent="0.2">
      <c r="A410">
        <f t="shared" si="12"/>
        <v>409</v>
      </c>
      <c r="B410" t="s">
        <v>134</v>
      </c>
      <c r="C410" s="80">
        <v>1</v>
      </c>
      <c r="D410">
        <v>658</v>
      </c>
      <c r="E410" s="2" t="str">
        <f>VLOOKUP( T_Aop[[#This Row],[Id]], T_Aop[], ID_Jezik +10, 1)</f>
        <v>dio 555</v>
      </c>
      <c r="F410" t="str">
        <f>REPT( "  ", T_Aop[[#This Row],[Aop nivo]]) &amp; VLOOKUP( T_Aop[[#This Row],[Id]], T_Aop[], ID_Jezik + 6, 1)</f>
        <v xml:space="preserve">  e) Troškovi poreza na proizvodnju: na imovinu, na zemljište, za korišćenje voda i šuma, za protivpožarnu zaštitu i sl.</v>
      </c>
      <c r="G410" s="309" t="s">
        <v>822</v>
      </c>
      <c r="H410" s="325" t="s">
        <v>845</v>
      </c>
      <c r="I410" s="325" t="s">
        <v>832</v>
      </c>
      <c r="J410" s="408" t="s">
        <v>2771</v>
      </c>
      <c r="K410" s="313" t="s">
        <v>363</v>
      </c>
      <c r="L410" s="321" t="s">
        <v>756</v>
      </c>
      <c r="M410" s="321" t="s">
        <v>372</v>
      </c>
      <c r="N410" s="354" t="s">
        <v>2798</v>
      </c>
      <c r="O410" s="81"/>
      <c r="P410" s="81">
        <v>1</v>
      </c>
    </row>
    <row r="411" spans="1:16" x14ac:dyDescent="0.2">
      <c r="A411">
        <f t="shared" si="12"/>
        <v>410</v>
      </c>
      <c r="B411" t="s">
        <v>134</v>
      </c>
      <c r="C411" s="80">
        <v>1</v>
      </c>
      <c r="D411" s="3">
        <v>659</v>
      </c>
      <c r="E411" s="10">
        <f>VLOOKUP( T_Aop[[#This Row],[Id]], T_Aop[], ID_Jezik +10, 1)</f>
        <v>559</v>
      </c>
      <c r="F411" s="3" t="str">
        <f>REPT( "  ", T_Aop[[#This Row],[Aop nivo]]) &amp; VLOOKUP( T_Aop[[#This Row],[Id]], T_Aop[], ID_Jezik + 6, 1)</f>
        <v xml:space="preserve">  ž) Ostali nematerijalni troškovi</v>
      </c>
      <c r="G411" s="309" t="s">
        <v>821</v>
      </c>
      <c r="H411" s="325" t="s">
        <v>846</v>
      </c>
      <c r="I411" s="325" t="s">
        <v>833</v>
      </c>
      <c r="J411" s="407" t="s">
        <v>2802</v>
      </c>
      <c r="K411" s="313">
        <v>559</v>
      </c>
      <c r="L411" s="321">
        <v>559</v>
      </c>
      <c r="M411" s="321">
        <v>559</v>
      </c>
      <c r="N411" s="67">
        <v>559</v>
      </c>
      <c r="O411" s="81"/>
      <c r="P411" s="81"/>
    </row>
    <row r="412" spans="1:16" x14ac:dyDescent="0.2">
      <c r="A412">
        <f t="shared" si="12"/>
        <v>411</v>
      </c>
      <c r="B412" t="s">
        <v>134</v>
      </c>
      <c r="C412" s="80">
        <v>0</v>
      </c>
      <c r="D412" s="3">
        <v>660</v>
      </c>
      <c r="E412" s="10">
        <f>VLOOKUP( T_Aop[[#This Row],[Id]], T_Aop[], ID_Jezik +10, 1)</f>
        <v>0</v>
      </c>
      <c r="F412" s="3" t="str">
        <f>REPT( "  ", T_Aop[[#This Row],[Aop nivo]]) &amp; VLOOKUP( T_Aop[[#This Row],[Id]], T_Aop[], ID_Jezik + 6, 1)</f>
        <v>OBAVEZE I POTRAŽIVANJA</v>
      </c>
      <c r="G412" s="300" t="s">
        <v>395</v>
      </c>
      <c r="H412" s="325" t="s">
        <v>627</v>
      </c>
      <c r="I412" s="325" t="s">
        <v>396</v>
      </c>
      <c r="J412" s="410" t="s">
        <v>2803</v>
      </c>
      <c r="K412" s="313"/>
      <c r="L412" s="313"/>
      <c r="M412" s="313"/>
      <c r="N412" s="335"/>
      <c r="O412" s="81">
        <v>1</v>
      </c>
      <c r="P412" s="81"/>
    </row>
    <row r="413" spans="1:16" x14ac:dyDescent="0.2">
      <c r="A413">
        <f t="shared" si="12"/>
        <v>412</v>
      </c>
      <c r="B413" t="s">
        <v>134</v>
      </c>
      <c r="C413" s="80">
        <v>1</v>
      </c>
      <c r="D413" s="3">
        <v>661</v>
      </c>
      <c r="E413" s="10" t="str">
        <f>VLOOKUP( T_Aop[[#This Row],[Id]], T_Aop[], ID_Jezik +10, 1)</f>
        <v>47, osim 479</v>
      </c>
      <c r="F413" s="3" t="str">
        <f>REPT( "  ", T_Aop[[#This Row],[Aop nivo]]) &amp; VLOOKUP( T_Aop[[#This Row],[Id]], T_Aop[], ID_Jezik + 6, 1)</f>
        <v xml:space="preserve">  Obračunati (fakturisani) porez na dodatu vrijednost (kumulativan promet konta)</v>
      </c>
      <c r="G413" s="309" t="s">
        <v>397</v>
      </c>
      <c r="H413" s="325" t="s">
        <v>628</v>
      </c>
      <c r="I413" s="325" t="s">
        <v>398</v>
      </c>
      <c r="J413" s="407" t="s">
        <v>2804</v>
      </c>
      <c r="K413" s="313" t="s">
        <v>34</v>
      </c>
      <c r="L413" s="321" t="s">
        <v>757</v>
      </c>
      <c r="M413" s="321" t="s">
        <v>26</v>
      </c>
      <c r="N413" s="67" t="s">
        <v>2799</v>
      </c>
      <c r="O413" s="81"/>
      <c r="P413" s="81"/>
    </row>
    <row r="414" spans="1:16" x14ac:dyDescent="0.2">
      <c r="A414">
        <f t="shared" si="12"/>
        <v>413</v>
      </c>
      <c r="B414" t="s">
        <v>134</v>
      </c>
      <c r="C414">
        <v>1</v>
      </c>
      <c r="D414" s="3">
        <v>662</v>
      </c>
      <c r="E414" s="10" t="str">
        <f>VLOOKUP( T_Aop[[#This Row],[Id]], T_Aop[], ID_Jezik +10, 1)</f>
        <v>27, osim 279</v>
      </c>
      <c r="F414" s="3" t="str">
        <f>REPT( "  ", T_Aop[[#This Row],[Aop nivo]]) &amp; VLOOKUP( T_Aop[[#This Row],[Id]], T_Aop[], ID_Jezik + 6, 1)</f>
        <v xml:space="preserve">  Ulazni porez na dodatu vrijednost (kumulativan promet konta)</v>
      </c>
      <c r="G414" s="309" t="s">
        <v>399</v>
      </c>
      <c r="H414" s="307" t="s">
        <v>629</v>
      </c>
      <c r="I414" s="307" t="s">
        <v>400</v>
      </c>
      <c r="J414" s="408" t="s">
        <v>2805</v>
      </c>
      <c r="K414" s="313" t="s">
        <v>35</v>
      </c>
      <c r="L414" s="313" t="s">
        <v>758</v>
      </c>
      <c r="M414" s="313" t="s">
        <v>27</v>
      </c>
      <c r="N414" s="354" t="s">
        <v>2800</v>
      </c>
      <c r="O414" s="10"/>
      <c r="P414" s="10"/>
    </row>
    <row r="415" spans="1:16" ht="25.5" x14ac:dyDescent="0.2">
      <c r="A415">
        <f t="shared" si="12"/>
        <v>414</v>
      </c>
      <c r="B415" t="s">
        <v>134</v>
      </c>
      <c r="C415" s="3">
        <v>1</v>
      </c>
      <c r="D415" s="3">
        <v>663</v>
      </c>
      <c r="E415" s="10">
        <f>VLOOKUP( T_Aop[[#This Row],[Id]], T_Aop[], ID_Jezik +10, 1)</f>
        <v>479</v>
      </c>
      <c r="F415" s="3" t="str">
        <f>REPT( "  ", T_Aop[[#This Row],[Aop nivo]]) &amp; VLOOKUP( T_Aop[[#This Row],[Id]], T_Aop[], ID_Jezik + 6, 1)</f>
        <v xml:space="preserve">  Obaveze za PDV po osnovu razlike između obračunatog i akontacionog PDV-a (saldo konta)</v>
      </c>
      <c r="G415" s="309" t="s">
        <v>630</v>
      </c>
      <c r="H415" s="307" t="s">
        <v>631</v>
      </c>
      <c r="I415" s="307" t="s">
        <v>401</v>
      </c>
      <c r="J415" s="407" t="s">
        <v>2806</v>
      </c>
      <c r="K415" s="313">
        <v>479</v>
      </c>
      <c r="L415" s="313">
        <v>479</v>
      </c>
      <c r="M415" s="313">
        <v>479</v>
      </c>
      <c r="N415" s="67">
        <v>479</v>
      </c>
      <c r="O415" s="10"/>
      <c r="P415" s="10"/>
    </row>
    <row r="416" spans="1:16" ht="25.5" x14ac:dyDescent="0.2">
      <c r="A416">
        <f t="shared" ref="A416:A456" si="13">ROW()-ROW($A$1)</f>
        <v>415</v>
      </c>
      <c r="B416" t="s">
        <v>134</v>
      </c>
      <c r="C416" s="3">
        <v>1</v>
      </c>
      <c r="D416" s="3">
        <v>664</v>
      </c>
      <c r="E416" s="10">
        <f>VLOOKUP( T_Aop[[#This Row],[Id]], T_Aop[], ID_Jezik +10, 1)</f>
        <v>279</v>
      </c>
      <c r="F416" s="3" t="str">
        <f>REPT( "  ", T_Aop[[#This Row],[Aop nivo]]) &amp; VLOOKUP( T_Aop[[#This Row],[Id]], T_Aop[], ID_Jezik + 6, 1)</f>
        <v xml:space="preserve">  Potraživanja po osnovu razlike između akontacionog i obračunatog PDV-a (saldo konta)</v>
      </c>
      <c r="G416" s="309" t="s">
        <v>632</v>
      </c>
      <c r="H416" s="307" t="s">
        <v>633</v>
      </c>
      <c r="I416" s="307" t="s">
        <v>402</v>
      </c>
      <c r="J416" s="408" t="s">
        <v>2807</v>
      </c>
      <c r="K416" s="313">
        <v>279</v>
      </c>
      <c r="L416" s="313">
        <v>279</v>
      </c>
      <c r="M416" s="313">
        <v>279</v>
      </c>
      <c r="N416" s="354">
        <v>279</v>
      </c>
      <c r="O416" s="10"/>
      <c r="P416" s="10"/>
    </row>
    <row r="417" spans="1:16" x14ac:dyDescent="0.2">
      <c r="A417">
        <f t="shared" si="13"/>
        <v>416</v>
      </c>
      <c r="B417" t="s">
        <v>134</v>
      </c>
      <c r="C417" s="3">
        <v>1</v>
      </c>
      <c r="D417" s="3">
        <v>665</v>
      </c>
      <c r="E417" s="10">
        <f>VLOOKUP( T_Aop[[#This Row],[Id]], T_Aop[], ID_Jezik +10, 1)</f>
        <v>271</v>
      </c>
      <c r="F417" s="3" t="str">
        <f>REPT( "  ", T_Aop[[#This Row],[Aop nivo]]) &amp; VLOOKUP( T_Aop[[#This Row],[Id]], T_Aop[], ID_Jezik + 6, 1)</f>
        <v xml:space="preserve">  PDV plaćen pri uvozu (kumulativan promet konta)</v>
      </c>
      <c r="G417" s="309" t="s">
        <v>634</v>
      </c>
      <c r="H417" s="307" t="s">
        <v>635</v>
      </c>
      <c r="I417" s="307" t="s">
        <v>403</v>
      </c>
      <c r="J417" s="407" t="s">
        <v>2808</v>
      </c>
      <c r="K417" s="313">
        <v>271</v>
      </c>
      <c r="L417" s="313">
        <v>271</v>
      </c>
      <c r="M417" s="313">
        <v>271</v>
      </c>
      <c r="N417" s="67">
        <v>271</v>
      </c>
      <c r="O417" s="10"/>
      <c r="P417" s="10"/>
    </row>
    <row r="418" spans="1:16" x14ac:dyDescent="0.2">
      <c r="A418">
        <f t="shared" si="13"/>
        <v>417</v>
      </c>
      <c r="B418" t="s">
        <v>134</v>
      </c>
      <c r="C418" s="3">
        <v>1</v>
      </c>
      <c r="D418" s="3">
        <v>666</v>
      </c>
      <c r="E418" s="10">
        <f>VLOOKUP( T_Aop[[#This Row],[Id]], T_Aop[], ID_Jezik +10, 1)</f>
        <v>484</v>
      </c>
      <c r="F418" s="3" t="str">
        <f>REPT( "  ", T_Aop[[#This Row],[Aop nivo]]) &amp; VLOOKUP( T_Aop[[#This Row],[Id]], T_Aop[], ID_Jezik + 6, 1)</f>
        <v xml:space="preserve">  Obaveze za PDV plaćen pri uvozu (kumulativan promet konta)</v>
      </c>
      <c r="G418" s="309" t="s">
        <v>404</v>
      </c>
      <c r="H418" s="307" t="s">
        <v>636</v>
      </c>
      <c r="I418" s="307" t="s">
        <v>405</v>
      </c>
      <c r="J418" s="408" t="s">
        <v>2809</v>
      </c>
      <c r="K418" s="313">
        <v>484</v>
      </c>
      <c r="L418" s="313">
        <v>484</v>
      </c>
      <c r="M418" s="313">
        <v>484</v>
      </c>
      <c r="N418" s="354">
        <v>484</v>
      </c>
      <c r="O418" s="10"/>
      <c r="P418" s="10"/>
    </row>
    <row r="419" spans="1:16" x14ac:dyDescent="0.2">
      <c r="A419">
        <f t="shared" si="13"/>
        <v>418</v>
      </c>
      <c r="B419" t="s">
        <v>134</v>
      </c>
      <c r="C419" s="3">
        <v>1</v>
      </c>
      <c r="D419" s="3">
        <v>667</v>
      </c>
      <c r="E419" s="10">
        <f>VLOOKUP( T_Aop[[#This Row],[Id]], T_Aop[], ID_Jezik +10, 1)</f>
        <v>480</v>
      </c>
      <c r="F419" s="3" t="str">
        <f>REPT( "  ", T_Aop[[#This Row],[Aop nivo]]) &amp; VLOOKUP( T_Aop[[#This Row],[Id]], T_Aop[], ID_Jezik + 6, 1)</f>
        <v xml:space="preserve">  Obaveze za akcize (kumulativan promet konta)</v>
      </c>
      <c r="G419" s="309" t="s">
        <v>406</v>
      </c>
      <c r="H419" s="307" t="s">
        <v>637</v>
      </c>
      <c r="I419" s="307" t="s">
        <v>407</v>
      </c>
      <c r="J419" s="407" t="s">
        <v>2810</v>
      </c>
      <c r="K419" s="313">
        <v>480</v>
      </c>
      <c r="L419" s="313">
        <v>480</v>
      </c>
      <c r="M419" s="313">
        <v>480</v>
      </c>
      <c r="N419" s="67">
        <v>480</v>
      </c>
      <c r="O419" s="10"/>
      <c r="P419" s="10"/>
    </row>
    <row r="420" spans="1:16" x14ac:dyDescent="0.2">
      <c r="A420">
        <f t="shared" si="13"/>
        <v>419</v>
      </c>
      <c r="B420" t="s">
        <v>134</v>
      </c>
      <c r="C420" s="3">
        <v>1</v>
      </c>
      <c r="D420" s="3">
        <v>668</v>
      </c>
      <c r="E420" s="10" t="str">
        <f>VLOOKUP( T_Aop[[#This Row],[Id]], T_Aop[], ID_Jezik +10, 1)</f>
        <v>nema konta</v>
      </c>
      <c r="F420" s="3" t="str">
        <f>REPT( "  ", T_Aop[[#This Row],[Aop nivo]]) &amp; VLOOKUP( T_Aop[[#This Row],[Id]], T_Aop[], ID_Jezik + 6, 1)</f>
        <v xml:space="preserve">  Prihodi ostvareni na bazi podugovaranja</v>
      </c>
      <c r="G420" s="309" t="s">
        <v>408</v>
      </c>
      <c r="H420" s="307" t="s">
        <v>638</v>
      </c>
      <c r="I420" s="307" t="s">
        <v>409</v>
      </c>
      <c r="J420" s="408" t="s">
        <v>2811</v>
      </c>
      <c r="K420" s="313" t="s">
        <v>804</v>
      </c>
      <c r="L420" s="313" t="s">
        <v>834</v>
      </c>
      <c r="M420" s="313"/>
      <c r="N420" s="354" t="s">
        <v>2801</v>
      </c>
      <c r="O420" s="10"/>
      <c r="P420" s="10"/>
    </row>
    <row r="421" spans="1:16" x14ac:dyDescent="0.2">
      <c r="A421">
        <f t="shared" si="13"/>
        <v>420</v>
      </c>
      <c r="B421" t="s">
        <v>134</v>
      </c>
      <c r="C421" s="3">
        <v>1</v>
      </c>
      <c r="D421" s="3">
        <v>669</v>
      </c>
      <c r="E421" s="10" t="str">
        <f>VLOOKUP( T_Aop[[#This Row],[Id]], T_Aop[], ID_Jezik +10, 1)</f>
        <v>nema konta</v>
      </c>
      <c r="F421" s="3" t="str">
        <f>REPT( "  ", T_Aop[[#This Row],[Aop nivo]]) &amp; VLOOKUP( T_Aop[[#This Row],[Id]], T_Aop[], ID_Jezik + 6, 1)</f>
        <v xml:space="preserve">  Plaćanja podugovaračima za rad, isporučene proizvode i usluge</v>
      </c>
      <c r="G421" s="309" t="s">
        <v>355</v>
      </c>
      <c r="H421" s="307" t="s">
        <v>639</v>
      </c>
      <c r="I421" s="307" t="s">
        <v>410</v>
      </c>
      <c r="J421" s="407" t="s">
        <v>2812</v>
      </c>
      <c r="K421" s="313" t="s">
        <v>804</v>
      </c>
      <c r="L421" s="313" t="s">
        <v>834</v>
      </c>
      <c r="M421" s="313"/>
      <c r="N421" s="67" t="s">
        <v>2801</v>
      </c>
      <c r="O421" s="10"/>
      <c r="P421" s="10"/>
    </row>
    <row r="422" spans="1:16" ht="25.5" x14ac:dyDescent="0.2">
      <c r="A422">
        <f t="shared" si="13"/>
        <v>421</v>
      </c>
      <c r="B422" t="s">
        <v>134</v>
      </c>
      <c r="C422" s="3">
        <v>1</v>
      </c>
      <c r="D422" s="3">
        <v>670</v>
      </c>
      <c r="E422" s="10" t="str">
        <f>VLOOKUP( T_Aop[[#This Row],[Id]], T_Aop[], ID_Jezik +10, 1)</f>
        <v>nema konta</v>
      </c>
      <c r="F422" s="3" t="str">
        <f>REPT( "  ", T_Aop[[#This Row],[Aop nivo]]) &amp; VLOOKUP( T_Aop[[#This Row],[Id]], T_Aop[], ID_Jezik + 6, 1)</f>
        <v xml:space="preserve">  Ukupan broj odrađenih časova rada (efektivni časovi rada bez bolovanja, godišnjih odmora, državnih praznika i sl.)</v>
      </c>
      <c r="G422" s="309" t="s">
        <v>356</v>
      </c>
      <c r="H422" s="307" t="s">
        <v>640</v>
      </c>
      <c r="I422" s="307" t="s">
        <v>411</v>
      </c>
      <c r="J422" s="408" t="s">
        <v>2813</v>
      </c>
      <c r="K422" s="313" t="s">
        <v>804</v>
      </c>
      <c r="L422" s="313" t="s">
        <v>834</v>
      </c>
      <c r="M422" s="313"/>
      <c r="N422" s="361" t="s">
        <v>2801</v>
      </c>
      <c r="O422" s="10"/>
      <c r="P422" s="10">
        <v>1</v>
      </c>
    </row>
    <row r="423" spans="1:16" x14ac:dyDescent="0.2">
      <c r="A423">
        <f>ROW()-ROW($A$1)</f>
        <v>422</v>
      </c>
      <c r="B423" t="s">
        <v>135</v>
      </c>
      <c r="C423" s="3"/>
      <c r="D423" s="3"/>
      <c r="E423" s="10">
        <f>VLOOKUP( T_Aop[[#This Row],[Id]], T_Aop[], ID_Jezik +10, 1)</f>
        <v>0</v>
      </c>
      <c r="F423" s="3" t="str">
        <f>REPT( "  ", T_Aop[[#This Row],[Aop nivo]]) &amp; VLOOKUP( T_Aop[[#This Row],[Id]], T_Aop[], ID_Jezik + 6, 1)</f>
        <v/>
      </c>
      <c r="H423" s="307"/>
      <c r="I423" s="307"/>
      <c r="K423" s="313"/>
      <c r="L423" s="313"/>
      <c r="M423" s="313"/>
      <c r="N423" s="311"/>
      <c r="O423" s="10"/>
      <c r="P423" s="10"/>
    </row>
    <row r="424" spans="1:16" x14ac:dyDescent="0.2">
      <c r="A424">
        <f t="shared" si="13"/>
        <v>423</v>
      </c>
      <c r="B424" t="s">
        <v>135</v>
      </c>
      <c r="C424" s="3">
        <v>0</v>
      </c>
      <c r="D424">
        <v>901</v>
      </c>
      <c r="E424" s="2" t="str">
        <f>VLOOKUP( T_Aop[[#This Row],[Id]], T_Aop[], ID_Jezik +10, 1)</f>
        <v>1.</v>
      </c>
      <c r="F424" t="str">
        <f>REPT( "  ", T_Aop[[#This Row],[Aop nivo]]) &amp; VLOOKUP( T_Aop[[#This Row],[Id]], T_Aop[], ID_Jezik + 6, 1)</f>
        <v>Stanje na dan 01.01.2024. god.</v>
      </c>
      <c r="G424" s="327" t="str">
        <f>CONCATENATE("Stanje na dan ", Podesavanja!$X$6, " god.")</f>
        <v>Stanje na dan 01.01.2024. god.</v>
      </c>
      <c r="H424" s="328" t="str">
        <f>CONCATENATE("Стање на дан ", Podesavanja!$X$6, " год.")</f>
        <v>Стање на дан 01.01.2024. год.</v>
      </c>
      <c r="I424" s="328" t="str">
        <f>CONCATENATE("1. Value on day ", Podesavanja!$Y$6)</f>
        <v>1. Value on day 01.01.2024</v>
      </c>
      <c r="J424" s="328" t="str">
        <f>CONCATENATE("1. Состояние на дату", Podesavanja!$Y$6)</f>
        <v>1. Состояние на дату01.01.2024</v>
      </c>
      <c r="K424" s="313" t="s">
        <v>772</v>
      </c>
      <c r="L424" s="313" t="s">
        <v>772</v>
      </c>
      <c r="M424" s="313" t="s">
        <v>772</v>
      </c>
      <c r="N424" s="313" t="s">
        <v>772</v>
      </c>
      <c r="O424" s="10">
        <v>1</v>
      </c>
      <c r="P424" s="10"/>
    </row>
    <row r="425" spans="1:16" x14ac:dyDescent="0.2">
      <c r="A425">
        <f>ROW()-ROW($A$1)</f>
        <v>424</v>
      </c>
      <c r="B425" t="s">
        <v>135</v>
      </c>
      <c r="C425" s="3"/>
      <c r="E425" s="2">
        <f>VLOOKUP( T_Aop[[#This Row],[Id]], T_Aop[], ID_Jezik +10, 1)</f>
        <v>0</v>
      </c>
      <c r="F425" t="str">
        <f>REPT( "  ", T_Aop[[#This Row],[Aop nivo]]) &amp; VLOOKUP( T_Aop[[#This Row],[Id]], T_Aop[], ID_Jezik + 6, 1)</f>
        <v/>
      </c>
      <c r="G425" s="327"/>
      <c r="H425" s="328"/>
      <c r="I425" s="328"/>
      <c r="K425" s="313"/>
      <c r="L425" s="313"/>
      <c r="M425" s="313"/>
      <c r="N425" s="313"/>
      <c r="O425" s="10"/>
      <c r="P425" s="10"/>
    </row>
    <row r="426" spans="1:16" x14ac:dyDescent="0.2">
      <c r="A426">
        <f t="shared" si="13"/>
        <v>425</v>
      </c>
      <c r="B426" t="s">
        <v>135</v>
      </c>
      <c r="C426" s="3">
        <v>2</v>
      </c>
      <c r="D426">
        <v>902</v>
      </c>
      <c r="E426" s="2" t="str">
        <f>VLOOKUP( T_Aop[[#This Row],[Id]], T_Aop[], ID_Jezik +10, 1)</f>
        <v>2.</v>
      </c>
      <c r="F426" t="str">
        <f>REPT( "  ", T_Aop[[#This Row],[Aop nivo]]) &amp; VLOOKUP( T_Aop[[#This Row],[Id]], T_Aop[], ID_Jezik + 6, 1)</f>
        <v xml:space="preserve">    2. Efekti promjena u računovodstvenim politikama </v>
      </c>
      <c r="G426" s="309" t="s">
        <v>1717</v>
      </c>
      <c r="H426" s="307" t="s">
        <v>1748</v>
      </c>
      <c r="I426" s="307" t="s">
        <v>2616</v>
      </c>
      <c r="J426" s="302" t="s">
        <v>2561</v>
      </c>
      <c r="K426" s="313" t="s">
        <v>773</v>
      </c>
      <c r="L426" s="313" t="s">
        <v>773</v>
      </c>
      <c r="M426" s="313" t="s">
        <v>773</v>
      </c>
      <c r="N426" s="313" t="s">
        <v>773</v>
      </c>
      <c r="O426" s="10"/>
      <c r="P426" s="10"/>
    </row>
    <row r="427" spans="1:16" x14ac:dyDescent="0.2">
      <c r="A427">
        <f t="shared" si="13"/>
        <v>426</v>
      </c>
      <c r="B427" t="s">
        <v>135</v>
      </c>
      <c r="C427" s="3">
        <v>2</v>
      </c>
      <c r="D427">
        <v>903</v>
      </c>
      <c r="E427" s="2" t="str">
        <f>VLOOKUP( T_Aop[[#This Row],[Id]], T_Aop[], ID_Jezik +10, 1)</f>
        <v>3.</v>
      </c>
      <c r="F427" t="str">
        <f>REPT( "  ", T_Aop[[#This Row],[Aop nivo]]) &amp; VLOOKUP( T_Aop[[#This Row],[Id]], T_Aop[], ID_Jezik + 6, 1)</f>
        <v xml:space="preserve">    3. Efekti ispravki grešaka</v>
      </c>
      <c r="G427" s="309" t="s">
        <v>2366</v>
      </c>
      <c r="H427" s="307" t="s">
        <v>2363</v>
      </c>
      <c r="I427" s="307" t="s">
        <v>2617</v>
      </c>
      <c r="J427" s="302" t="s">
        <v>2562</v>
      </c>
      <c r="K427" s="313" t="s">
        <v>774</v>
      </c>
      <c r="L427" s="313" t="s">
        <v>774</v>
      </c>
      <c r="M427" s="313" t="s">
        <v>774</v>
      </c>
      <c r="N427" s="313" t="s">
        <v>774</v>
      </c>
      <c r="O427" s="10"/>
      <c r="P427" s="10"/>
    </row>
    <row r="428" spans="1:16" ht="25.5" x14ac:dyDescent="0.2">
      <c r="A428">
        <f t="shared" si="13"/>
        <v>427</v>
      </c>
      <c r="B428" t="s">
        <v>135</v>
      </c>
      <c r="C428" s="3">
        <v>1</v>
      </c>
      <c r="D428">
        <v>904</v>
      </c>
      <c r="E428" s="2" t="str">
        <f>VLOOKUP( T_Aop[[#This Row],[Id]], T_Aop[], ID_Jezik +10, 1)</f>
        <v>4.</v>
      </c>
      <c r="F428" t="str">
        <f>REPT( "  ", T_Aop[[#This Row],[Aop nivo]]) &amp; VLOOKUP( T_Aop[[#This Row],[Id]], T_Aop[], ID_Jezik + 6, 1)</f>
        <v xml:space="preserve">  4. Ponovo iskazano stanje na dan 01.01.2024. god. (901 ± 902 ± 903)</v>
      </c>
      <c r="G428" s="332" t="str">
        <f>CONCATENATE("4. Ponovo iskazano stanje na dan ", Podesavanja!$X$6, " god. (901 ± 902 ± 903)")</f>
        <v>4. Ponovo iskazano stanje na dan 01.01.2024. god. (901 ± 902 ± 903)</v>
      </c>
      <c r="H428" s="328" t="str">
        <f>CONCATENATE("4. Поново исказано стање на дан ", Podesavanja!$X$6, " год.  (901 ± 902 ± 903)")</f>
        <v>4. Поново исказано стање на дан 01.01.2024. год.  (901 ± 902 ± 903)</v>
      </c>
      <c r="I428" s="328" t="str">
        <f>CONCATENATE("4. New value on day ",  Podesavanja!$Y$6, " (901 ± 902 ± 903)")</f>
        <v>4. New value on day 01.01.2024 (901 ± 902 ± 903)</v>
      </c>
      <c r="J428" s="331" t="str">
        <f>CONCATENATE("4. Повторно представленное состояние на дату ", Podesavanja!$X$6, " года (901 ± 902 ± 903)")</f>
        <v>4. Повторно представленное состояние на дату 01.01.2024. года (901 ± 902 ± 903)</v>
      </c>
      <c r="K428" s="313" t="s">
        <v>775</v>
      </c>
      <c r="L428" s="313" t="s">
        <v>775</v>
      </c>
      <c r="M428" s="313" t="s">
        <v>775</v>
      </c>
      <c r="N428" s="313" t="s">
        <v>775</v>
      </c>
      <c r="O428" s="10">
        <v>1</v>
      </c>
      <c r="P428" s="10"/>
    </row>
    <row r="429" spans="1:16" x14ac:dyDescent="0.2">
      <c r="A429">
        <f>ROW()-ROW($A$1)</f>
        <v>428</v>
      </c>
      <c r="B429" t="s">
        <v>135</v>
      </c>
      <c r="C429" s="3"/>
      <c r="E429" s="2">
        <f>VLOOKUP( T_Aop[[#This Row],[Id]], T_Aop[], ID_Jezik +10, 1)</f>
        <v>0</v>
      </c>
      <c r="F429" t="str">
        <f>REPT( "  ", T_Aop[[#This Row],[Aop nivo]]) &amp; VLOOKUP( T_Aop[[#This Row],[Id]], T_Aop[], ID_Jezik + 6, 1)</f>
        <v/>
      </c>
      <c r="G429" s="328"/>
      <c r="H429" s="328"/>
      <c r="I429" s="328"/>
      <c r="K429" s="313"/>
      <c r="L429" s="313"/>
      <c r="M429" s="313"/>
      <c r="N429" s="313"/>
      <c r="O429" s="10"/>
      <c r="P429" s="10"/>
    </row>
    <row r="430" spans="1:16" x14ac:dyDescent="0.2">
      <c r="A430">
        <f t="shared" si="13"/>
        <v>429</v>
      </c>
      <c r="B430" t="s">
        <v>135</v>
      </c>
      <c r="C430" s="3">
        <v>2</v>
      </c>
      <c r="D430">
        <v>905</v>
      </c>
      <c r="E430" s="2" t="str">
        <f>VLOOKUP( T_Aop[[#This Row],[Id]], T_Aop[], ID_Jezik +10, 1)</f>
        <v>5.</v>
      </c>
      <c r="F430" t="str">
        <f>REPT( "  ", T_Aop[[#This Row],[Aop nivo]]) &amp; VLOOKUP( T_Aop[[#This Row],[Id]], T_Aop[], ID_Jezik + 6, 1)</f>
        <v xml:space="preserve">    5. Dobit/(gubitak) za godinu</v>
      </c>
      <c r="G430" s="307" t="s">
        <v>1716</v>
      </c>
      <c r="H430" s="307" t="s">
        <v>1749</v>
      </c>
      <c r="I430" s="330" t="s">
        <v>2614</v>
      </c>
      <c r="J430" s="302" t="s">
        <v>2563</v>
      </c>
      <c r="K430" s="313" t="s">
        <v>776</v>
      </c>
      <c r="L430" s="313" t="s">
        <v>776</v>
      </c>
      <c r="M430" s="313" t="s">
        <v>776</v>
      </c>
      <c r="N430" s="313" t="s">
        <v>776</v>
      </c>
      <c r="O430" s="10"/>
      <c r="P430" s="10"/>
    </row>
    <row r="431" spans="1:16" x14ac:dyDescent="0.2">
      <c r="A431">
        <f t="shared" si="13"/>
        <v>430</v>
      </c>
      <c r="B431" t="s">
        <v>135</v>
      </c>
      <c r="C431" s="3">
        <v>2</v>
      </c>
      <c r="D431">
        <v>906</v>
      </c>
      <c r="E431" s="2" t="str">
        <f>VLOOKUP( T_Aop[[#This Row],[Id]], T_Aop[], ID_Jezik +10, 1)</f>
        <v>6.</v>
      </c>
      <c r="F431" t="str">
        <f>REPT( "  ", T_Aop[[#This Row],[Aop nivo]]) &amp; VLOOKUP( T_Aop[[#This Row],[Id]], T_Aop[], ID_Jezik + 6, 1)</f>
        <v xml:space="preserve">    6. Ostali ukupni rezultat za godinu</v>
      </c>
      <c r="G431" s="307" t="s">
        <v>1718</v>
      </c>
      <c r="H431" s="307" t="s">
        <v>1750</v>
      </c>
      <c r="I431" s="330" t="s">
        <v>2615</v>
      </c>
      <c r="J431" s="302" t="s">
        <v>2564</v>
      </c>
      <c r="K431" s="313" t="s">
        <v>777</v>
      </c>
      <c r="L431" s="313" t="s">
        <v>777</v>
      </c>
      <c r="M431" s="313" t="s">
        <v>777</v>
      </c>
      <c r="N431" s="313" t="s">
        <v>777</v>
      </c>
      <c r="O431" s="10"/>
      <c r="P431" s="10">
        <v>1</v>
      </c>
    </row>
    <row r="432" spans="1:16" x14ac:dyDescent="0.2">
      <c r="A432">
        <f t="shared" si="13"/>
        <v>431</v>
      </c>
      <c r="B432" t="s">
        <v>135</v>
      </c>
      <c r="C432" s="3">
        <v>1</v>
      </c>
      <c r="D432">
        <v>907</v>
      </c>
      <c r="E432" s="2" t="str">
        <f>VLOOKUP( T_Aop[[#This Row],[Id]], T_Aop[], ID_Jezik +10, 1)</f>
        <v>7.</v>
      </c>
      <c r="F432" t="str">
        <f>REPT( "  ", T_Aop[[#This Row],[Aop nivo]]) &amp; VLOOKUP( T_Aop[[#This Row],[Id]], T_Aop[], ID_Jezik + 6, 1)</f>
        <v xml:space="preserve">  7. Ukupna dobit/(gubitak) (± 905 ± 906)</v>
      </c>
      <c r="G432" s="332" t="s">
        <v>3043</v>
      </c>
      <c r="H432" s="332" t="s">
        <v>3046</v>
      </c>
      <c r="I432" s="332" t="s">
        <v>3044</v>
      </c>
      <c r="J432" s="303" t="s">
        <v>3045</v>
      </c>
      <c r="K432" s="313" t="s">
        <v>778</v>
      </c>
      <c r="L432" s="313" t="s">
        <v>778</v>
      </c>
      <c r="M432" s="313" t="s">
        <v>778</v>
      </c>
      <c r="N432" s="313" t="s">
        <v>778</v>
      </c>
      <c r="O432" s="10"/>
      <c r="P432" s="10">
        <v>1</v>
      </c>
    </row>
    <row r="433" spans="1:16" ht="9.75" customHeight="1" x14ac:dyDescent="0.2">
      <c r="A433">
        <f>ROW()-ROW($A$1)</f>
        <v>432</v>
      </c>
      <c r="B433" t="s">
        <v>135</v>
      </c>
      <c r="C433" s="3"/>
      <c r="E433" s="2">
        <f>VLOOKUP( T_Aop[[#This Row],[Id]], T_Aop[], ID_Jezik +10, 1)</f>
        <v>0</v>
      </c>
      <c r="F433" t="str">
        <f>REPT( "  ", T_Aop[[#This Row],[Aop nivo]]) &amp; VLOOKUP( T_Aop[[#This Row],[Id]], T_Aop[], ID_Jezik + 6, 1)</f>
        <v/>
      </c>
      <c r="G433" s="307"/>
      <c r="H433" s="307"/>
      <c r="I433" s="307"/>
      <c r="K433" s="313"/>
      <c r="L433" s="313"/>
      <c r="M433" s="313"/>
      <c r="N433" s="313"/>
      <c r="O433" s="10"/>
      <c r="P433" s="10"/>
    </row>
    <row r="434" spans="1:16" x14ac:dyDescent="0.2">
      <c r="A434">
        <f t="shared" si="13"/>
        <v>433</v>
      </c>
      <c r="B434" t="s">
        <v>135</v>
      </c>
      <c r="C434" s="3">
        <v>2</v>
      </c>
      <c r="D434">
        <v>908</v>
      </c>
      <c r="E434" s="2" t="str">
        <f>VLOOKUP( T_Aop[[#This Row],[Id]], T_Aop[], ID_Jezik +10, 1)</f>
        <v>8.</v>
      </c>
      <c r="F434" t="str">
        <f>REPT( "  ", T_Aop[[#This Row],[Aop nivo]]) &amp; VLOOKUP( T_Aop[[#This Row],[Id]], T_Aop[], ID_Jezik + 6, 1)</f>
        <v xml:space="preserve">    8. Emisija akcijskog kapitala i drugi oblici povećanja kapitala</v>
      </c>
      <c r="G434" s="307" t="s">
        <v>2365</v>
      </c>
      <c r="H434" s="307" t="s">
        <v>2364</v>
      </c>
      <c r="I434" s="330" t="s">
        <v>2618</v>
      </c>
      <c r="J434" s="302" t="s">
        <v>2565</v>
      </c>
      <c r="K434" s="313" t="s">
        <v>779</v>
      </c>
      <c r="L434" s="313" t="s">
        <v>779</v>
      </c>
      <c r="M434" s="313" t="s">
        <v>779</v>
      </c>
      <c r="N434" s="313" t="s">
        <v>779</v>
      </c>
      <c r="O434" s="10"/>
      <c r="P434" s="10"/>
    </row>
    <row r="435" spans="1:16" x14ac:dyDescent="0.2">
      <c r="A435">
        <f t="shared" si="13"/>
        <v>434</v>
      </c>
      <c r="B435" t="s">
        <v>135</v>
      </c>
      <c r="C435" s="3">
        <v>2</v>
      </c>
      <c r="D435">
        <v>909</v>
      </c>
      <c r="E435" s="2" t="str">
        <f>VLOOKUP( T_Aop[[#This Row],[Id]], T_Aop[], ID_Jezik +10, 1)</f>
        <v>9.</v>
      </c>
      <c r="F435" t="str">
        <f>REPT( "  ", T_Aop[[#This Row],[Aop nivo]]) &amp; VLOOKUP( T_Aop[[#This Row],[Id]], T_Aop[], ID_Jezik + 6, 1)</f>
        <v xml:space="preserve">    9. Sticanje sopstvenih akcija i drugi oblici smanjenja kapitala</v>
      </c>
      <c r="G435" s="307" t="s">
        <v>1719</v>
      </c>
      <c r="H435" s="307" t="s">
        <v>1751</v>
      </c>
      <c r="I435" s="330" t="s">
        <v>2619</v>
      </c>
      <c r="J435" s="302" t="s">
        <v>2566</v>
      </c>
      <c r="K435" s="313" t="s">
        <v>780</v>
      </c>
      <c r="L435" s="313" t="s">
        <v>780</v>
      </c>
      <c r="M435" s="313" t="s">
        <v>780</v>
      </c>
      <c r="N435" s="313" t="s">
        <v>780</v>
      </c>
      <c r="O435" s="10"/>
      <c r="P435" s="10"/>
    </row>
    <row r="436" spans="1:16" x14ac:dyDescent="0.2">
      <c r="A436">
        <f t="shared" si="13"/>
        <v>435</v>
      </c>
      <c r="B436" t="s">
        <v>135</v>
      </c>
      <c r="C436" s="3">
        <v>2</v>
      </c>
      <c r="D436">
        <v>910</v>
      </c>
      <c r="E436" s="2" t="str">
        <f>VLOOKUP( T_Aop[[#This Row],[Id]], T_Aop[], ID_Jezik +10, 1)</f>
        <v>10.</v>
      </c>
      <c r="F436" t="str">
        <f>REPT( "  ", T_Aop[[#This Row],[Aop nivo]]) &amp; VLOOKUP( T_Aop[[#This Row],[Id]], T_Aop[], ID_Jezik + 6, 1)</f>
        <v xml:space="preserve">    10. Objavljene dividende </v>
      </c>
      <c r="G436" s="307" t="s">
        <v>1720</v>
      </c>
      <c r="H436" s="307" t="s">
        <v>1752</v>
      </c>
      <c r="I436" s="330" t="s">
        <v>2612</v>
      </c>
      <c r="J436" s="302" t="s">
        <v>2567</v>
      </c>
      <c r="K436" s="313" t="s">
        <v>781</v>
      </c>
      <c r="L436" s="313" t="s">
        <v>781</v>
      </c>
      <c r="M436" s="313" t="s">
        <v>781</v>
      </c>
      <c r="N436" s="313" t="s">
        <v>781</v>
      </c>
      <c r="O436" s="10"/>
      <c r="P436" s="10"/>
    </row>
    <row r="437" spans="1:16" x14ac:dyDescent="0.2">
      <c r="A437">
        <f t="shared" si="13"/>
        <v>436</v>
      </c>
      <c r="B437" t="s">
        <v>135</v>
      </c>
      <c r="C437" s="3">
        <v>2</v>
      </c>
      <c r="D437">
        <v>911</v>
      </c>
      <c r="E437" s="2" t="str">
        <f>VLOOKUP( T_Aop[[#This Row],[Id]], T_Aop[], ID_Jezik +10, 1)</f>
        <v>11.</v>
      </c>
      <c r="F437" t="str">
        <f>REPT( "  ", T_Aop[[#This Row],[Aop nivo]]) &amp; VLOOKUP( T_Aop[[#This Row],[Id]], T_Aop[], ID_Jezik + 6, 1)</f>
        <v xml:space="preserve">    11. Drugi oblici raspodjele dobiti i pokriće gubitka</v>
      </c>
      <c r="G437" s="307" t="s">
        <v>1721</v>
      </c>
      <c r="H437" s="307" t="s">
        <v>1753</v>
      </c>
      <c r="I437" s="330" t="s">
        <v>2613</v>
      </c>
      <c r="J437" s="302" t="s">
        <v>2568</v>
      </c>
      <c r="K437" s="313" t="s">
        <v>782</v>
      </c>
      <c r="L437" s="313" t="s">
        <v>782</v>
      </c>
      <c r="M437" s="313" t="s">
        <v>782</v>
      </c>
      <c r="N437" s="313" t="s">
        <v>782</v>
      </c>
      <c r="O437" s="10"/>
      <c r="P437" s="10"/>
    </row>
    <row r="438" spans="1:16" x14ac:dyDescent="0.2">
      <c r="A438">
        <f t="shared" si="13"/>
        <v>437</v>
      </c>
      <c r="B438" t="s">
        <v>135</v>
      </c>
      <c r="C438" s="3">
        <v>2</v>
      </c>
      <c r="D438">
        <v>912</v>
      </c>
      <c r="E438" s="2" t="str">
        <f>VLOOKUP( T_Aop[[#This Row],[Id]], T_Aop[], ID_Jezik +10, 1)</f>
        <v>12.</v>
      </c>
      <c r="F438" t="str">
        <f>REPT( "  ", T_Aop[[#This Row],[Aop nivo]]) &amp; VLOOKUP( T_Aop[[#This Row],[Id]], T_Aop[], ID_Jezik + 6, 1)</f>
        <v xml:space="preserve">    12. Ostale promjene</v>
      </c>
      <c r="G438" s="328" t="s">
        <v>1722</v>
      </c>
      <c r="H438" s="328" t="s">
        <v>1754</v>
      </c>
      <c r="I438" s="328" t="s">
        <v>2611</v>
      </c>
      <c r="J438" s="328" t="s">
        <v>2569</v>
      </c>
      <c r="K438" s="313" t="s">
        <v>783</v>
      </c>
      <c r="L438" s="313" t="s">
        <v>783</v>
      </c>
      <c r="M438" s="313" t="s">
        <v>783</v>
      </c>
      <c r="N438" s="313" t="s">
        <v>783</v>
      </c>
      <c r="O438" s="10">
        <v>1</v>
      </c>
      <c r="P438" s="10">
        <v>1</v>
      </c>
    </row>
    <row r="439" spans="1:16" x14ac:dyDescent="0.2">
      <c r="A439">
        <f>ROW()-ROW($A$1)</f>
        <v>438</v>
      </c>
      <c r="B439" t="s">
        <v>135</v>
      </c>
      <c r="C439" s="3"/>
      <c r="E439" s="2">
        <f>VLOOKUP( T_Aop[[#This Row],[Id]], T_Aop[], ID_Jezik +10, 1)</f>
        <v>0</v>
      </c>
      <c r="F439" t="str">
        <f>REPT( "  ", T_Aop[[#This Row],[Aop nivo]]) &amp; VLOOKUP( T_Aop[[#This Row],[Id]], T_Aop[], ID_Jezik + 6, 1)</f>
        <v/>
      </c>
      <c r="G439" s="328"/>
      <c r="H439" s="328"/>
      <c r="I439" s="328"/>
      <c r="J439" s="304"/>
      <c r="K439" s="313"/>
      <c r="L439" s="313"/>
      <c r="M439" s="313"/>
      <c r="N439" s="313"/>
      <c r="O439" s="10"/>
      <c r="P439" s="10"/>
    </row>
    <row r="440" spans="1:16" ht="25.5" x14ac:dyDescent="0.2">
      <c r="A440">
        <f t="shared" si="13"/>
        <v>439</v>
      </c>
      <c r="B440" t="s">
        <v>135</v>
      </c>
      <c r="C440" s="3">
        <v>1</v>
      </c>
      <c r="D440">
        <v>913</v>
      </c>
      <c r="E440" s="2" t="str">
        <f>VLOOKUP( T_Aop[[#This Row],[Id]], T_Aop[], ID_Jezik +10, 1)</f>
        <v>13.</v>
      </c>
      <c r="F440" s="187" t="str">
        <f>REPT( "  ", T_Aop[[#This Row],[Aop nivo]]) &amp; VLOOKUP( T_Aop[[#This Row],[Id]], T_Aop[], ID_Jezik + 6, 1)</f>
        <v xml:space="preserve">  13. Stanje na dan 31.12.2024. god. / 01.01.2025. god. 
   (904 ± 907 ± 908 - 909 - 910 ± 911 ± 912)</v>
      </c>
      <c r="G440" s="328" t="str">
        <f>CONCATENATE("13. Stanje na dan ", Podesavanja!$X$5, " god. / ", Podesavanja!$X$4, " god. 
   (904 ± 907 ± 908 - 909 - 910 ± 911 ± 912)")</f>
        <v>13. Stanje na dan 31.12.2024. god. / 01.01.2025. god. 
   (904 ± 907 ± 908 - 909 - 910 ± 911 ± 912)</v>
      </c>
      <c r="H440" s="328" t="str">
        <f>CONCATENATE("13. Стање на дан ", Podesavanja!$X$5, " год. / ", Podesavanja!$X$4, " год. 
(904 ± 907 ± 908 - 909 - 910 ± 911 ± 912)")</f>
        <v>13. Стање на дан 31.12.2024. год. / 01.01.2025. год. 
(904 ± 907 ± 908 - 909 - 910 ± 911 ± 912)</v>
      </c>
      <c r="I440" s="328" t="str">
        <f>CONCATENATE("13. Value on day ", Podesavanja!$Y$5," / ", Podesavanja!$Y$4, " 
(904 ± 907 ± 908 - 909 - 910 ± 911 ± 912)")</f>
        <v>13. Value on day 31.12.2024 / 01.01.2025 
(904 ± 907 ± 908 - 909 - 910 ± 911 ± 912)</v>
      </c>
      <c r="J440" s="328" t="str">
        <f>CONCATENATE("13. Состояние на дату ", Podesavanja!$X$5, " года / ", Podesavanja!$X$4, " god. 
(904 ± 907 ± 908 - 909 - 910 ± 911 ± 912)")</f>
        <v>13. Состояние на дату 31.12.2024. года / 01.01.2025. god. 
(904 ± 907 ± 908 - 909 - 910 ± 911 ± 912)</v>
      </c>
      <c r="K440" s="313" t="s">
        <v>784</v>
      </c>
      <c r="L440" s="313" t="s">
        <v>784</v>
      </c>
      <c r="M440" s="313" t="s">
        <v>784</v>
      </c>
      <c r="N440" s="313" t="s">
        <v>784</v>
      </c>
      <c r="O440" s="10"/>
      <c r="P440" s="10"/>
    </row>
    <row r="441" spans="1:16" x14ac:dyDescent="0.2">
      <c r="A441">
        <f>ROW()-ROW($A$1)</f>
        <v>440</v>
      </c>
      <c r="B441" t="s">
        <v>135</v>
      </c>
      <c r="C441" s="3"/>
      <c r="E441" s="2">
        <f>VLOOKUP( T_Aop[[#This Row],[Id]], T_Aop[], ID_Jezik +10, 1)</f>
        <v>0</v>
      </c>
      <c r="F441" t="str">
        <f>REPT( "  ", T_Aop[[#This Row],[Aop nivo]]) &amp; VLOOKUP( T_Aop[[#This Row],[Id]], T_Aop[], ID_Jezik + 6, 1)</f>
        <v/>
      </c>
      <c r="G441" s="323"/>
      <c r="H441" s="307"/>
      <c r="I441" s="307"/>
      <c r="K441" s="313"/>
      <c r="L441" s="313"/>
      <c r="M441" s="313"/>
      <c r="N441" s="313"/>
      <c r="O441" s="10"/>
      <c r="P441" s="10"/>
    </row>
    <row r="442" spans="1:16" x14ac:dyDescent="0.2">
      <c r="A442">
        <f t="shared" si="13"/>
        <v>441</v>
      </c>
      <c r="B442" t="s">
        <v>135</v>
      </c>
      <c r="C442" s="3">
        <v>2</v>
      </c>
      <c r="D442">
        <v>914</v>
      </c>
      <c r="E442" s="2" t="str">
        <f>VLOOKUP( T_Aop[[#This Row],[Id]], T_Aop[], ID_Jezik +10, 1)</f>
        <v>14.</v>
      </c>
      <c r="F442" t="str">
        <f>REPT( "  ", T_Aop[[#This Row],[Aop nivo]]) &amp; VLOOKUP( T_Aop[[#This Row],[Id]], T_Aop[], ID_Jezik + 6, 1)</f>
        <v xml:space="preserve">    14. Efekti promjena u računovodstvenim politikama</v>
      </c>
      <c r="G442" s="307" t="s">
        <v>1723</v>
      </c>
      <c r="H442" s="307" t="s">
        <v>1755</v>
      </c>
      <c r="I442" s="330" t="s">
        <v>2620</v>
      </c>
      <c r="J442" s="302" t="s">
        <v>2570</v>
      </c>
      <c r="K442" s="313" t="s">
        <v>785</v>
      </c>
      <c r="L442" s="313" t="s">
        <v>785</v>
      </c>
      <c r="M442" s="313" t="s">
        <v>785</v>
      </c>
      <c r="N442" s="313" t="s">
        <v>785</v>
      </c>
      <c r="O442" s="10"/>
      <c r="P442" s="10"/>
    </row>
    <row r="443" spans="1:16" x14ac:dyDescent="0.2">
      <c r="A443">
        <f>ROW()-ROW($A$1)</f>
        <v>442</v>
      </c>
      <c r="B443" t="s">
        <v>135</v>
      </c>
      <c r="C443" s="3">
        <v>2</v>
      </c>
      <c r="D443">
        <v>915</v>
      </c>
      <c r="E443" s="2" t="str">
        <f>VLOOKUP( T_Aop[[#This Row],[Id]], T_Aop[], ID_Jezik +10, 1)</f>
        <v>15</v>
      </c>
      <c r="F443" t="str">
        <f>REPT( "  ", T_Aop[[#This Row],[Aop nivo]]) &amp; VLOOKUP( T_Aop[[#This Row],[Id]], T_Aop[], ID_Jezik + 6, 1)</f>
        <v xml:space="preserve">    15. Efekti ispravke grešaka</v>
      </c>
      <c r="G443" s="307" t="s">
        <v>1724</v>
      </c>
      <c r="H443" s="307" t="s">
        <v>1756</v>
      </c>
      <c r="I443" s="330" t="s">
        <v>2621</v>
      </c>
      <c r="J443" s="302" t="s">
        <v>2571</v>
      </c>
      <c r="K443" s="313" t="s">
        <v>1533</v>
      </c>
      <c r="L443" s="313" t="s">
        <v>1533</v>
      </c>
      <c r="M443" s="313" t="s">
        <v>1533</v>
      </c>
      <c r="N443" s="313" t="s">
        <v>1533</v>
      </c>
      <c r="O443" s="10"/>
      <c r="P443" s="10"/>
    </row>
    <row r="444" spans="1:16" x14ac:dyDescent="0.2">
      <c r="A444">
        <f t="shared" si="13"/>
        <v>443</v>
      </c>
      <c r="B444" t="s">
        <v>135</v>
      </c>
      <c r="C444" s="3">
        <v>1</v>
      </c>
      <c r="D444">
        <v>916</v>
      </c>
      <c r="E444" s="2" t="str">
        <f>VLOOKUP( T_Aop[[#This Row],[Id]], T_Aop[], ID_Jezik +10, 1)</f>
        <v>16</v>
      </c>
      <c r="F444" t="str">
        <f>REPT( "  ", T_Aop[[#This Row],[Aop nivo]]) &amp; VLOOKUP( T_Aop[[#This Row],[Id]], T_Aop[], ID_Jezik + 6, 1)</f>
        <v xml:space="preserve">  Ponovo iskazano stanje na dan 01.01.2025. godine (913 ± 914 ± 915)</v>
      </c>
      <c r="G444" s="328" t="str">
        <f>CONCATENATE("Ponovo iskazano stanje na dan ", Podesavanja!$X$4, " godine (913 ± 914 ± 915)")</f>
        <v>Ponovo iskazano stanje na dan 01.01.2025. godine (913 ± 914 ± 915)</v>
      </c>
      <c r="H444" s="328" t="str">
        <f>CONCATENATE("Поново исказано стање на дан ", Podesavanja!$X$4, " године (913 ± 914 ± 915)")</f>
        <v>Поново исказано стање на дан 01.01.2025. године (913 ± 914 ± 915)</v>
      </c>
      <c r="I444" s="328" t="str">
        <f>CONCATENATE("16. New value on day ",  Podesavanja!$Y$4," (913 ± 914 ± 915)")</f>
        <v>16. New value on day 01.01.2025 (913 ± 914 ± 915)</v>
      </c>
      <c r="J444" s="328" t="str">
        <f>CONCATENATE("16. Повторно представленное состояние", Podesavanja!$X$4, " года (913 ± 914 ± 915)")</f>
        <v>16. Повторно представленное состояние01.01.2025. года (913 ± 914 ± 915)</v>
      </c>
      <c r="K444" s="313" t="s">
        <v>1732</v>
      </c>
      <c r="L444" s="313" t="s">
        <v>1732</v>
      </c>
      <c r="M444" s="313" t="s">
        <v>1732</v>
      </c>
      <c r="N444" s="313" t="s">
        <v>1732</v>
      </c>
      <c r="O444" s="10">
        <v>1</v>
      </c>
      <c r="P444" s="10"/>
    </row>
    <row r="445" spans="1:16" x14ac:dyDescent="0.2">
      <c r="A445">
        <f>ROW()-ROW($A$1)</f>
        <v>444</v>
      </c>
      <c r="B445" t="s">
        <v>135</v>
      </c>
      <c r="C445" s="3"/>
      <c r="E445" s="2">
        <f>VLOOKUP( T_Aop[[#This Row],[Id]], T_Aop[], ID_Jezik +10, 1)</f>
        <v>0</v>
      </c>
      <c r="F445" t="str">
        <f>REPT( "  ", T_Aop[[#This Row],[Aop nivo]]) &amp; VLOOKUP( T_Aop[[#This Row],[Id]], T_Aop[], ID_Jezik + 6, 1)</f>
        <v/>
      </c>
      <c r="G445" s="328"/>
      <c r="H445" s="328"/>
      <c r="I445" s="328"/>
      <c r="J445" s="304"/>
      <c r="K445" s="313"/>
      <c r="L445" s="313"/>
      <c r="M445" s="313"/>
      <c r="N445" s="313"/>
      <c r="O445" s="10"/>
      <c r="P445" s="10"/>
    </row>
    <row r="446" spans="1:16" x14ac:dyDescent="0.2">
      <c r="A446">
        <f t="shared" si="13"/>
        <v>445</v>
      </c>
      <c r="B446" t="s">
        <v>135</v>
      </c>
      <c r="C446" s="3">
        <v>2</v>
      </c>
      <c r="D446">
        <v>917</v>
      </c>
      <c r="E446" s="2" t="str">
        <f>VLOOKUP( T_Aop[[#This Row],[Id]], T_Aop[], ID_Jezik +10, 1)</f>
        <v>17</v>
      </c>
      <c r="F446" t="str">
        <f>REPT( "  ", T_Aop[[#This Row],[Aop nivo]]) &amp; VLOOKUP( T_Aop[[#This Row],[Id]], T_Aop[], ID_Jezik + 6, 1)</f>
        <v xml:space="preserve">    17. Dobit/(gubitak) za godinu</v>
      </c>
      <c r="G446" s="307" t="s">
        <v>1725</v>
      </c>
      <c r="H446" s="307" t="s">
        <v>1757</v>
      </c>
      <c r="I446" s="330" t="s">
        <v>2623</v>
      </c>
      <c r="J446" s="301" t="s">
        <v>2572</v>
      </c>
      <c r="K446" s="313" t="s">
        <v>1733</v>
      </c>
      <c r="L446" s="313" t="s">
        <v>1733</v>
      </c>
      <c r="M446" s="313" t="s">
        <v>1733</v>
      </c>
      <c r="N446" s="313" t="s">
        <v>1733</v>
      </c>
      <c r="O446" s="10"/>
      <c r="P446" s="10"/>
    </row>
    <row r="447" spans="1:16" x14ac:dyDescent="0.2">
      <c r="A447">
        <f t="shared" si="13"/>
        <v>446</v>
      </c>
      <c r="B447" t="s">
        <v>135</v>
      </c>
      <c r="C447" s="3">
        <v>2</v>
      </c>
      <c r="D447">
        <v>918</v>
      </c>
      <c r="E447" s="2" t="str">
        <f>VLOOKUP( T_Aop[[#This Row],[Id]], T_Aop[], ID_Jezik +10, 1)</f>
        <v>18</v>
      </c>
      <c r="F447" t="str">
        <f>REPT( "  ", T_Aop[[#This Row],[Aop nivo]]) &amp; VLOOKUP( T_Aop[[#This Row],[Id]], T_Aop[], ID_Jezik + 6, 1)</f>
        <v xml:space="preserve">    18. Ostali ukupni rezultatat</v>
      </c>
      <c r="G447" s="307" t="s">
        <v>1726</v>
      </c>
      <c r="H447" s="307" t="s">
        <v>1758</v>
      </c>
      <c r="I447" s="330" t="s">
        <v>2622</v>
      </c>
      <c r="J447" s="301" t="s">
        <v>2573</v>
      </c>
      <c r="K447" s="313" t="s">
        <v>1734</v>
      </c>
      <c r="L447" s="313" t="s">
        <v>1734</v>
      </c>
      <c r="M447" s="313" t="s">
        <v>1734</v>
      </c>
      <c r="N447" s="313" t="s">
        <v>1734</v>
      </c>
      <c r="O447" s="10"/>
      <c r="P447" s="10">
        <v>1</v>
      </c>
    </row>
    <row r="448" spans="1:16" x14ac:dyDescent="0.2">
      <c r="A448">
        <f t="shared" si="13"/>
        <v>447</v>
      </c>
      <c r="B448" t="s">
        <v>135</v>
      </c>
      <c r="C448" s="3">
        <v>1</v>
      </c>
      <c r="D448">
        <v>919</v>
      </c>
      <c r="E448" s="2" t="str">
        <f>VLOOKUP( T_Aop[[#This Row],[Id]], T_Aop[], ID_Jezik +10, 1)</f>
        <v>19</v>
      </c>
      <c r="F448" t="str">
        <f>REPT( "  ", T_Aop[[#This Row],[Aop nivo]]) &amp; VLOOKUP( T_Aop[[#This Row],[Id]], T_Aop[], ID_Jezik + 6, 1)</f>
        <v xml:space="preserve">  19. Ukupna dobit/(gubitak) (± 917 ± 918)</v>
      </c>
      <c r="G448" s="332" t="s">
        <v>2367</v>
      </c>
      <c r="H448" s="332" t="s">
        <v>2368</v>
      </c>
      <c r="I448" s="332" t="s">
        <v>2628</v>
      </c>
      <c r="J448" s="332" t="s">
        <v>2574</v>
      </c>
      <c r="K448" s="313" t="s">
        <v>1735</v>
      </c>
      <c r="L448" s="313" t="s">
        <v>1735</v>
      </c>
      <c r="M448" s="313" t="s">
        <v>1735</v>
      </c>
      <c r="N448" s="313" t="s">
        <v>1735</v>
      </c>
      <c r="O448" s="10"/>
      <c r="P448" s="10">
        <v>1</v>
      </c>
    </row>
    <row r="449" spans="1:16" x14ac:dyDescent="0.2">
      <c r="A449">
        <f>ROW()-ROW($A$1)</f>
        <v>448</v>
      </c>
      <c r="B449" t="s">
        <v>135</v>
      </c>
      <c r="C449" s="3"/>
      <c r="E449" s="2"/>
      <c r="F449" t="str">
        <f>REPT( "  ", T_Aop[[#This Row],[Aop nivo]]) &amp; VLOOKUP( T_Aop[[#This Row],[Id]], T_Aop[], ID_Jezik + 6, 1)</f>
        <v/>
      </c>
      <c r="G449" s="307"/>
      <c r="H449" s="307"/>
      <c r="I449" s="307"/>
      <c r="J449" s="307"/>
      <c r="K449" s="313"/>
      <c r="L449" s="313"/>
      <c r="M449" s="313"/>
      <c r="N449" s="313"/>
      <c r="O449" s="10"/>
      <c r="P449" s="10"/>
    </row>
    <row r="450" spans="1:16" x14ac:dyDescent="0.2">
      <c r="A450">
        <f>ROW()-ROW($A$1)</f>
        <v>449</v>
      </c>
      <c r="B450" t="s">
        <v>135</v>
      </c>
      <c r="C450" s="3">
        <v>2</v>
      </c>
      <c r="D450">
        <v>920</v>
      </c>
      <c r="E450" s="2" t="str">
        <f>VLOOKUP( T_Aop[[#This Row],[Id]], T_Aop[], ID_Jezik +10, 1)</f>
        <v>20</v>
      </c>
      <c r="F450" t="str">
        <f>REPT( "  ", T_Aop[[#This Row],[Aop nivo]]) &amp; VLOOKUP( T_Aop[[#This Row],[Id]], T_Aop[], ID_Jezik + 6, 1)</f>
        <v xml:space="preserve">    20. Emisija akcijskog kapitala i drugi oblici povećanja kapitala</v>
      </c>
      <c r="G450" s="307" t="s">
        <v>1727</v>
      </c>
      <c r="H450" s="307" t="s">
        <v>1759</v>
      </c>
      <c r="I450" s="329" t="s">
        <v>2624</v>
      </c>
      <c r="J450" s="301" t="s">
        <v>2575</v>
      </c>
      <c r="K450" s="313" t="s">
        <v>1736</v>
      </c>
      <c r="L450" s="313" t="s">
        <v>1736</v>
      </c>
      <c r="M450" s="313" t="s">
        <v>1736</v>
      </c>
      <c r="N450" s="313" t="s">
        <v>1736</v>
      </c>
      <c r="O450" s="10"/>
      <c r="P450" s="10"/>
    </row>
    <row r="451" spans="1:16" x14ac:dyDescent="0.2">
      <c r="A451">
        <f t="shared" si="13"/>
        <v>450</v>
      </c>
      <c r="B451" t="s">
        <v>135</v>
      </c>
      <c r="C451" s="3">
        <v>2</v>
      </c>
      <c r="D451">
        <v>921</v>
      </c>
      <c r="E451" s="2" t="str">
        <f>VLOOKUP( T_Aop[[#This Row],[Id]], T_Aop[], ID_Jezik +10, 1)</f>
        <v>21</v>
      </c>
      <c r="F451" t="str">
        <f>REPT( "  ", T_Aop[[#This Row],[Aop nivo]]) &amp; VLOOKUP( T_Aop[[#This Row],[Id]], T_Aop[], ID_Jezik + 6, 1)</f>
        <v xml:space="preserve">    21. Sticanje sopstvenih akcija i drugi oblici smanjenja kapitala</v>
      </c>
      <c r="G451" s="307" t="s">
        <v>1728</v>
      </c>
      <c r="H451" s="307" t="s">
        <v>1760</v>
      </c>
      <c r="I451" s="330" t="s">
        <v>2625</v>
      </c>
      <c r="J451" s="301" t="s">
        <v>2576</v>
      </c>
      <c r="K451" s="313" t="s">
        <v>1737</v>
      </c>
      <c r="L451" s="313" t="s">
        <v>1737</v>
      </c>
      <c r="M451" s="313" t="s">
        <v>1737</v>
      </c>
      <c r="N451" s="313" t="s">
        <v>1737</v>
      </c>
      <c r="O451" s="10"/>
      <c r="P451" s="10"/>
    </row>
    <row r="452" spans="1:16" x14ac:dyDescent="0.2">
      <c r="A452">
        <f t="shared" si="13"/>
        <v>451</v>
      </c>
      <c r="B452" t="s">
        <v>135</v>
      </c>
      <c r="C452" s="3">
        <v>2</v>
      </c>
      <c r="D452">
        <v>922</v>
      </c>
      <c r="E452" s="2" t="str">
        <f>VLOOKUP( T_Aop[[#This Row],[Id]], T_Aop[], ID_Jezik +10, 1)</f>
        <v>22</v>
      </c>
      <c r="F452" t="str">
        <f>REPT( "  ", T_Aop[[#This Row],[Aop nivo]]) &amp; VLOOKUP( T_Aop[[#This Row],[Id]], T_Aop[], ID_Jezik + 6, 1)</f>
        <v xml:space="preserve">    22. Objavljene dividende </v>
      </c>
      <c r="G452" s="307" t="s">
        <v>1729</v>
      </c>
      <c r="H452" s="307" t="s">
        <v>1761</v>
      </c>
      <c r="I452" s="330" t="s">
        <v>2626</v>
      </c>
      <c r="J452" s="301" t="s">
        <v>2577</v>
      </c>
      <c r="K452" s="313" t="s">
        <v>1738</v>
      </c>
      <c r="L452" s="313" t="s">
        <v>1738</v>
      </c>
      <c r="M452" s="313" t="s">
        <v>1738</v>
      </c>
      <c r="N452" s="313" t="s">
        <v>1738</v>
      </c>
      <c r="O452" s="10"/>
      <c r="P452" s="10"/>
    </row>
    <row r="453" spans="1:16" x14ac:dyDescent="0.2">
      <c r="A453">
        <f t="shared" si="13"/>
        <v>452</v>
      </c>
      <c r="B453" t="s">
        <v>135</v>
      </c>
      <c r="C453" s="3">
        <v>2</v>
      </c>
      <c r="D453">
        <v>923</v>
      </c>
      <c r="E453" s="2" t="str">
        <f>VLOOKUP( T_Aop[[#This Row],[Id]], T_Aop[], ID_Jezik +10, 1)</f>
        <v>23</v>
      </c>
      <c r="F453" t="str">
        <f>REPT( "  ", T_Aop[[#This Row],[Aop nivo]]) &amp; VLOOKUP( T_Aop[[#This Row],[Id]], T_Aop[], ID_Jezik + 6, 1)</f>
        <v xml:space="preserve">    23. Drugi oblici raspodjele dobiti i pokriće gubitka</v>
      </c>
      <c r="G453" s="307" t="s">
        <v>1730</v>
      </c>
      <c r="H453" s="307" t="s">
        <v>1762</v>
      </c>
      <c r="I453" s="330" t="s">
        <v>2627</v>
      </c>
      <c r="J453" s="301" t="s">
        <v>2578</v>
      </c>
      <c r="K453" s="313" t="s">
        <v>1739</v>
      </c>
      <c r="L453" s="313" t="s">
        <v>1739</v>
      </c>
      <c r="M453" s="313" t="s">
        <v>1739</v>
      </c>
      <c r="N453" s="313" t="s">
        <v>1739</v>
      </c>
      <c r="O453" s="10"/>
      <c r="P453" s="10"/>
    </row>
    <row r="454" spans="1:16" x14ac:dyDescent="0.2">
      <c r="A454">
        <f t="shared" si="13"/>
        <v>453</v>
      </c>
      <c r="B454" t="s">
        <v>135</v>
      </c>
      <c r="C454" s="3">
        <v>2</v>
      </c>
      <c r="D454">
        <v>924</v>
      </c>
      <c r="E454" s="2" t="str">
        <f>VLOOKUP( T_Aop[[#This Row],[Id]], T_Aop[], ID_Jezik +10, 1)</f>
        <v>24</v>
      </c>
      <c r="F454" t="str">
        <f>REPT( "  ", T_Aop[[#This Row],[Aop nivo]]) &amp; VLOOKUP( T_Aop[[#This Row],[Id]], T_Aop[], ID_Jezik + 6, 1)</f>
        <v xml:space="preserve">    24. Ostale promjene</v>
      </c>
      <c r="G454" s="307" t="s">
        <v>1731</v>
      </c>
      <c r="H454" s="307" t="s">
        <v>1763</v>
      </c>
      <c r="I454" s="330" t="s">
        <v>2629</v>
      </c>
      <c r="J454" s="301" t="s">
        <v>2579</v>
      </c>
      <c r="K454" s="313" t="s">
        <v>1740</v>
      </c>
      <c r="L454" s="313" t="s">
        <v>1740</v>
      </c>
      <c r="M454" s="313" t="s">
        <v>1740</v>
      </c>
      <c r="N454" s="313" t="s">
        <v>1740</v>
      </c>
      <c r="O454" s="10"/>
      <c r="P454" s="10"/>
    </row>
    <row r="455" spans="1:16" x14ac:dyDescent="0.2">
      <c r="A455">
        <f>ROW()-ROW($A$1)</f>
        <v>454</v>
      </c>
      <c r="B455" t="s">
        <v>135</v>
      </c>
      <c r="C455" s="3"/>
      <c r="E455" s="2">
        <f>VLOOKUP( T_Aop[[#This Row],[Id]], T_Aop[], ID_Jezik +10, 1)</f>
        <v>0</v>
      </c>
      <c r="F455" t="str">
        <f>REPT( "  ", T_Aop[[#This Row],[Aop nivo]]) &amp; VLOOKUP( T_Aop[[#This Row],[Id]], T_Aop[], ID_Jezik + 6, 1)</f>
        <v/>
      </c>
      <c r="H455" s="307"/>
      <c r="I455" s="307"/>
      <c r="J455" s="304"/>
      <c r="K455" s="313"/>
      <c r="L455" s="313"/>
      <c r="M455" s="313"/>
      <c r="N455" s="313"/>
      <c r="O455" s="10"/>
      <c r="P455" s="10"/>
    </row>
    <row r="456" spans="1:16" x14ac:dyDescent="0.2">
      <c r="A456">
        <f t="shared" si="13"/>
        <v>455</v>
      </c>
      <c r="B456" t="s">
        <v>135</v>
      </c>
      <c r="C456" s="3">
        <v>0</v>
      </c>
      <c r="D456">
        <v>925</v>
      </c>
      <c r="E456" s="2" t="str">
        <f>VLOOKUP( T_Aop[[#This Row],[Id]], T_Aop[], ID_Jezik +10, 1)</f>
        <v>25</v>
      </c>
      <c r="F456" t="str">
        <f>REPT( "  ", T_Aop[[#This Row],[Aop nivo]]) &amp; VLOOKUP( T_Aop[[#This Row],[Id]], T_Aop[], ID_Jezik + 6, 1)</f>
        <v>25. Stanje na dan 31.12.2025. godine (916 ± 919 ± 920  - 921 - 922± 923 ± 924)</v>
      </c>
      <c r="G456" s="328" t="str">
        <f>CONCATENATE("25. Stanje na dan ",Datum_Format," godine (916 ± 919 ± 920  - 921 - 922± 923 ± 924)")</f>
        <v>25. Stanje na dan 31.12.2025. godine (916 ± 919 ± 920  - 921 - 922± 923 ± 924)</v>
      </c>
      <c r="H456" s="328" t="str">
        <f>CONCATENATE("25. Стање на дан ",Datum_Format," године (916 ± 919 ± 920  - 921 - 922± 923 ± 924)")</f>
        <v>25. Стање на дан 31.12.2025. године (916 ± 919 ± 920  - 921 - 922± 923 ± 924)</v>
      </c>
      <c r="I456" s="328" t="str">
        <f>CONCATENATE("25. Value on day ",  Podesavanja!$Y$3,"(916 ± 919 ± 920  - 921 - 922± 923 ± 924)")</f>
        <v>25. Value on day 31.12.2025(916 ± 919 ± 920  - 921 - 922± 923 ± 924)</v>
      </c>
      <c r="J456" s="328" t="str">
        <f>CONCATENATE("25. Состояние на дату ",  ,Datum_Format," года (916 ± 919 ± 920  - 921 - 922± 923 ± 924)")</f>
        <v>25. Состояние на дату 31.12.2025. года (916 ± 919 ± 920  - 921 - 922± 923 ± 924)</v>
      </c>
      <c r="K456" s="313" t="s">
        <v>1741</v>
      </c>
      <c r="L456" s="313" t="s">
        <v>1741</v>
      </c>
      <c r="M456" s="313" t="s">
        <v>1741</v>
      </c>
      <c r="N456" s="313" t="s">
        <v>1741</v>
      </c>
      <c r="O456" s="10">
        <v>1</v>
      </c>
      <c r="P456" s="10"/>
    </row>
  </sheetData>
  <phoneticPr fontId="27" type="noConversion"/>
  <conditionalFormatting sqref="B363:G403 H401 I389:I403 E139:F139 B134:C138 A141:G240 F241 G242:G245 B242:C250 D241:D250 O250:P251 K250:K251 H253:H263 K254 K256 K258 K260 B251:D278 B282:D286 G281:P284 C281:D281 B315:C315 B344 B346 B350 B352 B287:C313 D287:D352 B317:C317 B319 B325 B329 B331 B337 B321:C321 C318:C319 B323:C323 B327:C327 B333:C333 C324:C325 C329:C331 B335:C335 B339:C339 C336:C337 B341:C341 C342 B348:C348 C344:C346 C350:C352 L285:L352 G312:G313 I312:K313 H312:H352 G285:K311 A140:F140 I2:J68 C371:C421 A353:A421 A426:A427 A430:A431 A434:A437 A446:A447 A451:A453 C451:H453 C446:H447 C434:H437 C430:H431 K69:P69 O70:P133 L2:P15 M16:P18 I140:J213 M285:P313 J242:J245 H214:H251 J214:J240 J263:P263 C426:I427 A2:C133 E2:F133 L19:P54 M68:P68 M67 L55:M66 O55:P67 A135 A137 A139 I363:I387 K430:P431 K434:P437 K446:P447 K451:P453 K426:P427 G264:P278 B353:J362 J401 K353:P421 B404:J421 O242:P245 O139:P240">
    <cfRule type="expression" dxfId="208" priority="35" stopIfTrue="1">
      <formula>$B2&lt;&gt;$B3</formula>
    </cfRule>
  </conditionalFormatting>
  <conditionalFormatting sqref="H365:H387">
    <cfRule type="expression" dxfId="207" priority="101" stopIfTrue="1">
      <formula>$B363&lt;&gt;$B364</formula>
    </cfRule>
  </conditionalFormatting>
  <conditionalFormatting sqref="H402">
    <cfRule type="expression" dxfId="206" priority="103" stopIfTrue="1">
      <formula>$B402&lt;&gt;$B403</formula>
    </cfRule>
  </conditionalFormatting>
  <conditionalFormatting sqref="H389:H400">
    <cfRule type="expression" dxfId="205" priority="105" stopIfTrue="1">
      <formula>$B386&lt;&gt;$B387</formula>
    </cfRule>
  </conditionalFormatting>
  <conditionalFormatting sqref="O262:P262 B279:D279 G279:P280 C280:D280 B280:B281 A442 E441:E444 A424:M424 A428:A429 A432:A433 A438 A440 A444:A445 A450 F442:H442 C450:H450 A425 C444:D444 C442:D442 B423 O138:P138 C454:H454 C445:I445 F444:J444 C433:I433 C428:M428 C429:I429 K429:M429 C425:I425 K425:M425 K442:P442 K450:P450 K444:P445 C440:P440 K432:P433 N428:P429 N424:P425 A422:P422 C432:J432 C438:P438 A454 B425:B454 K454:P454">
    <cfRule type="expression" dxfId="204" priority="110" stopIfTrue="1">
      <formula>$B138&lt;&gt;$B140</formula>
    </cfRule>
  </conditionalFormatting>
  <conditionalFormatting sqref="A423 A441 A443 A439 A448:A449 F443:H443 C443:D443 C441:D441 C423:I423 C448:F448 O137:P137 C449:I449 F441:I441 K423:P423 C439:P439 K443:P443 K448:P449 K441:P441">
    <cfRule type="expression" dxfId="203" priority="111" stopIfTrue="1">
      <formula>$B137&lt;&gt;$B140</formula>
    </cfRule>
  </conditionalFormatting>
  <conditionalFormatting sqref="I134:J135">
    <cfRule type="expression" dxfId="202" priority="113" stopIfTrue="1">
      <formula>$B135&lt;&gt;$B140</formula>
    </cfRule>
  </conditionalFormatting>
  <conditionalFormatting sqref="O259:P259">
    <cfRule type="expression" dxfId="201" priority="115" stopIfTrue="1">
      <formula>$B259&lt;&gt;$B265</formula>
    </cfRule>
  </conditionalFormatting>
  <conditionalFormatting sqref="D78:D132 I138:J138 I69:J132 I241:I244 I213:I239 N55:N65 D137 K70:N139">
    <cfRule type="expression" dxfId="200" priority="120" stopIfTrue="1">
      <formula>$B56&lt;&gt;$B57</formula>
    </cfRule>
  </conditionalFormatting>
  <conditionalFormatting sqref="I137:J137 D134:D136">
    <cfRule type="expression" dxfId="199" priority="124" stopIfTrue="1">
      <formula>$B135&lt;&gt;$B137</formula>
    </cfRule>
  </conditionalFormatting>
  <conditionalFormatting sqref="I136:J136">
    <cfRule type="expression" dxfId="198" priority="126" stopIfTrue="1">
      <formula>$B137&lt;&gt;$B140</formula>
    </cfRule>
  </conditionalFormatting>
  <conditionalFormatting sqref="I245:I246">
    <cfRule type="expression" dxfId="197" priority="128" stopIfTrue="1">
      <formula>$B246&lt;&gt;$B250</formula>
    </cfRule>
  </conditionalFormatting>
  <conditionalFormatting sqref="A134 E134:F134 O134:P134 A136 A138">
    <cfRule type="expression" dxfId="196" priority="141" stopIfTrue="1">
      <formula>$B134&lt;&gt;#REF!</formula>
    </cfRule>
  </conditionalFormatting>
  <conditionalFormatting sqref="O260:P260 O135:P136">
    <cfRule type="expression" dxfId="195" priority="142" stopIfTrue="1">
      <formula>$B135&lt;&gt;$B140</formula>
    </cfRule>
  </conditionalFormatting>
  <conditionalFormatting sqref="B139:C139">
    <cfRule type="expression" dxfId="194" priority="147" stopIfTrue="1">
      <formula>$B139&lt;&gt;#REF!</formula>
    </cfRule>
  </conditionalFormatting>
  <conditionalFormatting sqref="I139:J139 D139">
    <cfRule type="expression" dxfId="193" priority="155" stopIfTrue="1">
      <formula>#REF!&lt;&gt;$B140</formula>
    </cfRule>
  </conditionalFormatting>
  <conditionalFormatting sqref="I133:J133 D133">
    <cfRule type="expression" dxfId="192" priority="160" stopIfTrue="1">
      <formula>$B134&lt;&gt;#REF!</formula>
    </cfRule>
  </conditionalFormatting>
  <conditionalFormatting sqref="G246:G248 K252 G260 G262:G263 G250:G258 K262 O261:P261 L250:N262 J246:P248 J250:J262">
    <cfRule type="expression" dxfId="191" priority="163" stopIfTrue="1">
      <formula>$B246&lt;&gt;$B250</formula>
    </cfRule>
  </conditionalFormatting>
  <conditionalFormatting sqref="O252:P254">
    <cfRule type="expression" dxfId="190" priority="261" stopIfTrue="1">
      <formula>$B252&lt;&gt;$B263</formula>
    </cfRule>
  </conditionalFormatting>
  <conditionalFormatting sqref="G249 K253 K261 K255 K257 K259 G259 G261 J249:P249">
    <cfRule type="expression" dxfId="189" priority="25" stopIfTrue="1">
      <formula>$B249&lt;&gt;$B263</formula>
    </cfRule>
  </conditionalFormatting>
  <conditionalFormatting sqref="F251:F252">
    <cfRule type="expression" dxfId="188" priority="363" stopIfTrue="1">
      <formula>#REF!&lt;&gt;$B243</formula>
    </cfRule>
  </conditionalFormatting>
  <conditionalFormatting sqref="F248">
    <cfRule type="expression" dxfId="187" priority="364" stopIfTrue="1">
      <formula>#REF!&lt;&gt;$B243</formula>
    </cfRule>
  </conditionalFormatting>
  <conditionalFormatting sqref="F249">
    <cfRule type="expression" dxfId="186" priority="365" stopIfTrue="1">
      <formula>#REF!&lt;&gt;$B243</formula>
    </cfRule>
  </conditionalFormatting>
  <conditionalFormatting sqref="F250">
    <cfRule type="expression" dxfId="185" priority="367" stopIfTrue="1">
      <formula>#REF!&lt;&gt;$B243</formula>
    </cfRule>
  </conditionalFormatting>
  <conditionalFormatting sqref="F247">
    <cfRule type="expression" dxfId="184" priority="373" stopIfTrue="1">
      <formula>#REF!&lt;&gt;$B243</formula>
    </cfRule>
  </conditionalFormatting>
  <conditionalFormatting sqref="F242:F246">
    <cfRule type="expression" dxfId="183" priority="390" stopIfTrue="1">
      <formula>#REF!&lt;&gt;$B243</formula>
    </cfRule>
  </conditionalFormatting>
  <conditionalFormatting sqref="F294:F311">
    <cfRule type="expression" dxfId="182" priority="889" stopIfTrue="1">
      <formula>#REF!&lt;&gt;$B244</formula>
    </cfRule>
  </conditionalFormatting>
  <conditionalFormatting sqref="F293">
    <cfRule type="expression" dxfId="181" priority="935" stopIfTrue="1">
      <formula>#REF!&lt;&gt;$B244</formula>
    </cfRule>
  </conditionalFormatting>
  <conditionalFormatting sqref="F292">
    <cfRule type="expression" dxfId="180" priority="979" stopIfTrue="1">
      <formula>#REF!&lt;&gt;$B244</formula>
    </cfRule>
  </conditionalFormatting>
  <conditionalFormatting sqref="F253:F257">
    <cfRule type="expression" dxfId="179" priority="1025" stopIfTrue="1">
      <formula>#REF!&lt;&gt;$B244</formula>
    </cfRule>
  </conditionalFormatting>
  <conditionalFormatting sqref="H252">
    <cfRule type="expression" dxfId="178" priority="1058" stopIfTrue="1">
      <formula>$B252&lt;&gt;$B253</formula>
    </cfRule>
  </conditionalFormatting>
  <conditionalFormatting sqref="F266:F273">
    <cfRule type="expression" dxfId="177" priority="1194" stopIfTrue="1">
      <formula>#REF!&lt;&gt;$B245</formula>
    </cfRule>
  </conditionalFormatting>
  <conditionalFormatting sqref="F262:F265">
    <cfRule type="expression" dxfId="176" priority="1240" stopIfTrue="1">
      <formula>#REF!&lt;&gt;$B245</formula>
    </cfRule>
  </conditionalFormatting>
  <conditionalFormatting sqref="F258:F261">
    <cfRule type="expression" dxfId="175" priority="1296" stopIfTrue="1">
      <formula>#REF!&lt;&gt;$B245</formula>
    </cfRule>
  </conditionalFormatting>
  <conditionalFormatting sqref="O257:P258">
    <cfRule type="expression" dxfId="174" priority="1546" stopIfTrue="1">
      <formula>$B257&lt;&gt;$B264</formula>
    </cfRule>
  </conditionalFormatting>
  <conditionalFormatting sqref="O255:P256">
    <cfRule type="expression" dxfId="173" priority="1547" stopIfTrue="1">
      <formula>$B255&lt;&gt;$B264</formula>
    </cfRule>
  </conditionalFormatting>
  <conditionalFormatting sqref="F290:F291">
    <cfRule type="expression" dxfId="172" priority="1577" stopIfTrue="1">
      <formula>#REF!&lt;&gt;$B247</formula>
    </cfRule>
  </conditionalFormatting>
  <conditionalFormatting sqref="F274:F280">
    <cfRule type="expression" dxfId="171" priority="1632" stopIfTrue="1">
      <formula>#REF!&lt;&gt;$B247</formula>
    </cfRule>
  </conditionalFormatting>
  <conditionalFormatting sqref="F287:F289">
    <cfRule type="expression" dxfId="170" priority="1743" stopIfTrue="1">
      <formula>#REF!&lt;&gt;$B250</formula>
    </cfRule>
  </conditionalFormatting>
  <conditionalFormatting sqref="F352">
    <cfRule type="expression" dxfId="169" priority="1948" stopIfTrue="1">
      <formula>#REF!&lt;&gt;$B245</formula>
    </cfRule>
  </conditionalFormatting>
  <conditionalFormatting sqref="F351">
    <cfRule type="expression" dxfId="168" priority="1978" stopIfTrue="1">
      <formula>#REF!&lt;&gt;$B245</formula>
    </cfRule>
  </conditionalFormatting>
  <conditionalFormatting sqref="F350">
    <cfRule type="expression" dxfId="167" priority="2012" stopIfTrue="1">
      <formula>#REF!&lt;&gt;$B245</formula>
    </cfRule>
  </conditionalFormatting>
  <conditionalFormatting sqref="F349">
    <cfRule type="expression" dxfId="166" priority="2038" stopIfTrue="1">
      <formula>#REF!&lt;&gt;$B245</formula>
    </cfRule>
  </conditionalFormatting>
  <conditionalFormatting sqref="F348">
    <cfRule type="expression" dxfId="165" priority="2068" stopIfTrue="1">
      <formula>#REF!&lt;&gt;$B245</formula>
    </cfRule>
  </conditionalFormatting>
  <conditionalFormatting sqref="F347">
    <cfRule type="expression" dxfId="164" priority="2102" stopIfTrue="1">
      <formula>#REF!&lt;&gt;$B245</formula>
    </cfRule>
  </conditionalFormatting>
  <conditionalFormatting sqref="F346">
    <cfRule type="expression" dxfId="163" priority="2128" stopIfTrue="1">
      <formula>#REF!&lt;&gt;$B245</formula>
    </cfRule>
  </conditionalFormatting>
  <conditionalFormatting sqref="F345">
    <cfRule type="expression" dxfId="162" priority="2158" stopIfTrue="1">
      <formula>#REF!&lt;&gt;$B245</formula>
    </cfRule>
  </conditionalFormatting>
  <conditionalFormatting sqref="F344">
    <cfRule type="expression" dxfId="161" priority="2188" stopIfTrue="1">
      <formula>#REF!&lt;&gt;$B245</formula>
    </cfRule>
  </conditionalFormatting>
  <conditionalFormatting sqref="F343">
    <cfRule type="expression" dxfId="160" priority="2218" stopIfTrue="1">
      <formula>#REF!&lt;&gt;$B245</formula>
    </cfRule>
  </conditionalFormatting>
  <conditionalFormatting sqref="F342">
    <cfRule type="expression" dxfId="159" priority="2248" stopIfTrue="1">
      <formula>#REF!&lt;&gt;$B245</formula>
    </cfRule>
  </conditionalFormatting>
  <conditionalFormatting sqref="F312:F337">
    <cfRule type="expression" dxfId="158" priority="2278" stopIfTrue="1">
      <formula>#REF!&lt;&gt;$B245</formula>
    </cfRule>
  </conditionalFormatting>
  <conditionalFormatting sqref="G350 I350:K350 M350:P350">
    <cfRule type="expression" dxfId="157" priority="2321" stopIfTrue="1">
      <formula>$B350&lt;&gt;$B296</formula>
    </cfRule>
  </conditionalFormatting>
  <conditionalFormatting sqref="G347 I347:K347 M347:P347">
    <cfRule type="expression" dxfId="156" priority="2323" stopIfTrue="1">
      <formula>$B347&lt;&gt;$B296</formula>
    </cfRule>
  </conditionalFormatting>
  <conditionalFormatting sqref="G352 I352:K352 M352:P352">
    <cfRule type="expression" dxfId="155" priority="2334" stopIfTrue="1">
      <formula>$B352&lt;&gt;$B296</formula>
    </cfRule>
  </conditionalFormatting>
  <conditionalFormatting sqref="G351 I351:K351 M351:P351">
    <cfRule type="expression" dxfId="154" priority="2342" stopIfTrue="1">
      <formula>$B351&lt;&gt;$B296</formula>
    </cfRule>
  </conditionalFormatting>
  <conditionalFormatting sqref="G349 I349:K349 M349:P349">
    <cfRule type="expression" dxfId="153" priority="2344" stopIfTrue="1">
      <formula>$B349&lt;&gt;$B296</formula>
    </cfRule>
  </conditionalFormatting>
  <conditionalFormatting sqref="G348 I348:K348 M348:P348">
    <cfRule type="expression" dxfId="152" priority="2346" stopIfTrue="1">
      <formula>$B348&lt;&gt;$B296</formula>
    </cfRule>
  </conditionalFormatting>
  <conditionalFormatting sqref="G346 I346:K346 M346:P346">
    <cfRule type="expression" dxfId="151" priority="2348" stopIfTrue="1">
      <formula>$B346&lt;&gt;$B296</formula>
    </cfRule>
  </conditionalFormatting>
  <conditionalFormatting sqref="G345 I345:K345 M345:P345">
    <cfRule type="expression" dxfId="150" priority="2350" stopIfTrue="1">
      <formula>$B345&lt;&gt;$B296</formula>
    </cfRule>
  </conditionalFormatting>
  <conditionalFormatting sqref="G344 I344:K344 M344:P344">
    <cfRule type="expression" dxfId="149" priority="2352" stopIfTrue="1">
      <formula>$B344&lt;&gt;$B296</formula>
    </cfRule>
  </conditionalFormatting>
  <conditionalFormatting sqref="G343 I343:K343 M343:P343">
    <cfRule type="expression" dxfId="148" priority="2354" stopIfTrue="1">
      <formula>$B343&lt;&gt;$B296</formula>
    </cfRule>
  </conditionalFormatting>
  <conditionalFormatting sqref="G342 I342:K342 M342:P342">
    <cfRule type="expression" dxfId="147" priority="2356" stopIfTrue="1">
      <formula>$B342&lt;&gt;$B296</formula>
    </cfRule>
  </conditionalFormatting>
  <conditionalFormatting sqref="G315:G337 I315:K337 M315:P337">
    <cfRule type="expression" dxfId="146" priority="2358" stopIfTrue="1">
      <formula>$B315&lt;&gt;$B299</formula>
    </cfRule>
  </conditionalFormatting>
  <conditionalFormatting sqref="A274:A286 E274:E286">
    <cfRule type="expression" dxfId="145" priority="2415" stopIfTrue="1">
      <formula>#REF!&lt;&gt;#REF!</formula>
    </cfRule>
  </conditionalFormatting>
  <conditionalFormatting sqref="A312:A341 E312:E341">
    <cfRule type="expression" dxfId="144" priority="2419" stopIfTrue="1">
      <formula>#REF!&lt;&gt;#REF!</formula>
    </cfRule>
  </conditionalFormatting>
  <conditionalFormatting sqref="A294:A311 E294:E311">
    <cfRule type="expression" dxfId="143" priority="2423" stopIfTrue="1">
      <formula>#REF!&lt;&gt;#REF!</formula>
    </cfRule>
  </conditionalFormatting>
  <conditionalFormatting sqref="A250 E250">
    <cfRule type="expression" dxfId="142" priority="2432" stopIfTrue="1">
      <formula>#REF!&lt;&gt;#REF!</formula>
    </cfRule>
  </conditionalFormatting>
  <conditionalFormatting sqref="A249 E249">
    <cfRule type="expression" dxfId="141" priority="2434" stopIfTrue="1">
      <formula>#REF!&lt;&gt;#REF!</formula>
    </cfRule>
  </conditionalFormatting>
  <conditionalFormatting sqref="A248 E248">
    <cfRule type="expression" dxfId="140" priority="2436" stopIfTrue="1">
      <formula>#REF!&lt;&gt;#REF!</formula>
    </cfRule>
  </conditionalFormatting>
  <conditionalFormatting sqref="A247 E247">
    <cfRule type="expression" dxfId="139" priority="2438" stopIfTrue="1">
      <formula>#REF!&lt;&gt;#REF!</formula>
    </cfRule>
  </conditionalFormatting>
  <conditionalFormatting sqref="A242:A246 E242:E246">
    <cfRule type="expression" dxfId="138" priority="2440" stopIfTrue="1">
      <formula>#REF!&lt;&gt;#REF!</formula>
    </cfRule>
  </conditionalFormatting>
  <conditionalFormatting sqref="A293 E293">
    <cfRule type="expression" dxfId="137" priority="2444" stopIfTrue="1">
      <formula>#REF!&lt;&gt;#REF!</formula>
    </cfRule>
  </conditionalFormatting>
  <conditionalFormatting sqref="A292 E292">
    <cfRule type="expression" dxfId="136" priority="2446" stopIfTrue="1">
      <formula>#REF!&lt;&gt;#REF!</formula>
    </cfRule>
  </conditionalFormatting>
  <conditionalFormatting sqref="A290:A291 E290:E291">
    <cfRule type="expression" dxfId="135" priority="2448" stopIfTrue="1">
      <formula>#REF!&lt;&gt;#REF!</formula>
    </cfRule>
  </conditionalFormatting>
  <conditionalFormatting sqref="A251:A252 E251:E252">
    <cfRule type="expression" dxfId="134" priority="2450" stopIfTrue="1">
      <formula>#REF!&lt;&gt;#REF!</formula>
    </cfRule>
  </conditionalFormatting>
  <conditionalFormatting sqref="A262:A265 E262 E264:E265">
    <cfRule type="expression" dxfId="133" priority="2452" stopIfTrue="1">
      <formula>#REF!&lt;&gt;#REF!</formula>
    </cfRule>
  </conditionalFormatting>
  <conditionalFormatting sqref="A258:A261 E258:E261">
    <cfRule type="expression" dxfId="132" priority="2454" stopIfTrue="1">
      <formula>#REF!&lt;&gt;#REF!</formula>
    </cfRule>
  </conditionalFormatting>
  <conditionalFormatting sqref="A253:A257 E253:E257">
    <cfRule type="expression" dxfId="131" priority="2456" stopIfTrue="1">
      <formula>#REF!&lt;&gt;#REF!</formula>
    </cfRule>
  </conditionalFormatting>
  <conditionalFormatting sqref="A287:A289 E287:E289">
    <cfRule type="expression" dxfId="130" priority="2458" stopIfTrue="1">
      <formula>#REF!&lt;&gt;#REF!</formula>
    </cfRule>
  </conditionalFormatting>
  <conditionalFormatting sqref="A266:A273 E266:E273">
    <cfRule type="expression" dxfId="129" priority="2460" stopIfTrue="1">
      <formula>#REF!&lt;&gt;#REF!</formula>
    </cfRule>
  </conditionalFormatting>
  <conditionalFormatting sqref="A352 E352">
    <cfRule type="expression" dxfId="128" priority="2474" stopIfTrue="1">
      <formula>#REF!&lt;&gt;#REF!</formula>
    </cfRule>
  </conditionalFormatting>
  <conditionalFormatting sqref="A351 E351">
    <cfRule type="expression" dxfId="127" priority="2476" stopIfTrue="1">
      <formula>#REF!&lt;&gt;#REF!</formula>
    </cfRule>
  </conditionalFormatting>
  <conditionalFormatting sqref="A350 E350">
    <cfRule type="expression" dxfId="126" priority="2478" stopIfTrue="1">
      <formula>#REF!&lt;&gt;#REF!</formula>
    </cfRule>
  </conditionalFormatting>
  <conditionalFormatting sqref="A349 E349">
    <cfRule type="expression" dxfId="125" priority="2480" stopIfTrue="1">
      <formula>#REF!&lt;&gt;#REF!</formula>
    </cfRule>
  </conditionalFormatting>
  <conditionalFormatting sqref="A348 E348">
    <cfRule type="expression" dxfId="124" priority="2482" stopIfTrue="1">
      <formula>#REF!&lt;&gt;#REF!</formula>
    </cfRule>
  </conditionalFormatting>
  <conditionalFormatting sqref="A347 E347">
    <cfRule type="expression" dxfId="123" priority="2484" stopIfTrue="1">
      <formula>#REF!&lt;&gt;#REF!</formula>
    </cfRule>
  </conditionalFormatting>
  <conditionalFormatting sqref="A346 E346">
    <cfRule type="expression" dxfId="122" priority="2486" stopIfTrue="1">
      <formula>#REF!&lt;&gt;#REF!</formula>
    </cfRule>
  </conditionalFormatting>
  <conditionalFormatting sqref="A345 E345">
    <cfRule type="expression" dxfId="121" priority="2488" stopIfTrue="1">
      <formula>#REF!&lt;&gt;#REF!</formula>
    </cfRule>
  </conditionalFormatting>
  <conditionalFormatting sqref="A344 E344">
    <cfRule type="expression" dxfId="120" priority="2490" stopIfTrue="1">
      <formula>#REF!&lt;&gt;#REF!</formula>
    </cfRule>
  </conditionalFormatting>
  <conditionalFormatting sqref="A343 E343">
    <cfRule type="expression" dxfId="119" priority="2492" stopIfTrue="1">
      <formula>#REF!&lt;&gt;#REF!</formula>
    </cfRule>
  </conditionalFormatting>
  <conditionalFormatting sqref="A342 E342">
    <cfRule type="expression" dxfId="118" priority="2494" stopIfTrue="1">
      <formula>#REF!&lt;&gt;#REF!</formula>
    </cfRule>
  </conditionalFormatting>
  <conditionalFormatting sqref="G241 A241:C241 E241 J241 O241:P241">
    <cfRule type="expression" dxfId="117" priority="2500" stopIfTrue="1">
      <formula>$B241&lt;&gt;#REF!</formula>
    </cfRule>
  </conditionalFormatting>
  <conditionalFormatting sqref="B314:C314 G314 B345 B351 B316:C316 B318 B324 B330 B336 B342:B343 B320:C320 B322:C322 B326:C326 B332:C332 B328:C328 B334:C334 B338:C338 B340:C340 B347:C347 C343 B349:C349 I314:K314 M314:P314">
    <cfRule type="expression" dxfId="116" priority="2501" stopIfTrue="1">
      <formula>$B314&lt;&gt;#REF!</formula>
    </cfRule>
  </conditionalFormatting>
  <conditionalFormatting sqref="F281:F286">
    <cfRule type="expression" dxfId="115" priority="2509" stopIfTrue="1">
      <formula>#REF!&lt;&gt;$B253</formula>
    </cfRule>
  </conditionalFormatting>
  <conditionalFormatting sqref="E263">
    <cfRule type="expression" dxfId="114" priority="20" stopIfTrue="1">
      <formula>$B263&lt;&gt;$B264</formula>
    </cfRule>
  </conditionalFormatting>
  <conditionalFormatting sqref="F338:F341">
    <cfRule type="expression" dxfId="113" priority="2514" stopIfTrue="1">
      <formula>#REF!&lt;&gt;$B258</formula>
    </cfRule>
  </conditionalFormatting>
  <conditionalFormatting sqref="G338:G341 I338:K341 M338:P341">
    <cfRule type="expression" dxfId="112" priority="2516" stopIfTrue="1">
      <formula>$B338&lt;&gt;$B309</formula>
    </cfRule>
  </conditionalFormatting>
  <conditionalFormatting sqref="G448:J448">
    <cfRule type="expression" dxfId="111" priority="19" stopIfTrue="1">
      <formula>$B448&lt;&gt;$B450</formula>
    </cfRule>
  </conditionalFormatting>
  <conditionalFormatting sqref="I440:J440">
    <cfRule type="expression" dxfId="110" priority="2581" stopIfTrue="1">
      <formula>$B438&lt;&gt;$B440</formula>
    </cfRule>
  </conditionalFormatting>
  <conditionalFormatting sqref="I247">
    <cfRule type="expression" dxfId="109" priority="2592" stopIfTrue="1">
      <formula>$B249&lt;&gt;$B263</formula>
    </cfRule>
  </conditionalFormatting>
  <conditionalFormatting sqref="I240">
    <cfRule type="expression" dxfId="108" priority="2594" stopIfTrue="1">
      <formula>$B241&lt;&gt;#REF!</formula>
    </cfRule>
  </conditionalFormatting>
  <conditionalFormatting sqref="J450 J442">
    <cfRule type="expression" dxfId="107" priority="2596" stopIfTrue="1">
      <formula>$B441&lt;&gt;$B444</formula>
    </cfRule>
  </conditionalFormatting>
  <conditionalFormatting sqref="J445:J446 J434 J430 J426">
    <cfRule type="expression" dxfId="106" priority="2598" stopIfTrue="1">
      <formula>$B425&lt;&gt;$B427</formula>
    </cfRule>
  </conditionalFormatting>
  <conditionalFormatting sqref="J424">
    <cfRule type="expression" dxfId="105" priority="17" stopIfTrue="1">
      <formula>$B423&lt;&gt;$B425</formula>
    </cfRule>
  </conditionalFormatting>
  <conditionalFormatting sqref="J428">
    <cfRule type="expression" dxfId="104" priority="16" stopIfTrue="1">
      <formula>$B427&lt;&gt;$B429</formula>
    </cfRule>
  </conditionalFormatting>
  <conditionalFormatting sqref="J427">
    <cfRule type="expression" dxfId="103" priority="2600" stopIfTrue="1">
      <formula>$B426&lt;&gt;$B427</formula>
    </cfRule>
  </conditionalFormatting>
  <conditionalFormatting sqref="D2:D77">
    <cfRule type="expression" dxfId="102" priority="15">
      <formula>$B3&lt;&gt;$B2</formula>
    </cfRule>
  </conditionalFormatting>
  <conditionalFormatting sqref="J365:J387">
    <cfRule type="expression" dxfId="101" priority="14" stopIfTrue="1">
      <formula>$B363&lt;&gt;$B364</formula>
    </cfRule>
  </conditionalFormatting>
  <conditionalFormatting sqref="J402">
    <cfRule type="expression" dxfId="100" priority="12" stopIfTrue="1">
      <formula>$B402&lt;&gt;$B403</formula>
    </cfRule>
  </conditionalFormatting>
  <conditionalFormatting sqref="J389:J400">
    <cfRule type="expression" dxfId="99" priority="13" stopIfTrue="1">
      <formula>$B386&lt;&gt;$B387</formula>
    </cfRule>
  </conditionalFormatting>
  <conditionalFormatting sqref="N66">
    <cfRule type="expression" dxfId="98" priority="11" stopIfTrue="1">
      <formula>$B66&lt;&gt;$B67</formula>
    </cfRule>
  </conditionalFormatting>
  <conditionalFormatting sqref="I248:I260">
    <cfRule type="expression" dxfId="97" priority="2602" stopIfTrue="1">
      <formula>$B250&lt;&gt;$B254</formula>
    </cfRule>
  </conditionalFormatting>
  <conditionalFormatting sqref="I261">
    <cfRule type="expression" dxfId="96" priority="2603" stopIfTrue="1">
      <formula>$B263&lt;&gt;$B264</formula>
    </cfRule>
  </conditionalFormatting>
  <conditionalFormatting sqref="A456:P456">
    <cfRule type="expression" dxfId="95" priority="2604" stopIfTrue="1">
      <formula>$B456&lt;&gt;#REF!</formula>
    </cfRule>
  </conditionalFormatting>
  <conditionalFormatting sqref="A455:P455">
    <cfRule type="expression" dxfId="94" priority="2606" stopIfTrue="1">
      <formula>$B455&lt;&gt;#REF!</formula>
    </cfRule>
  </conditionalFormatting>
  <conditionalFormatting sqref="E136:F136">
    <cfRule type="expression" dxfId="93" priority="10" stopIfTrue="1">
      <formula>$B136&lt;&gt;$B137</formula>
    </cfRule>
  </conditionalFormatting>
  <conditionalFormatting sqref="E135:F135">
    <cfRule type="expression" dxfId="92" priority="9" stopIfTrue="1">
      <formula>$B135&lt;&gt;#REF!</formula>
    </cfRule>
  </conditionalFormatting>
  <conditionalFormatting sqref="E137:F138">
    <cfRule type="expression" dxfId="91" priority="7" stopIfTrue="1">
      <formula>$B137&lt;&gt;$B138</formula>
    </cfRule>
  </conditionalFormatting>
  <conditionalFormatting sqref="K140:N245">
    <cfRule type="expression" dxfId="90" priority="4" stopIfTrue="1">
      <formula>$B141&lt;&gt;$B142</formula>
    </cfRule>
  </conditionalFormatting>
  <conditionalFormatting sqref="D138">
    <cfRule type="expression" dxfId="89" priority="1" stopIfTrue="1">
      <formula>$B138&lt;&gt;$B139</formula>
    </cfRule>
  </conditionalFormatting>
  <pageMargins left="0.7" right="0.7" top="0.75" bottom="0.75" header="0.3" footer="0.3"/>
  <pageSetup orientation="portrait" horizontalDpi="1200" verticalDpi="1200"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1"/>
  </sheetPr>
  <dimension ref="B1:AD28"/>
  <sheetViews>
    <sheetView showGridLines="0" showRowColHeaders="0" workbookViewId="0">
      <selection activeCell="F23" sqref="F23"/>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8">
        <v>1</v>
      </c>
      <c r="C1" t="str">
        <f>VLOOKUP(ID_Jezik, $B$3:$C$6, 2, 1)</f>
        <v>Srpski - latinica</v>
      </c>
      <c r="E1" s="151">
        <v>1</v>
      </c>
      <c r="F1" t="str">
        <f>VLOOKUP(E1, $E$3:$F$6, 2, 1)</f>
        <v/>
      </c>
      <c r="H1" s="5">
        <f>DATE( Godina, Period_Kraj_Mjesec, Period_Kraj_Dan)</f>
        <v>46022</v>
      </c>
      <c r="I1" s="121">
        <f>VLOOKUP(Datum_Broj, $H$3:$L$6, 2, 0)</f>
        <v>4</v>
      </c>
      <c r="J1">
        <f>VLOOKUP(ID_Izvjestaj,$I$3:$L$6,3,1)</f>
        <v>12</v>
      </c>
      <c r="U1">
        <f>Period_Kraj_Godina</f>
        <v>2025</v>
      </c>
      <c r="V1">
        <f>Period_Kraj_Mjesec</f>
        <v>12</v>
      </c>
      <c r="W1">
        <f>Period_Kraj_Dan</f>
        <v>31</v>
      </c>
      <c r="X1" s="6" t="str">
        <f>TEXT( DATE( Godina, Period_Kraj_Mjesec, Period_Kraj_Dan), "dd.mm.yyyy.")</f>
        <v>31.12.2025.</v>
      </c>
      <c r="Y1" s="6" t="str">
        <f>TEXT( DATE( Godina, Period_Kraj_Mjesec, Period_Kraj_Dan), "dd.mm.yyyy")</f>
        <v>31.12.2025</v>
      </c>
    </row>
    <row r="2" spans="2:30" ht="15" x14ac:dyDescent="0.25">
      <c r="B2" t="s">
        <v>184</v>
      </c>
      <c r="C2" t="s">
        <v>120</v>
      </c>
      <c r="E2" s="9" t="s">
        <v>485</v>
      </c>
      <c r="F2" s="79" t="s">
        <v>486</v>
      </c>
      <c r="H2" t="s">
        <v>176</v>
      </c>
      <c r="I2" t="s">
        <v>183</v>
      </c>
      <c r="J2" t="s">
        <v>174</v>
      </c>
      <c r="K2" t="s">
        <v>181</v>
      </c>
      <c r="L2" t="s">
        <v>182</v>
      </c>
      <c r="N2" t="s">
        <v>249</v>
      </c>
      <c r="O2" t="s">
        <v>256</v>
      </c>
      <c r="P2" t="s">
        <v>257</v>
      </c>
      <c r="Q2" t="s">
        <v>874</v>
      </c>
      <c r="S2" t="s">
        <v>490</v>
      </c>
      <c r="T2" t="s">
        <v>177</v>
      </c>
      <c r="U2" t="s">
        <v>181</v>
      </c>
      <c r="V2" t="s">
        <v>182</v>
      </c>
      <c r="W2" t="s">
        <v>332</v>
      </c>
      <c r="X2" t="s">
        <v>501</v>
      </c>
      <c r="Y2" t="s">
        <v>502</v>
      </c>
      <c r="AA2" t="s">
        <v>877</v>
      </c>
      <c r="AB2" s="238" t="s">
        <v>249</v>
      </c>
      <c r="AC2" s="238" t="s">
        <v>875</v>
      </c>
      <c r="AD2" s="238" t="s">
        <v>876</v>
      </c>
    </row>
    <row r="3" spans="2:30" x14ac:dyDescent="0.2">
      <c r="B3">
        <v>1</v>
      </c>
      <c r="C3" t="s">
        <v>121</v>
      </c>
      <c r="E3" s="9">
        <v>1</v>
      </c>
      <c r="F3" s="116" t="str">
        <f>IF( Revidiran_izvjestaj, Revizija_Pozitivno, "")</f>
        <v/>
      </c>
      <c r="H3" s="5">
        <f>DATE(Godina, K3, L3)</f>
        <v>45747</v>
      </c>
      <c r="I3">
        <v>1</v>
      </c>
      <c r="J3" t="str">
        <f>Vrsta_izvjestaja_Prvi_kvartal</f>
        <v>Prvi kvartal</v>
      </c>
      <c r="K3" s="3">
        <v>3</v>
      </c>
      <c r="L3" s="3">
        <v>31</v>
      </c>
      <c r="N3" t="s">
        <v>873</v>
      </c>
      <c r="O3">
        <f t="array" ref="O3">MIN(IF(Aop!$B$2:$B$456=Podesavanja!$N3,Aop!$A$2:$A$456))</f>
        <v>1</v>
      </c>
      <c r="P3">
        <f t="array" ref="P3">MAX(IF(Aop!$B$2:$B$456=Podesavanja!$N3,Aop!$A$2:$A$456))</f>
        <v>67</v>
      </c>
      <c r="Q3">
        <v>1</v>
      </c>
      <c r="S3" t="s">
        <v>487</v>
      </c>
      <c r="T3">
        <v>0</v>
      </c>
      <c r="U3">
        <f>Period_Kraj_Mjesec</f>
        <v>12</v>
      </c>
      <c r="V3">
        <f>Period_Kraj_Dan</f>
        <v>31</v>
      </c>
      <c r="W3" s="115">
        <f>DATE( Godina + T3, U3, V3)</f>
        <v>46022</v>
      </c>
      <c r="X3" t="str">
        <f>TEXT(W3, "dd.mm.yyyy.")</f>
        <v>31.12.2025.</v>
      </c>
      <c r="Y3" t="str">
        <f>TEXT(W3, "dd.mm.yyyy")</f>
        <v>31.12.2025</v>
      </c>
      <c r="AA3" t="str">
        <f>CONCATENATE(T_ApifKolone[[#This Row],[Bilans]],T_ApifKolone[[#This Row],[ApifKolona]])</f>
        <v>BSaKolona1</v>
      </c>
      <c r="AB3" t="s">
        <v>873</v>
      </c>
      <c r="AC3" t="s">
        <v>864</v>
      </c>
      <c r="AD3">
        <v>3</v>
      </c>
    </row>
    <row r="4" spans="2:30" x14ac:dyDescent="0.2">
      <c r="B4">
        <v>2</v>
      </c>
      <c r="C4" t="s">
        <v>122</v>
      </c>
      <c r="E4" s="9">
        <v>2</v>
      </c>
      <c r="F4" s="116" t="str">
        <f>IF( Revidiran_izvjestaj, Revizija_Sa_rezervom, "")</f>
        <v/>
      </c>
      <c r="H4" s="5">
        <f>DATE(Godina, K4, L4)</f>
        <v>45838</v>
      </c>
      <c r="I4">
        <v>2</v>
      </c>
      <c r="J4" t="str">
        <f>Vrsta_izvjestaja_Polugodisnji</f>
        <v>Polugodišnji</v>
      </c>
      <c r="K4" s="3">
        <v>6</v>
      </c>
      <c r="L4" s="3">
        <v>30</v>
      </c>
      <c r="N4" t="s">
        <v>872</v>
      </c>
      <c r="O4">
        <f t="array" ref="O4">MIN(IF(Aop!$B$2:$B$456=Podesavanja!$N4,Aop!$A$2:$A$456))</f>
        <v>68</v>
      </c>
      <c r="P4">
        <f t="array" ref="P4">MAX(IF(Aop!$B$2:$B$456=Podesavanja!$N4,Aop!$A$2:$A$456))</f>
        <v>138</v>
      </c>
      <c r="Q4">
        <v>2</v>
      </c>
      <c r="S4" t="s">
        <v>302</v>
      </c>
      <c r="T4">
        <v>0</v>
      </c>
      <c r="U4">
        <v>1</v>
      </c>
      <c r="V4">
        <v>1</v>
      </c>
      <c r="W4" s="115">
        <f>DATE( Godina + T4, U4, V4)</f>
        <v>45658</v>
      </c>
      <c r="X4" t="str">
        <f>TEXT(W4, "dd.mm.yyyy.")</f>
        <v>01.01.2025.</v>
      </c>
      <c r="Y4" t="str">
        <f>TEXT(W4, "dd.mm.yyyy")</f>
        <v>01.01.2025</v>
      </c>
      <c r="AA4" t="str">
        <f>CONCATENATE(T_ApifKolone[[#This Row],[Bilans]],T_ApifKolone[[#This Row],[ApifKolona]])</f>
        <v>BSaKolona2</v>
      </c>
      <c r="AB4" t="s">
        <v>873</v>
      </c>
      <c r="AC4" t="s">
        <v>865</v>
      </c>
      <c r="AD4">
        <v>4</v>
      </c>
    </row>
    <row r="5" spans="2:30" x14ac:dyDescent="0.2">
      <c r="B5">
        <v>3</v>
      </c>
      <c r="C5" t="s">
        <v>106</v>
      </c>
      <c r="E5" s="9">
        <v>3</v>
      </c>
      <c r="F5" s="116" t="str">
        <f>IF( Revidiran_izvjestaj, Revizija_Negativno, "")</f>
        <v/>
      </c>
      <c r="H5" s="5">
        <f>DATE(Godina, K5, L5)</f>
        <v>45930</v>
      </c>
      <c r="I5">
        <v>3</v>
      </c>
      <c r="J5" t="str">
        <f>Vrsta_izvjestaja_Treci_kvartal</f>
        <v>Treći kvartal</v>
      </c>
      <c r="K5" s="3">
        <v>9</v>
      </c>
      <c r="L5" s="3">
        <v>30</v>
      </c>
      <c r="N5" t="s">
        <v>255</v>
      </c>
      <c r="O5">
        <f t="array" ref="O5">MIN(IF(Aop!$B$2:$B$456=Podesavanja!$N5,Aop!$A$2:$A$456))</f>
        <v>139</v>
      </c>
      <c r="P5">
        <f t="array" ref="P5">MAX(IF(Aop!$B$2:$B$456=Podesavanja!$N5,Aop!$A$2:$A$456))</f>
        <v>262</v>
      </c>
      <c r="Q5">
        <v>3</v>
      </c>
      <c r="S5" t="s">
        <v>488</v>
      </c>
      <c r="T5">
        <v>-1</v>
      </c>
      <c r="U5">
        <v>12</v>
      </c>
      <c r="V5">
        <v>31</v>
      </c>
      <c r="W5" s="115">
        <f>DATE( Godina + T5, U5, V5)</f>
        <v>45657</v>
      </c>
      <c r="X5" t="str">
        <f>TEXT(W5, "dd.mm.yyyy.")</f>
        <v>31.12.2024.</v>
      </c>
      <c r="Y5" t="str">
        <f>TEXT(W5, "dd.mm.yyyy")</f>
        <v>31.12.2024</v>
      </c>
      <c r="AA5" t="str">
        <f>CONCATENATE(T_ApifKolone[[#This Row],[Bilans]],T_ApifKolone[[#This Row],[ApifKolona]])</f>
        <v>BSaKolona3</v>
      </c>
      <c r="AB5" t="s">
        <v>873</v>
      </c>
      <c r="AC5" t="s">
        <v>866</v>
      </c>
      <c r="AD5">
        <v>5</v>
      </c>
    </row>
    <row r="6" spans="2:30" x14ac:dyDescent="0.2">
      <c r="B6">
        <v>4</v>
      </c>
      <c r="C6" t="s">
        <v>2581</v>
      </c>
      <c r="E6" s="9">
        <v>4</v>
      </c>
      <c r="F6" s="116" t="str">
        <f>IF( Revidiran_izvjestaj, Revizija_Uzdrzavanje, "")</f>
        <v/>
      </c>
      <c r="H6" s="5">
        <f>DATE(Godina, K6, L6)</f>
        <v>46022</v>
      </c>
      <c r="I6">
        <v>4</v>
      </c>
      <c r="J6" t="str">
        <f>Vrsta_izvjestaja_Godisnji</f>
        <v>Godišnji</v>
      </c>
      <c r="K6" s="3">
        <v>12</v>
      </c>
      <c r="L6" s="3">
        <v>31</v>
      </c>
      <c r="M6" s="3"/>
      <c r="N6" t="s">
        <v>264</v>
      </c>
      <c r="O6">
        <f t="array" ref="O6">MIN(IF(Aop!$B$2:$B$456=Podesavanja!$N6,Aop!$A$2:$A$456))</f>
        <v>263</v>
      </c>
      <c r="P6">
        <f t="array" ref="P6">MAX(IF(Aop!$B$2:$B$456=Podesavanja!$N6,Aop!$A$2:$A$456))</f>
        <v>283</v>
      </c>
      <c r="Q6">
        <v>3</v>
      </c>
      <c r="S6" t="s">
        <v>489</v>
      </c>
      <c r="T6">
        <v>-1</v>
      </c>
      <c r="U6">
        <v>1</v>
      </c>
      <c r="V6">
        <v>1</v>
      </c>
      <c r="W6" s="115">
        <f>DATE( Godina + T6, U6, V6)</f>
        <v>45292</v>
      </c>
      <c r="X6" t="str">
        <f>TEXT(W6, "dd.mm.yyyy.")</f>
        <v>01.01.2024.</v>
      </c>
      <c r="Y6" t="str">
        <f>TEXT(W6, "dd.mm.yyyy")</f>
        <v>01.01.2024</v>
      </c>
      <c r="AA6" t="str">
        <f>CONCATENATE(T_ApifKolone[[#This Row],[Bilans]],T_ApifKolone[[#This Row],[ApifKolona]])</f>
        <v>BSaKolona4</v>
      </c>
      <c r="AB6" t="s">
        <v>873</v>
      </c>
      <c r="AC6" t="s">
        <v>867</v>
      </c>
      <c r="AD6">
        <v>6</v>
      </c>
    </row>
    <row r="7" spans="2:30" x14ac:dyDescent="0.2">
      <c r="N7" t="s">
        <v>133</v>
      </c>
      <c r="O7">
        <f t="array" ref="O7">MIN(IF(Aop!$B$2:$B$456=Podesavanja!$N7,Aop!$A$2:$A$456))</f>
        <v>284</v>
      </c>
      <c r="P7">
        <f t="array" ref="P7">MAX(IF(Aop!$B$2:$B$456=Podesavanja!$N7,Aop!$A$2:$A$456))</f>
        <v>351</v>
      </c>
      <c r="Q7">
        <v>5</v>
      </c>
      <c r="AA7" t="str">
        <f>CONCATENATE(T_ApifKolone[[#This Row],[Bilans]],T_ApifKolone[[#This Row],[ApifKolona]])</f>
        <v>BSpKolona1</v>
      </c>
      <c r="AB7" t="s">
        <v>872</v>
      </c>
      <c r="AC7" t="s">
        <v>864</v>
      </c>
      <c r="AD7" s="106">
        <v>5</v>
      </c>
    </row>
    <row r="8" spans="2:30" x14ac:dyDescent="0.2">
      <c r="N8" t="s">
        <v>134</v>
      </c>
      <c r="O8">
        <f t="array" ref="O8">MIN(IF(Aop!$B$2:$B$456=Podesavanja!$N8,Aop!$A$2:$A$456))</f>
        <v>352</v>
      </c>
      <c r="P8">
        <f t="array" ref="P8">MAX(IF(Aop!$B$2:$B$456=Podesavanja!$N8,Aop!$A$2:$A$456))</f>
        <v>421</v>
      </c>
      <c r="Q8">
        <v>4</v>
      </c>
      <c r="AA8" s="79" t="str">
        <f>CONCATENATE(T_ApifKolone[[#This Row],[Bilans]],T_ApifKolone[[#This Row],[ApifKolona]])</f>
        <v>BSpKolona2</v>
      </c>
      <c r="AB8" s="79" t="s">
        <v>872</v>
      </c>
      <c r="AC8" s="79" t="s">
        <v>865</v>
      </c>
      <c r="AD8" s="106">
        <v>6</v>
      </c>
    </row>
    <row r="9" spans="2:30" x14ac:dyDescent="0.2">
      <c r="N9" t="s">
        <v>135</v>
      </c>
      <c r="O9">
        <f t="array" ref="O9">MIN(IF(Aop!$B$2:$B$456=Podesavanja!$N9,Aop!$A$2:$A$456))</f>
        <v>422</v>
      </c>
      <c r="P9">
        <f t="array" ref="P9">MAX(IF(Aop!$B$2:$B$456=Podesavanja!$N9,Aop!$A$2:$A$456))</f>
        <v>455</v>
      </c>
      <c r="Q9">
        <v>6</v>
      </c>
      <c r="AA9" t="str">
        <f>CONCATENATE(T_ApifKolone[[#This Row],[Bilans]],T_ApifKolone[[#This Row],[ApifKolona]])</f>
        <v>BUaKolona1</v>
      </c>
      <c r="AB9" t="s">
        <v>255</v>
      </c>
      <c r="AC9" t="s">
        <v>864</v>
      </c>
      <c r="AD9" s="106">
        <v>3</v>
      </c>
    </row>
    <row r="10" spans="2:30" x14ac:dyDescent="0.2">
      <c r="B10" t="s">
        <v>412</v>
      </c>
      <c r="C10" t="b">
        <f>Osnovni_podaci!$Y$76</f>
        <v>0</v>
      </c>
      <c r="AA10" t="str">
        <f>CONCATENATE(T_ApifKolone[[#This Row],[Bilans]],T_ApifKolone[[#This Row],[ApifKolona]])</f>
        <v>BUaKolona2</v>
      </c>
      <c r="AB10" t="s">
        <v>255</v>
      </c>
      <c r="AC10" t="s">
        <v>865</v>
      </c>
      <c r="AD10" s="106">
        <v>4</v>
      </c>
    </row>
    <row r="11" spans="2:30" x14ac:dyDescent="0.2">
      <c r="AA11" t="str">
        <f>CONCATENATE(T_ApifKolone[[#This Row],[Bilans]],T_ApifKolone[[#This Row],[ApifKolona]])</f>
        <v>BUbKolona1</v>
      </c>
      <c r="AB11" t="s">
        <v>264</v>
      </c>
      <c r="AC11" t="s">
        <v>864</v>
      </c>
      <c r="AD11">
        <v>3</v>
      </c>
    </row>
    <row r="12" spans="2:30" x14ac:dyDescent="0.2">
      <c r="AA12" s="277" t="str">
        <f>CONCATENATE(T_ApifKolone[[#This Row],[Bilans]],T_ApifKolone[[#This Row],[ApifKolona]])</f>
        <v>BUbKolona2</v>
      </c>
      <c r="AB12" s="277" t="s">
        <v>264</v>
      </c>
      <c r="AC12" s="277" t="s">
        <v>865</v>
      </c>
      <c r="AD12" s="277">
        <v>4</v>
      </c>
    </row>
    <row r="13" spans="2:30" x14ac:dyDescent="0.2">
      <c r="AA13" t="str">
        <f>CONCATENATE(T_ApifKolone[[#This Row],[Bilans]],T_ApifKolone[[#This Row],[ApifKolona]])</f>
        <v>BTGKolona1</v>
      </c>
      <c r="AB13" t="s">
        <v>133</v>
      </c>
      <c r="AC13" t="s">
        <v>864</v>
      </c>
      <c r="AD13">
        <v>3</v>
      </c>
    </row>
    <row r="14" spans="2:30" x14ac:dyDescent="0.2">
      <c r="AA14" t="str">
        <f>CONCATENATE(T_ApifKolone[[#This Row],[Bilans]],T_ApifKolone[[#This Row],[ApifKolona]])</f>
        <v>BTGKolona2</v>
      </c>
      <c r="AB14" t="s">
        <v>133</v>
      </c>
      <c r="AC14" t="s">
        <v>865</v>
      </c>
      <c r="AD14">
        <v>4</v>
      </c>
    </row>
    <row r="15" spans="2:30" x14ac:dyDescent="0.2">
      <c r="AA15" t="str">
        <f>CONCATENATE(T_ApifKolone[[#This Row],[Bilans]],T_ApifKolone[[#This Row],[ApifKolona]])</f>
        <v>AneksKolona1</v>
      </c>
      <c r="AB15" t="s">
        <v>134</v>
      </c>
      <c r="AC15" t="s">
        <v>864</v>
      </c>
      <c r="AD15">
        <v>2</v>
      </c>
    </row>
    <row r="16" spans="2:30" x14ac:dyDescent="0.2">
      <c r="AA16" s="277" t="str">
        <f>CONCATENATE(T_ApifKolone[[#This Row],[Bilans]],T_ApifKolone[[#This Row],[ApifKolona]])</f>
        <v>AneksKolona2</v>
      </c>
      <c r="AB16" s="235" t="s">
        <v>134</v>
      </c>
      <c r="AC16" s="235" t="s">
        <v>865</v>
      </c>
      <c r="AD16" s="235">
        <v>3</v>
      </c>
    </row>
    <row r="17" spans="24:30" x14ac:dyDescent="0.2">
      <c r="X17" s="114"/>
      <c r="AA17" t="str">
        <f>CONCATENATE(T_ApifKolone[[#This Row],[Bilans]],T_ApifKolone[[#This Row],[ApifKolona]])</f>
        <v>BPKKolona1</v>
      </c>
      <c r="AB17" t="s">
        <v>135</v>
      </c>
      <c r="AC17" t="s">
        <v>864</v>
      </c>
      <c r="AD17">
        <v>2</v>
      </c>
    </row>
    <row r="18" spans="24:30" x14ac:dyDescent="0.2">
      <c r="X18" s="114"/>
      <c r="AA18" t="str">
        <f>CONCATENATE(T_ApifKolone[[#This Row],[Bilans]],T_ApifKolone[[#This Row],[ApifKolona]])</f>
        <v>BPKKolona2</v>
      </c>
      <c r="AB18" t="s">
        <v>135</v>
      </c>
      <c r="AC18" t="s">
        <v>865</v>
      </c>
      <c r="AD18">
        <v>3</v>
      </c>
    </row>
    <row r="19" spans="24:30" x14ac:dyDescent="0.2">
      <c r="X19" s="114"/>
      <c r="AA19" t="str">
        <f>CONCATENATE(T_ApifKolone[[#This Row],[Bilans]],T_ApifKolone[[#This Row],[ApifKolona]])</f>
        <v>BPKKolona3</v>
      </c>
      <c r="AB19" t="s">
        <v>135</v>
      </c>
      <c r="AC19" t="s">
        <v>866</v>
      </c>
      <c r="AD19">
        <v>4</v>
      </c>
    </row>
    <row r="20" spans="24:30" x14ac:dyDescent="0.2">
      <c r="X20" s="114"/>
      <c r="AA20" t="str">
        <f>CONCATENATE(T_ApifKolone[[#This Row],[Bilans]],T_ApifKolone[[#This Row],[ApifKolona]])</f>
        <v>BPKKolona4</v>
      </c>
      <c r="AB20" t="s">
        <v>135</v>
      </c>
      <c r="AC20" t="s">
        <v>867</v>
      </c>
      <c r="AD20">
        <v>5</v>
      </c>
    </row>
    <row r="21" spans="24:30" x14ac:dyDescent="0.2">
      <c r="AA21" t="str">
        <f>CONCATENATE(T_ApifKolone[[#This Row],[Bilans]],T_ApifKolone[[#This Row],[ApifKolona]])</f>
        <v>BPKKolona5</v>
      </c>
      <c r="AB21" t="s">
        <v>135</v>
      </c>
      <c r="AC21" t="s">
        <v>868</v>
      </c>
      <c r="AD21">
        <v>6</v>
      </c>
    </row>
    <row r="22" spans="24:30" x14ac:dyDescent="0.2">
      <c r="AA22" t="str">
        <f>CONCATENATE(T_ApifKolone[[#This Row],[Bilans]],T_ApifKolone[[#This Row],[ApifKolona]])</f>
        <v>BPKKolona6</v>
      </c>
      <c r="AB22" t="s">
        <v>135</v>
      </c>
      <c r="AC22" t="s">
        <v>869</v>
      </c>
      <c r="AD22">
        <v>7</v>
      </c>
    </row>
    <row r="23" spans="24:30" x14ac:dyDescent="0.2">
      <c r="AA23" t="str">
        <f>CONCATENATE(T_ApifKolone[[#This Row],[Bilans]],T_ApifKolone[[#This Row],[ApifKolona]])</f>
        <v>BPKKolona7</v>
      </c>
      <c r="AB23" t="s">
        <v>135</v>
      </c>
      <c r="AC23" t="s">
        <v>870</v>
      </c>
      <c r="AD23">
        <v>8</v>
      </c>
    </row>
    <row r="24" spans="24:30" x14ac:dyDescent="0.2">
      <c r="AA24" t="str">
        <f>CONCATENATE(T_ApifKolone[[#This Row],[Bilans]],T_ApifKolone[[#This Row],[ApifKolona]])</f>
        <v>BPKKolona8</v>
      </c>
      <c r="AB24" t="s">
        <v>135</v>
      </c>
      <c r="AC24" t="s">
        <v>871</v>
      </c>
      <c r="AD24">
        <v>9</v>
      </c>
    </row>
    <row r="25" spans="24:30" x14ac:dyDescent="0.2">
      <c r="AA25" t="str">
        <f>CONCATENATE(T_ApifKolone[[#This Row],[Bilans]],T_ApifKolone[[#This Row],[ApifKolona]])</f>
        <v>BPKKolona9</v>
      </c>
      <c r="AB25" t="s">
        <v>135</v>
      </c>
      <c r="AC25" t="s">
        <v>1714</v>
      </c>
      <c r="AD25">
        <v>10</v>
      </c>
    </row>
    <row r="26" spans="24:30" x14ac:dyDescent="0.2">
      <c r="AA26" t="str">
        <f>CONCATENATE(T_ApifKolone[[#This Row],[Bilans]],T_ApifKolone[[#This Row],[ApifKolona]])</f>
        <v>BPKKolona10</v>
      </c>
      <c r="AB26" t="s">
        <v>135</v>
      </c>
      <c r="AC26" t="s">
        <v>1715</v>
      </c>
      <c r="AD26">
        <v>11</v>
      </c>
    </row>
    <row r="27" spans="24:30" x14ac:dyDescent="0.2">
      <c r="AA27" t="str">
        <f>CONCATENATE(T_ApifKolone[[#This Row],[Bilans]],T_ApifKolone[[#This Row],[ApifKolona]])</f>
        <v>BPKKolona11</v>
      </c>
      <c r="AB27" t="s">
        <v>135</v>
      </c>
      <c r="AC27" t="s">
        <v>1742</v>
      </c>
      <c r="AD27">
        <v>12</v>
      </c>
    </row>
    <row r="28" spans="24:30" x14ac:dyDescent="0.2">
      <c r="AA28" s="277" t="str">
        <f>CONCATENATE(T_ApifKolone[[#This Row],[Bilans]],T_ApifKolone[[#This Row],[ApifKolona]])</f>
        <v>BPKKolona12</v>
      </c>
      <c r="AB28" s="277" t="s">
        <v>135</v>
      </c>
      <c r="AC28" s="277" t="s">
        <v>1743</v>
      </c>
      <c r="AD28" s="277">
        <v>13</v>
      </c>
    </row>
  </sheetData>
  <phoneticPr fontId="27" type="noConversion"/>
  <pageMargins left="0.7" right="0.7" top="0.75" bottom="0.75" header="0.3" footer="0.3"/>
  <pageSetup paperSize="9" orientation="portrait" verticalDpi="200" r:id="rId1"/>
  <ignoredErrors>
    <ignoredError sqref="K3:K6" calculatedColumn="1"/>
  </ignoredErrors>
  <tableParts count="6">
    <tablePart r:id="rId2"/>
    <tablePart r:id="rId3"/>
    <tablePart r:id="rId4"/>
    <tablePart r:id="rId5"/>
    <tablePart r:id="rId6"/>
    <tablePart r:id="rId7"/>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T444"/>
  <sheetViews>
    <sheetView showGridLines="0" showRowColHeaders="0" workbookViewId="0">
      <selection activeCell="U15" sqref="U15"/>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7" t="s">
        <v>123</v>
      </c>
      <c r="B1" s="178" t="s">
        <v>249</v>
      </c>
      <c r="C1" s="179" t="s">
        <v>303</v>
      </c>
      <c r="D1" s="106" t="s">
        <v>125</v>
      </c>
      <c r="E1" s="106" t="s">
        <v>55</v>
      </c>
      <c r="F1" s="106" t="s">
        <v>413</v>
      </c>
      <c r="G1" s="179" t="s">
        <v>332</v>
      </c>
      <c r="H1" t="s">
        <v>74</v>
      </c>
      <c r="I1" s="179" t="s">
        <v>177</v>
      </c>
      <c r="J1" s="179" t="s">
        <v>1074</v>
      </c>
      <c r="K1" s="179" t="s">
        <v>69</v>
      </c>
      <c r="L1" s="179" t="s">
        <v>305</v>
      </c>
      <c r="M1" s="179" t="s">
        <v>306</v>
      </c>
      <c r="N1" s="179" t="s">
        <v>307</v>
      </c>
      <c r="P1" s="2"/>
      <c r="Q1" s="2"/>
      <c r="R1" s="2"/>
      <c r="S1" s="2">
        <v>2</v>
      </c>
      <c r="T1" s="2">
        <v>3</v>
      </c>
    </row>
    <row r="2" spans="1:20" x14ac:dyDescent="0.2">
      <c r="A2" s="106">
        <v>2</v>
      </c>
      <c r="B2" s="106" t="str">
        <f>VLOOKUP( $A2, Aop!$A$2:$P$456, 2, 0)</f>
        <v>BSa</v>
      </c>
      <c r="C2" s="106">
        <f t="shared" ref="C2:C65" si="0">ID_Izvjestaj</f>
        <v>4</v>
      </c>
      <c r="D2" s="106" t="str">
        <f t="shared" ref="D2:D65" si="1">Podatak_MB</f>
        <v>01814788</v>
      </c>
      <c r="E2" s="106" t="str">
        <f>Podatak_JIB</f>
        <v>4400570050004</v>
      </c>
      <c r="F2" s="106" t="b">
        <f t="shared" ref="F2:F65" si="2">Konsolidovan_izvjestaj</f>
        <v>0</v>
      </c>
      <c r="G2" s="141">
        <f t="shared" ref="G2:G65" si="3">Datum_Broj</f>
        <v>46022</v>
      </c>
      <c r="H2" s="106">
        <f>VLOOKUP( $A2, Aop!$A$2:$P$456, 4, 0)</f>
        <v>2</v>
      </c>
      <c r="I2" s="106">
        <f t="shared" ref="I2:I65" si="4">Godina</f>
        <v>2025</v>
      </c>
      <c r="J2" s="106"/>
      <c r="K2" s="56">
        <f ca="1">IF( VLOOKUP( $H2, INDIRECT( "Lookup_" &amp; $B2), IF( LEFT( $B2, 2) = "BS", Q$2, Q$1), 0) = "", "", VLOOKUP( $H2, INDIRECT( "Lookup_" &amp; $B2), IF( $B2 = "BSa", Q$2, Q$1), 0))</f>
        <v>20</v>
      </c>
      <c r="L2" s="56">
        <f t="shared" ref="L2:L65" ca="1" si="5">IF( VLOOKUP( $H2, INDIRECT( "Lookup_" &amp; $B2), IF( LEFT( $B2, 2) = "BS", R$2, R$1), 0) = "", "", VLOOKUP( $H2, INDIRECT( "Lookup_" &amp; $B2), IF( $B2 = "BSa", R$2, R$1), 0))</f>
        <v>7997256</v>
      </c>
      <c r="M2" s="56">
        <f t="shared" ref="M2:M65" ca="1" si="6">IF( VLOOKUP( $H2, INDIRECT( "Lookup_" &amp; $B2), IF( LEFT( $B2, 2) = "BS", S$2, S$1), 0) = "", "", VLOOKUP( $H2, INDIRECT( "Lookup_" &amp; $B2), IF( LEFT( $B2, 2) = "BS", S$2, S$1), 0))</f>
        <v>2677112</v>
      </c>
      <c r="N2" s="56">
        <f t="shared" ref="N2:N65" ca="1" si="7">IF( VLOOKUP( $H2, INDIRECT( "Lookup_" &amp; $B2), IF( LEFT( $B2, 2) = "BS", T$2, T$1), 0) = "", "", VLOOKUP( $H2, INDIRECT( "Lookup_" &amp; $B2), IF( LEFT( $B2, 2) = "BS", T$2, T$1), 0))</f>
        <v>5320144</v>
      </c>
      <c r="Q2" s="2">
        <v>2</v>
      </c>
      <c r="R2" s="2">
        <v>3</v>
      </c>
      <c r="S2" s="2">
        <v>4</v>
      </c>
      <c r="T2" s="2">
        <v>5</v>
      </c>
    </row>
    <row r="3" spans="1:20" x14ac:dyDescent="0.2">
      <c r="A3" s="106">
        <v>3</v>
      </c>
      <c r="B3" s="106" t="str">
        <f>VLOOKUP( $A3, Aop!$A$2:$P$456, 2, 0)</f>
        <v>BSa</v>
      </c>
      <c r="C3" s="106">
        <f t="shared" si="0"/>
        <v>4</v>
      </c>
      <c r="D3" s="106" t="str">
        <f t="shared" si="1"/>
        <v>01814788</v>
      </c>
      <c r="E3" s="106" t="str">
        <f t="shared" ref="E3:E65" si="8">Podatak_JIB</f>
        <v>4400570050004</v>
      </c>
      <c r="F3" s="106" t="b">
        <f t="shared" si="2"/>
        <v>0</v>
      </c>
      <c r="G3" s="141">
        <f t="shared" si="3"/>
        <v>46022</v>
      </c>
      <c r="H3" s="106">
        <f>VLOOKUP( $A3, Aop!$A$2:$P$456, 4, 0)</f>
        <v>3</v>
      </c>
      <c r="I3" s="106">
        <f t="shared" si="4"/>
        <v>2025</v>
      </c>
      <c r="J3" s="106"/>
      <c r="K3" s="56" t="str">
        <f t="shared" ref="K3:K66" ca="1" si="9">IF( VLOOKUP( $H3, INDIRECT( "Lookup_" &amp; $B3), IF( LEFT( $B3, 2) = "BS", Q$2, Q$1), 0) = "", "", VLOOKUP( $H3, INDIRECT( "Lookup_" &amp; $B3), IF( $B3 = "BSa", Q$2, Q$1), 0))</f>
        <v/>
      </c>
      <c r="L3" s="56">
        <f t="shared" ca="1" si="5"/>
        <v>42799</v>
      </c>
      <c r="M3" s="56">
        <f t="shared" ca="1" si="6"/>
        <v>25694</v>
      </c>
      <c r="N3" s="56">
        <f t="shared" ca="1" si="7"/>
        <v>17105</v>
      </c>
    </row>
    <row r="4" spans="1:20" x14ac:dyDescent="0.2">
      <c r="A4" s="106">
        <v>4</v>
      </c>
      <c r="B4" s="106" t="str">
        <f>VLOOKUP( $A4, Aop!$A$2:$P$456, 2, 0)</f>
        <v>BSa</v>
      </c>
      <c r="C4" s="106">
        <f t="shared" si="0"/>
        <v>4</v>
      </c>
      <c r="D4" s="106" t="str">
        <f t="shared" si="1"/>
        <v>01814788</v>
      </c>
      <c r="E4" s="106" t="str">
        <f t="shared" si="8"/>
        <v>4400570050004</v>
      </c>
      <c r="F4" s="106" t="b">
        <f t="shared" si="2"/>
        <v>0</v>
      </c>
      <c r="G4" s="141">
        <f t="shared" si="3"/>
        <v>46022</v>
      </c>
      <c r="H4" s="106">
        <f>VLOOKUP( $A4, Aop!$A$2:$P$456, 4, 0)</f>
        <v>4</v>
      </c>
      <c r="I4" s="106">
        <f t="shared" si="4"/>
        <v>2025</v>
      </c>
      <c r="J4" s="106"/>
      <c r="K4" s="56" t="str">
        <f t="shared" ca="1" si="9"/>
        <v/>
      </c>
      <c r="L4" s="56">
        <f t="shared" ca="1" si="5"/>
        <v>7954457</v>
      </c>
      <c r="M4" s="56">
        <f t="shared" ca="1" si="6"/>
        <v>2651418</v>
      </c>
      <c r="N4" s="56">
        <f t="shared" ca="1" si="7"/>
        <v>5303039</v>
      </c>
    </row>
    <row r="5" spans="1:20" x14ac:dyDescent="0.2">
      <c r="A5" s="106">
        <v>5</v>
      </c>
      <c r="B5" s="106" t="str">
        <f>VLOOKUP( $A5, Aop!$A$2:$P$456, 2, 0)</f>
        <v>BSa</v>
      </c>
      <c r="C5" s="106">
        <f t="shared" si="0"/>
        <v>4</v>
      </c>
      <c r="D5" s="106" t="str">
        <f t="shared" si="1"/>
        <v>01814788</v>
      </c>
      <c r="E5" s="106" t="str">
        <f t="shared" si="8"/>
        <v>4400570050004</v>
      </c>
      <c r="F5" s="106" t="b">
        <f t="shared" si="2"/>
        <v>0</v>
      </c>
      <c r="G5" s="141">
        <f t="shared" si="3"/>
        <v>46022</v>
      </c>
      <c r="H5" s="106">
        <f>VLOOKUP( $A5, Aop!$A$2:$P$456, 4, 0)</f>
        <v>5</v>
      </c>
      <c r="I5" s="106">
        <f t="shared" si="4"/>
        <v>2025</v>
      </c>
      <c r="J5" s="106"/>
      <c r="K5" s="56" t="str">
        <f t="shared" ca="1" si="9"/>
        <v/>
      </c>
      <c r="L5" s="56" t="str">
        <f t="shared" ca="1" si="5"/>
        <v/>
      </c>
      <c r="M5" s="56" t="str">
        <f t="shared" ca="1" si="6"/>
        <v/>
      </c>
      <c r="N5" s="56">
        <f t="shared" ca="1" si="7"/>
        <v>0</v>
      </c>
    </row>
    <row r="6" spans="1:20" x14ac:dyDescent="0.2">
      <c r="A6" s="106">
        <v>6</v>
      </c>
      <c r="B6" s="106" t="str">
        <f>VLOOKUP( $A6, Aop!$A$2:$P$456, 2, 0)</f>
        <v>BSa</v>
      </c>
      <c r="C6" s="106">
        <f t="shared" si="0"/>
        <v>4</v>
      </c>
      <c r="D6" s="106" t="str">
        <f t="shared" si="1"/>
        <v>01814788</v>
      </c>
      <c r="E6" s="106" t="str">
        <f t="shared" si="8"/>
        <v>4400570050004</v>
      </c>
      <c r="F6" s="106" t="b">
        <f t="shared" si="2"/>
        <v>0</v>
      </c>
      <c r="G6" s="141">
        <f t="shared" si="3"/>
        <v>46022</v>
      </c>
      <c r="H6" s="106">
        <f>VLOOKUP( $A6, Aop!$A$2:$P$456, 4, 0)</f>
        <v>6</v>
      </c>
      <c r="I6" s="106">
        <f t="shared" si="4"/>
        <v>2025</v>
      </c>
      <c r="J6" s="106"/>
      <c r="K6" s="56" t="str">
        <f t="shared" ca="1" si="9"/>
        <v/>
      </c>
      <c r="L6" s="56" t="str">
        <f t="shared" ca="1" si="5"/>
        <v/>
      </c>
      <c r="M6" s="56" t="str">
        <f t="shared" ca="1" si="6"/>
        <v/>
      </c>
      <c r="N6" s="56">
        <f t="shared" ca="1" si="7"/>
        <v>0</v>
      </c>
    </row>
    <row r="7" spans="1:20" x14ac:dyDescent="0.2">
      <c r="A7" s="106">
        <v>7</v>
      </c>
      <c r="B7" s="106" t="str">
        <f>VLOOKUP( $A7, Aop!$A$2:$P$456, 2, 0)</f>
        <v>BSa</v>
      </c>
      <c r="C7" s="106">
        <f t="shared" si="0"/>
        <v>4</v>
      </c>
      <c r="D7" s="106" t="str">
        <f t="shared" si="1"/>
        <v>01814788</v>
      </c>
      <c r="E7" s="106" t="str">
        <f t="shared" si="8"/>
        <v>4400570050004</v>
      </c>
      <c r="F7" s="106" t="b">
        <f t="shared" si="2"/>
        <v>0</v>
      </c>
      <c r="G7" s="141">
        <f t="shared" si="3"/>
        <v>46022</v>
      </c>
      <c r="H7" s="106">
        <f>VLOOKUP( $A7, Aop!$A$2:$P$456, 4, 0)</f>
        <v>7</v>
      </c>
      <c r="I7" s="106">
        <f t="shared" si="4"/>
        <v>2025</v>
      </c>
      <c r="J7" s="106"/>
      <c r="K7" s="56" t="str">
        <f t="shared" ca="1" si="9"/>
        <v/>
      </c>
      <c r="L7" s="56" t="str">
        <f t="shared" ca="1" si="5"/>
        <v/>
      </c>
      <c r="M7" s="56" t="str">
        <f t="shared" ca="1" si="6"/>
        <v/>
      </c>
      <c r="N7" s="56">
        <f t="shared" ca="1" si="7"/>
        <v>0</v>
      </c>
    </row>
    <row r="8" spans="1:20" x14ac:dyDescent="0.2">
      <c r="A8" s="106">
        <v>8</v>
      </c>
      <c r="B8" s="106" t="str">
        <f>VLOOKUP( $A8, Aop!$A$2:$P$456, 2, 0)</f>
        <v>BSa</v>
      </c>
      <c r="C8" s="106">
        <f t="shared" si="0"/>
        <v>4</v>
      </c>
      <c r="D8" s="106" t="str">
        <f t="shared" si="1"/>
        <v>01814788</v>
      </c>
      <c r="E8" s="106" t="str">
        <f t="shared" si="8"/>
        <v>4400570050004</v>
      </c>
      <c r="F8" s="106" t="b">
        <f t="shared" si="2"/>
        <v>0</v>
      </c>
      <c r="G8" s="141">
        <f t="shared" si="3"/>
        <v>46022</v>
      </c>
      <c r="H8" s="106">
        <f>VLOOKUP( $A8, Aop!$A$2:$P$456, 4, 0)</f>
        <v>8</v>
      </c>
      <c r="I8" s="106">
        <f t="shared" si="4"/>
        <v>2025</v>
      </c>
      <c r="J8" s="106"/>
      <c r="K8" s="56">
        <f t="shared" ca="1" si="9"/>
        <v>20</v>
      </c>
      <c r="L8" s="56">
        <f t="shared" ca="1" si="5"/>
        <v>347817014</v>
      </c>
      <c r="M8" s="56">
        <f t="shared" ca="1" si="6"/>
        <v>221444986</v>
      </c>
      <c r="N8" s="56">
        <f t="shared" ca="1" si="7"/>
        <v>126372028</v>
      </c>
    </row>
    <row r="9" spans="1:20" x14ac:dyDescent="0.2">
      <c r="A9" s="106">
        <v>9</v>
      </c>
      <c r="B9" s="106" t="str">
        <f>VLOOKUP( $A9, Aop!$A$2:$P$456, 2, 0)</f>
        <v>BSa</v>
      </c>
      <c r="C9" s="106">
        <f t="shared" si="0"/>
        <v>4</v>
      </c>
      <c r="D9" s="106" t="str">
        <f t="shared" si="1"/>
        <v>01814788</v>
      </c>
      <c r="E9" s="106" t="str">
        <f t="shared" si="8"/>
        <v>4400570050004</v>
      </c>
      <c r="F9" s="106" t="b">
        <f t="shared" si="2"/>
        <v>0</v>
      </c>
      <c r="G9" s="141">
        <f t="shared" si="3"/>
        <v>46022</v>
      </c>
      <c r="H9" s="106">
        <f>VLOOKUP( $A9, Aop!$A$2:$P$456, 4, 0)</f>
        <v>9</v>
      </c>
      <c r="I9" s="106">
        <f t="shared" si="4"/>
        <v>2025</v>
      </c>
      <c r="J9" s="106"/>
      <c r="K9" s="56" t="str">
        <f t="shared" ca="1" si="9"/>
        <v/>
      </c>
      <c r="L9" s="56">
        <f t="shared" ca="1" si="5"/>
        <v>372281</v>
      </c>
      <c r="M9" s="56" t="str">
        <f t="shared" ca="1" si="6"/>
        <v/>
      </c>
      <c r="N9" s="56">
        <f t="shared" ca="1" si="7"/>
        <v>372281</v>
      </c>
    </row>
    <row r="10" spans="1:20" x14ac:dyDescent="0.2">
      <c r="A10" s="106">
        <v>10</v>
      </c>
      <c r="B10" s="106" t="str">
        <f>VLOOKUP( $A10, Aop!$A$2:$P$456, 2, 0)</f>
        <v>BSa</v>
      </c>
      <c r="C10" s="106">
        <f t="shared" si="0"/>
        <v>4</v>
      </c>
      <c r="D10" s="106" t="str">
        <f t="shared" si="1"/>
        <v>01814788</v>
      </c>
      <c r="E10" s="106" t="str">
        <f t="shared" si="8"/>
        <v>4400570050004</v>
      </c>
      <c r="F10" s="106" t="b">
        <f t="shared" si="2"/>
        <v>0</v>
      </c>
      <c r="G10" s="141">
        <f t="shared" si="3"/>
        <v>46022</v>
      </c>
      <c r="H10" s="106">
        <f>VLOOKUP( $A10, Aop!$A$2:$P$456, 4, 0)</f>
        <v>10</v>
      </c>
      <c r="I10" s="106">
        <f t="shared" si="4"/>
        <v>2025</v>
      </c>
      <c r="J10" s="106"/>
      <c r="K10" s="56" t="str">
        <f t="shared" ca="1" si="9"/>
        <v/>
      </c>
      <c r="L10" s="56">
        <f t="shared" ca="1" si="5"/>
        <v>50640801</v>
      </c>
      <c r="M10" s="56">
        <f t="shared" ca="1" si="6"/>
        <v>20577408</v>
      </c>
      <c r="N10" s="56">
        <f t="shared" ca="1" si="7"/>
        <v>30063393</v>
      </c>
    </row>
    <row r="11" spans="1:20" x14ac:dyDescent="0.2">
      <c r="A11" s="106">
        <v>11</v>
      </c>
      <c r="B11" s="106" t="str">
        <f>VLOOKUP( $A11, Aop!$A$2:$P$456, 2, 0)</f>
        <v>BSa</v>
      </c>
      <c r="C11" s="106">
        <f t="shared" si="0"/>
        <v>4</v>
      </c>
      <c r="D11" s="106" t="str">
        <f t="shared" si="1"/>
        <v>01814788</v>
      </c>
      <c r="E11" s="106" t="str">
        <f t="shared" si="8"/>
        <v>4400570050004</v>
      </c>
      <c r="F11" s="106" t="b">
        <f t="shared" si="2"/>
        <v>0</v>
      </c>
      <c r="G11" s="141">
        <f t="shared" si="3"/>
        <v>46022</v>
      </c>
      <c r="H11" s="106">
        <f>VLOOKUP( $A11, Aop!$A$2:$P$456, 4, 0)</f>
        <v>11</v>
      </c>
      <c r="I11" s="106">
        <f t="shared" si="4"/>
        <v>2025</v>
      </c>
      <c r="J11" s="106"/>
      <c r="K11" s="56" t="str">
        <f t="shared" ca="1" si="9"/>
        <v/>
      </c>
      <c r="L11" s="56">
        <f t="shared" ca="1" si="5"/>
        <v>290589474</v>
      </c>
      <c r="M11" s="56">
        <f t="shared" ca="1" si="6"/>
        <v>200867578</v>
      </c>
      <c r="N11" s="56">
        <f t="shared" ca="1" si="7"/>
        <v>89721896</v>
      </c>
    </row>
    <row r="12" spans="1:20" x14ac:dyDescent="0.2">
      <c r="A12" s="106">
        <v>12</v>
      </c>
      <c r="B12" s="106" t="str">
        <f>VLOOKUP( $A12, Aop!$A$2:$P$456, 2, 0)</f>
        <v>BSa</v>
      </c>
      <c r="C12" s="106">
        <f t="shared" si="0"/>
        <v>4</v>
      </c>
      <c r="D12" s="106" t="str">
        <f t="shared" si="1"/>
        <v>01814788</v>
      </c>
      <c r="E12" s="106" t="str">
        <f t="shared" si="8"/>
        <v>4400570050004</v>
      </c>
      <c r="F12" s="106" t="b">
        <f t="shared" si="2"/>
        <v>0</v>
      </c>
      <c r="G12" s="141">
        <f t="shared" si="3"/>
        <v>46022</v>
      </c>
      <c r="H12" s="106">
        <f>VLOOKUP( $A12, Aop!$A$2:$P$456, 4, 0)</f>
        <v>12</v>
      </c>
      <c r="I12" s="106">
        <f t="shared" si="4"/>
        <v>2025</v>
      </c>
      <c r="J12" s="106"/>
      <c r="K12" s="56" t="str">
        <f t="shared" ca="1" si="9"/>
        <v/>
      </c>
      <c r="L12" s="56">
        <f t="shared" ca="1" si="5"/>
        <v>16731</v>
      </c>
      <c r="M12" s="56" t="str">
        <f t="shared" ca="1" si="6"/>
        <v/>
      </c>
      <c r="N12" s="56">
        <f t="shared" ca="1" si="7"/>
        <v>16731</v>
      </c>
    </row>
    <row r="13" spans="1:20" x14ac:dyDescent="0.2">
      <c r="A13" s="106">
        <v>13</v>
      </c>
      <c r="B13" s="106" t="str">
        <f>VLOOKUP( $A13, Aop!$A$2:$P$456, 2, 0)</f>
        <v>BSa</v>
      </c>
      <c r="C13" s="106">
        <f t="shared" si="0"/>
        <v>4</v>
      </c>
      <c r="D13" s="106" t="str">
        <f t="shared" si="1"/>
        <v>01814788</v>
      </c>
      <c r="E13" s="106" t="str">
        <f t="shared" si="8"/>
        <v>4400570050004</v>
      </c>
      <c r="F13" s="106" t="b">
        <f t="shared" si="2"/>
        <v>0</v>
      </c>
      <c r="G13" s="141">
        <f t="shared" si="3"/>
        <v>46022</v>
      </c>
      <c r="H13" s="106">
        <f>VLOOKUP( $A13, Aop!$A$2:$P$456, 4, 0)</f>
        <v>13</v>
      </c>
      <c r="I13" s="106">
        <f t="shared" si="4"/>
        <v>2025</v>
      </c>
      <c r="J13" s="106"/>
      <c r="K13" s="56" t="str">
        <f t="shared" ca="1" si="9"/>
        <v/>
      </c>
      <c r="L13" s="56" t="str">
        <f t="shared" ca="1" si="5"/>
        <v/>
      </c>
      <c r="M13" s="56" t="str">
        <f t="shared" ca="1" si="6"/>
        <v/>
      </c>
      <c r="N13" s="56">
        <f t="shared" ca="1" si="7"/>
        <v>0</v>
      </c>
    </row>
    <row r="14" spans="1:20" x14ac:dyDescent="0.2">
      <c r="A14" s="106">
        <v>14</v>
      </c>
      <c r="B14" s="106" t="str">
        <f>VLOOKUP( $A14, Aop!$A$2:$P$456, 2, 0)</f>
        <v>BSa</v>
      </c>
      <c r="C14" s="106">
        <f t="shared" si="0"/>
        <v>4</v>
      </c>
      <c r="D14" s="106" t="str">
        <f t="shared" si="1"/>
        <v>01814788</v>
      </c>
      <c r="E14" s="106" t="str">
        <f t="shared" si="8"/>
        <v>4400570050004</v>
      </c>
      <c r="F14" s="106" t="b">
        <f t="shared" si="2"/>
        <v>0</v>
      </c>
      <c r="G14" s="141">
        <f t="shared" si="3"/>
        <v>46022</v>
      </c>
      <c r="H14" s="106">
        <f>VLOOKUP( $A14, Aop!$A$2:$P$456, 4, 0)</f>
        <v>14</v>
      </c>
      <c r="I14" s="106">
        <f t="shared" si="4"/>
        <v>2025</v>
      </c>
      <c r="J14" s="106"/>
      <c r="K14" s="56" t="str">
        <f t="shared" ca="1" si="9"/>
        <v/>
      </c>
      <c r="L14" s="56">
        <f t="shared" ca="1" si="5"/>
        <v>6197727</v>
      </c>
      <c r="M14" s="56" t="str">
        <f t="shared" ca="1" si="6"/>
        <v/>
      </c>
      <c r="N14" s="56">
        <f t="shared" ca="1" si="7"/>
        <v>6197727</v>
      </c>
    </row>
    <row r="15" spans="1:20" x14ac:dyDescent="0.2">
      <c r="A15" s="106">
        <v>15</v>
      </c>
      <c r="B15" s="106" t="str">
        <f>VLOOKUP( $A15, Aop!$A$2:$P$456, 2, 0)</f>
        <v>BSa</v>
      </c>
      <c r="C15" s="106">
        <f t="shared" si="0"/>
        <v>4</v>
      </c>
      <c r="D15" s="106" t="str">
        <f t="shared" si="1"/>
        <v>01814788</v>
      </c>
      <c r="E15" s="106" t="str">
        <f t="shared" si="8"/>
        <v>4400570050004</v>
      </c>
      <c r="F15" s="106" t="b">
        <f t="shared" si="2"/>
        <v>0</v>
      </c>
      <c r="G15" s="141">
        <f t="shared" si="3"/>
        <v>46022</v>
      </c>
      <c r="H15" s="106">
        <f>VLOOKUP( $A15, Aop!$A$2:$P$456, 4, 0)</f>
        <v>15</v>
      </c>
      <c r="I15" s="106">
        <f t="shared" si="4"/>
        <v>2025</v>
      </c>
      <c r="J15" s="106"/>
      <c r="K15" s="56">
        <f t="shared" ca="1" si="9"/>
        <v>20</v>
      </c>
      <c r="L15" s="56">
        <f t="shared" ca="1" si="5"/>
        <v>511675</v>
      </c>
      <c r="M15" s="56">
        <f t="shared" ca="1" si="6"/>
        <v>86757</v>
      </c>
      <c r="N15" s="56">
        <f t="shared" ca="1" si="7"/>
        <v>424918</v>
      </c>
    </row>
    <row r="16" spans="1:20" x14ac:dyDescent="0.2">
      <c r="A16" s="106">
        <v>16</v>
      </c>
      <c r="B16" s="106" t="str">
        <f>VLOOKUP( $A16, Aop!$A$2:$P$456, 2, 0)</f>
        <v>BSa</v>
      </c>
      <c r="C16" s="106">
        <f t="shared" si="0"/>
        <v>4</v>
      </c>
      <c r="D16" s="106" t="str">
        <f t="shared" si="1"/>
        <v>01814788</v>
      </c>
      <c r="E16" s="106" t="str">
        <f t="shared" si="8"/>
        <v>4400570050004</v>
      </c>
      <c r="F16" s="106" t="b">
        <f t="shared" si="2"/>
        <v>0</v>
      </c>
      <c r="G16" s="141">
        <f t="shared" si="3"/>
        <v>46022</v>
      </c>
      <c r="H16" s="106">
        <f>VLOOKUP( $A16, Aop!$A$2:$P$456, 4, 0)</f>
        <v>16</v>
      </c>
      <c r="I16" s="106">
        <f t="shared" si="4"/>
        <v>2025</v>
      </c>
      <c r="J16" s="106"/>
      <c r="K16" s="56">
        <f t="shared" ca="1" si="9"/>
        <v>20</v>
      </c>
      <c r="L16" s="56">
        <f t="shared" ca="1" si="5"/>
        <v>201025</v>
      </c>
      <c r="M16" s="56">
        <f t="shared" ca="1" si="6"/>
        <v>25463</v>
      </c>
      <c r="N16" s="56">
        <f t="shared" ca="1" si="7"/>
        <v>175562</v>
      </c>
    </row>
    <row r="17" spans="1:14" x14ac:dyDescent="0.2">
      <c r="A17" s="106">
        <v>17</v>
      </c>
      <c r="B17" s="106" t="str">
        <f>VLOOKUP( $A17, Aop!$A$2:$P$456, 2, 0)</f>
        <v>BSa</v>
      </c>
      <c r="C17" s="106">
        <f t="shared" si="0"/>
        <v>4</v>
      </c>
      <c r="D17" s="106" t="str">
        <f t="shared" si="1"/>
        <v>01814788</v>
      </c>
      <c r="E17" s="106" t="str">
        <f t="shared" si="8"/>
        <v>4400570050004</v>
      </c>
      <c r="F17" s="106" t="b">
        <f t="shared" si="2"/>
        <v>0</v>
      </c>
      <c r="G17" s="141">
        <f t="shared" si="3"/>
        <v>46022</v>
      </c>
      <c r="H17" s="106">
        <f>VLOOKUP( $A17, Aop!$A$2:$P$456, 4, 0)</f>
        <v>17</v>
      </c>
      <c r="I17" s="106">
        <f t="shared" si="4"/>
        <v>2025</v>
      </c>
      <c r="J17" s="106"/>
      <c r="K17" s="56" t="str">
        <f t="shared" ca="1" si="9"/>
        <v/>
      </c>
      <c r="L17" s="56">
        <f t="shared" ca="1" si="5"/>
        <v>0</v>
      </c>
      <c r="M17" s="56">
        <f t="shared" ca="1" si="6"/>
        <v>0</v>
      </c>
      <c r="N17" s="56">
        <f t="shared" ca="1" si="7"/>
        <v>0</v>
      </c>
    </row>
    <row r="18" spans="1:14" x14ac:dyDescent="0.2">
      <c r="A18" s="106">
        <v>18</v>
      </c>
      <c r="B18" s="106" t="str">
        <f>VLOOKUP( $A18, Aop!$A$2:$P$456, 2, 0)</f>
        <v>BSa</v>
      </c>
      <c r="C18" s="106">
        <f t="shared" si="0"/>
        <v>4</v>
      </c>
      <c r="D18" s="106" t="str">
        <f t="shared" si="1"/>
        <v>01814788</v>
      </c>
      <c r="E18" s="106" t="str">
        <f t="shared" si="8"/>
        <v>4400570050004</v>
      </c>
      <c r="F18" s="106" t="b">
        <f t="shared" si="2"/>
        <v>0</v>
      </c>
      <c r="G18" s="141">
        <f t="shared" si="3"/>
        <v>46022</v>
      </c>
      <c r="H18" s="106">
        <f>VLOOKUP( $A18, Aop!$A$2:$P$456, 4, 0)</f>
        <v>18</v>
      </c>
      <c r="I18" s="106">
        <f t="shared" si="4"/>
        <v>2025</v>
      </c>
      <c r="J18" s="106"/>
      <c r="K18" s="56" t="str">
        <f t="shared" ca="1" si="9"/>
        <v/>
      </c>
      <c r="L18" s="56" t="str">
        <f t="shared" ca="1" si="5"/>
        <v/>
      </c>
      <c r="M18" s="56" t="str">
        <f t="shared" ca="1" si="6"/>
        <v/>
      </c>
      <c r="N18" s="56">
        <f t="shared" ca="1" si="7"/>
        <v>0</v>
      </c>
    </row>
    <row r="19" spans="1:14" x14ac:dyDescent="0.2">
      <c r="A19" s="106">
        <v>19</v>
      </c>
      <c r="B19" s="106" t="str">
        <f>VLOOKUP( $A19, Aop!$A$2:$P$456, 2, 0)</f>
        <v>BSa</v>
      </c>
      <c r="C19" s="106">
        <f t="shared" si="0"/>
        <v>4</v>
      </c>
      <c r="D19" s="106" t="str">
        <f t="shared" si="1"/>
        <v>01814788</v>
      </c>
      <c r="E19" s="106" t="str">
        <f t="shared" si="8"/>
        <v>4400570050004</v>
      </c>
      <c r="F19" s="106" t="b">
        <f t="shared" si="2"/>
        <v>0</v>
      </c>
      <c r="G19" s="141">
        <f t="shared" si="3"/>
        <v>46022</v>
      </c>
      <c r="H19" s="106">
        <f>VLOOKUP( $A19, Aop!$A$2:$P$456, 4, 0)</f>
        <v>19</v>
      </c>
      <c r="I19" s="106">
        <f t="shared" si="4"/>
        <v>2025</v>
      </c>
      <c r="J19" s="106"/>
      <c r="K19" s="56" t="str">
        <f t="shared" ca="1" si="9"/>
        <v/>
      </c>
      <c r="L19" s="56" t="str">
        <f t="shared" ca="1" si="5"/>
        <v/>
      </c>
      <c r="M19" s="56" t="str">
        <f t="shared" ca="1" si="6"/>
        <v/>
      </c>
      <c r="N19" s="56">
        <f t="shared" ca="1" si="7"/>
        <v>0</v>
      </c>
    </row>
    <row r="20" spans="1:14" x14ac:dyDescent="0.2">
      <c r="A20" s="106">
        <v>20</v>
      </c>
      <c r="B20" s="106" t="str">
        <f>VLOOKUP( $A20, Aop!$A$2:$P$456, 2, 0)</f>
        <v>BSa</v>
      </c>
      <c r="C20" s="106">
        <f t="shared" si="0"/>
        <v>4</v>
      </c>
      <c r="D20" s="106" t="str">
        <f t="shared" si="1"/>
        <v>01814788</v>
      </c>
      <c r="E20" s="106" t="str">
        <f t="shared" si="8"/>
        <v>4400570050004</v>
      </c>
      <c r="F20" s="106" t="b">
        <f t="shared" si="2"/>
        <v>0</v>
      </c>
      <c r="G20" s="141">
        <f t="shared" si="3"/>
        <v>46022</v>
      </c>
      <c r="H20" s="106">
        <f>VLOOKUP( $A20, Aop!$A$2:$P$456, 4, 0)</f>
        <v>20</v>
      </c>
      <c r="I20" s="106">
        <f t="shared" si="4"/>
        <v>2025</v>
      </c>
      <c r="J20" s="106"/>
      <c r="K20" s="56" t="str">
        <f t="shared" ca="1" si="9"/>
        <v/>
      </c>
      <c r="L20" s="56" t="str">
        <f t="shared" ca="1" si="5"/>
        <v/>
      </c>
      <c r="M20" s="56" t="str">
        <f t="shared" ca="1" si="6"/>
        <v/>
      </c>
      <c r="N20" s="56">
        <f t="shared" ca="1" si="7"/>
        <v>0</v>
      </c>
    </row>
    <row r="21" spans="1:14" x14ac:dyDescent="0.2">
      <c r="A21" s="106">
        <v>21</v>
      </c>
      <c r="B21" s="106" t="str">
        <f>VLOOKUP( $A21, Aop!$A$2:$P$456, 2, 0)</f>
        <v>BSa</v>
      </c>
      <c r="C21" s="106">
        <f t="shared" si="0"/>
        <v>4</v>
      </c>
      <c r="D21" s="106" t="str">
        <f t="shared" si="1"/>
        <v>01814788</v>
      </c>
      <c r="E21" s="106" t="str">
        <f t="shared" si="8"/>
        <v>4400570050004</v>
      </c>
      <c r="F21" s="106" t="b">
        <f t="shared" si="2"/>
        <v>0</v>
      </c>
      <c r="G21" s="141">
        <f t="shared" si="3"/>
        <v>46022</v>
      </c>
      <c r="H21" s="106">
        <f>VLOOKUP( $A21, Aop!$A$2:$P$456, 4, 0)</f>
        <v>21</v>
      </c>
      <c r="I21" s="106">
        <f t="shared" si="4"/>
        <v>2025</v>
      </c>
      <c r="J21" s="106"/>
      <c r="K21" s="56" t="str">
        <f t="shared" ca="1" si="9"/>
        <v/>
      </c>
      <c r="L21" s="56" t="str">
        <f t="shared" ca="1" si="5"/>
        <v/>
      </c>
      <c r="M21" s="56" t="str">
        <f t="shared" ca="1" si="6"/>
        <v/>
      </c>
      <c r="N21" s="56">
        <f t="shared" ca="1" si="7"/>
        <v>0</v>
      </c>
    </row>
    <row r="22" spans="1:14" x14ac:dyDescent="0.2">
      <c r="A22" s="106">
        <v>22</v>
      </c>
      <c r="B22" s="106" t="str">
        <f>VLOOKUP( $A22, Aop!$A$2:$P$456, 2, 0)</f>
        <v>BSa</v>
      </c>
      <c r="C22" s="106">
        <f t="shared" si="0"/>
        <v>4</v>
      </c>
      <c r="D22" s="106" t="str">
        <f t="shared" si="1"/>
        <v>01814788</v>
      </c>
      <c r="E22" s="106" t="str">
        <f t="shared" si="8"/>
        <v>4400570050004</v>
      </c>
      <c r="F22" s="106" t="b">
        <f t="shared" si="2"/>
        <v>0</v>
      </c>
      <c r="G22" s="141">
        <f t="shared" si="3"/>
        <v>46022</v>
      </c>
      <c r="H22" s="106">
        <f>VLOOKUP( $A22, Aop!$A$2:$P$456, 4, 0)</f>
        <v>22</v>
      </c>
      <c r="I22" s="106">
        <f t="shared" si="4"/>
        <v>2025</v>
      </c>
      <c r="J22" s="106"/>
      <c r="K22" s="56">
        <f t="shared" ca="1" si="9"/>
        <v>21</v>
      </c>
      <c r="L22" s="56">
        <f t="shared" ca="1" si="5"/>
        <v>21072892</v>
      </c>
      <c r="M22" s="56">
        <f t="shared" ca="1" si="6"/>
        <v>548860</v>
      </c>
      <c r="N22" s="56">
        <f t="shared" ca="1" si="7"/>
        <v>20524032</v>
      </c>
    </row>
    <row r="23" spans="1:14" x14ac:dyDescent="0.2">
      <c r="A23" s="106">
        <v>23</v>
      </c>
      <c r="B23" s="106" t="str">
        <f>VLOOKUP( $A23, Aop!$A$2:$P$456, 2, 0)</f>
        <v>BSa</v>
      </c>
      <c r="C23" s="106">
        <f t="shared" si="0"/>
        <v>4</v>
      </c>
      <c r="D23" s="106" t="str">
        <f t="shared" si="1"/>
        <v>01814788</v>
      </c>
      <c r="E23" s="106" t="str">
        <f t="shared" si="8"/>
        <v>4400570050004</v>
      </c>
      <c r="F23" s="106" t="b">
        <f t="shared" si="2"/>
        <v>0</v>
      </c>
      <c r="G23" s="141">
        <f t="shared" si="3"/>
        <v>46022</v>
      </c>
      <c r="H23" s="106">
        <f>VLOOKUP( $A23, Aop!$A$2:$P$456, 4, 0)</f>
        <v>23</v>
      </c>
      <c r="I23" s="106">
        <f t="shared" si="4"/>
        <v>2025</v>
      </c>
      <c r="J23" s="106"/>
      <c r="K23" s="56" t="str">
        <f t="shared" ca="1" si="9"/>
        <v/>
      </c>
      <c r="L23" s="56">
        <f t="shared" ca="1" si="5"/>
        <v>20480669</v>
      </c>
      <c r="M23" s="56" t="str">
        <f t="shared" ca="1" si="6"/>
        <v/>
      </c>
      <c r="N23" s="56">
        <f t="shared" ca="1" si="7"/>
        <v>20480669</v>
      </c>
    </row>
    <row r="24" spans="1:14" x14ac:dyDescent="0.2">
      <c r="A24" s="106">
        <v>24</v>
      </c>
      <c r="B24" s="106" t="str">
        <f>VLOOKUP( $A24, Aop!$A$2:$P$456, 2, 0)</f>
        <v>BSa</v>
      </c>
      <c r="C24" s="106">
        <f t="shared" si="0"/>
        <v>4</v>
      </c>
      <c r="D24" s="106" t="str">
        <f t="shared" si="1"/>
        <v>01814788</v>
      </c>
      <c r="E24" s="106" t="str">
        <f t="shared" si="8"/>
        <v>4400570050004</v>
      </c>
      <c r="F24" s="106" t="b">
        <f t="shared" si="2"/>
        <v>0</v>
      </c>
      <c r="G24" s="141">
        <f t="shared" si="3"/>
        <v>46022</v>
      </c>
      <c r="H24" s="106">
        <f>VLOOKUP( $A24, Aop!$A$2:$P$456, 4, 0)</f>
        <v>24</v>
      </c>
      <c r="I24" s="106">
        <f t="shared" si="4"/>
        <v>2025</v>
      </c>
      <c r="J24" s="106"/>
      <c r="K24" s="56" t="str">
        <f t="shared" ca="1" si="9"/>
        <v/>
      </c>
      <c r="L24" s="56" t="str">
        <f t="shared" ca="1" si="5"/>
        <v/>
      </c>
      <c r="M24" s="56" t="str">
        <f t="shared" ca="1" si="6"/>
        <v/>
      </c>
      <c r="N24" s="56">
        <f t="shared" ca="1" si="7"/>
        <v>0</v>
      </c>
    </row>
    <row r="25" spans="1:14" x14ac:dyDescent="0.2">
      <c r="A25" s="106">
        <v>25</v>
      </c>
      <c r="B25" s="106" t="str">
        <f>VLOOKUP( $A25, Aop!$A$2:$P$456, 2, 0)</f>
        <v>BSa</v>
      </c>
      <c r="C25" s="106">
        <f t="shared" si="0"/>
        <v>4</v>
      </c>
      <c r="D25" s="106" t="str">
        <f t="shared" si="1"/>
        <v>01814788</v>
      </c>
      <c r="E25" s="106" t="str">
        <f t="shared" si="8"/>
        <v>4400570050004</v>
      </c>
      <c r="F25" s="106" t="b">
        <f t="shared" si="2"/>
        <v>0</v>
      </c>
      <c r="G25" s="141">
        <f t="shared" si="3"/>
        <v>46022</v>
      </c>
      <c r="H25" s="106">
        <f>VLOOKUP( $A25, Aop!$A$2:$P$456, 4, 0)</f>
        <v>25</v>
      </c>
      <c r="I25" s="106">
        <f t="shared" si="4"/>
        <v>2025</v>
      </c>
      <c r="J25" s="106"/>
      <c r="K25" s="56" t="str">
        <f t="shared" ca="1" si="9"/>
        <v/>
      </c>
      <c r="L25" s="56">
        <f t="shared" ca="1" si="5"/>
        <v>548860</v>
      </c>
      <c r="M25" s="56">
        <f t="shared" ca="1" si="6"/>
        <v>548860</v>
      </c>
      <c r="N25" s="56">
        <f t="shared" ca="1" si="7"/>
        <v>0</v>
      </c>
    </row>
    <row r="26" spans="1:14" x14ac:dyDescent="0.2">
      <c r="A26" s="106">
        <v>26</v>
      </c>
      <c r="B26" s="106" t="str">
        <f>VLOOKUP( $A26, Aop!$A$2:$P$456, 2, 0)</f>
        <v>BSa</v>
      </c>
      <c r="C26" s="106">
        <f t="shared" si="0"/>
        <v>4</v>
      </c>
      <c r="D26" s="106" t="str">
        <f t="shared" si="1"/>
        <v>01814788</v>
      </c>
      <c r="E26" s="106" t="str">
        <f t="shared" si="8"/>
        <v>4400570050004</v>
      </c>
      <c r="F26" s="106" t="b">
        <f t="shared" si="2"/>
        <v>0</v>
      </c>
      <c r="G26" s="141">
        <f t="shared" si="3"/>
        <v>46022</v>
      </c>
      <c r="H26" s="106">
        <f>VLOOKUP( $A26, Aop!$A$2:$P$456, 4, 0)</f>
        <v>26</v>
      </c>
      <c r="I26" s="106">
        <f t="shared" si="4"/>
        <v>2025</v>
      </c>
      <c r="J26" s="106"/>
      <c r="K26" s="56" t="str">
        <f t="shared" ca="1" si="9"/>
        <v/>
      </c>
      <c r="L26" s="56" t="str">
        <f t="shared" ca="1" si="5"/>
        <v/>
      </c>
      <c r="M26" s="56" t="str">
        <f t="shared" ca="1" si="6"/>
        <v/>
      </c>
      <c r="N26" s="56">
        <f t="shared" ca="1" si="7"/>
        <v>0</v>
      </c>
    </row>
    <row r="27" spans="1:14" x14ac:dyDescent="0.2">
      <c r="A27" s="106">
        <v>27</v>
      </c>
      <c r="B27" s="106" t="str">
        <f>VLOOKUP( $A27, Aop!$A$2:$P$456, 2, 0)</f>
        <v>BSa</v>
      </c>
      <c r="C27" s="106">
        <f t="shared" si="0"/>
        <v>4</v>
      </c>
      <c r="D27" s="106" t="str">
        <f t="shared" si="1"/>
        <v>01814788</v>
      </c>
      <c r="E27" s="106" t="str">
        <f t="shared" si="8"/>
        <v>4400570050004</v>
      </c>
      <c r="F27" s="106" t="b">
        <f t="shared" si="2"/>
        <v>0</v>
      </c>
      <c r="G27" s="141">
        <f t="shared" si="3"/>
        <v>46022</v>
      </c>
      <c r="H27" s="106">
        <f>VLOOKUP( $A27, Aop!$A$2:$P$456, 4, 0)</f>
        <v>27</v>
      </c>
      <c r="I27" s="106">
        <f t="shared" si="4"/>
        <v>2025</v>
      </c>
      <c r="J27" s="106"/>
      <c r="K27" s="56" t="str">
        <f t="shared" ca="1" si="9"/>
        <v/>
      </c>
      <c r="L27" s="56">
        <f t="shared" ca="1" si="5"/>
        <v>548860</v>
      </c>
      <c r="M27" s="56">
        <f t="shared" ca="1" si="6"/>
        <v>548860</v>
      </c>
      <c r="N27" s="56">
        <f t="shared" ca="1" si="7"/>
        <v>0</v>
      </c>
    </row>
    <row r="28" spans="1:14" x14ac:dyDescent="0.2">
      <c r="A28" s="106">
        <v>28</v>
      </c>
      <c r="B28" s="106" t="str">
        <f>VLOOKUP( $A28, Aop!$A$2:$P$456, 2, 0)</f>
        <v>BSa</v>
      </c>
      <c r="C28" s="106">
        <f t="shared" si="0"/>
        <v>4</v>
      </c>
      <c r="D28" s="106" t="str">
        <f t="shared" si="1"/>
        <v>01814788</v>
      </c>
      <c r="E28" s="106" t="str">
        <f t="shared" si="8"/>
        <v>4400570050004</v>
      </c>
      <c r="F28" s="106" t="b">
        <f t="shared" si="2"/>
        <v>0</v>
      </c>
      <c r="G28" s="141">
        <f t="shared" si="3"/>
        <v>46022</v>
      </c>
      <c r="H28" s="106">
        <f>VLOOKUP( $A28, Aop!$A$2:$P$456, 4, 0)</f>
        <v>28</v>
      </c>
      <c r="I28" s="106">
        <f t="shared" si="4"/>
        <v>2025</v>
      </c>
      <c r="J28" s="106"/>
      <c r="K28" s="56" t="str">
        <f t="shared" ca="1" si="9"/>
        <v/>
      </c>
      <c r="L28" s="56" t="str">
        <f t="shared" ca="1" si="5"/>
        <v/>
      </c>
      <c r="M28" s="56" t="str">
        <f t="shared" ca="1" si="6"/>
        <v/>
      </c>
      <c r="N28" s="56">
        <f t="shared" ca="1" si="7"/>
        <v>0</v>
      </c>
    </row>
    <row r="29" spans="1:14" x14ac:dyDescent="0.2">
      <c r="A29" s="106">
        <v>29</v>
      </c>
      <c r="B29" s="106" t="str">
        <f>VLOOKUP( $A29, Aop!$A$2:$P$456, 2, 0)</f>
        <v>BSa</v>
      </c>
      <c r="C29" s="106">
        <f t="shared" si="0"/>
        <v>4</v>
      </c>
      <c r="D29" s="106" t="str">
        <f t="shared" si="1"/>
        <v>01814788</v>
      </c>
      <c r="E29" s="106" t="str">
        <f t="shared" si="8"/>
        <v>4400570050004</v>
      </c>
      <c r="F29" s="106" t="b">
        <f t="shared" si="2"/>
        <v>0</v>
      </c>
      <c r="G29" s="141">
        <f t="shared" si="3"/>
        <v>46022</v>
      </c>
      <c r="H29" s="106">
        <f>VLOOKUP( $A29, Aop!$A$2:$P$456, 4, 0)</f>
        <v>29</v>
      </c>
      <c r="I29" s="106">
        <f t="shared" si="4"/>
        <v>2025</v>
      </c>
      <c r="J29" s="106"/>
      <c r="K29" s="56" t="str">
        <f t="shared" ca="1" si="9"/>
        <v/>
      </c>
      <c r="L29" s="56" t="str">
        <f t="shared" ca="1" si="5"/>
        <v/>
      </c>
      <c r="M29" s="56" t="str">
        <f t="shared" ca="1" si="6"/>
        <v/>
      </c>
      <c r="N29" s="56">
        <f t="shared" ca="1" si="7"/>
        <v>0</v>
      </c>
    </row>
    <row r="30" spans="1:14" x14ac:dyDescent="0.2">
      <c r="A30" s="106">
        <v>30</v>
      </c>
      <c r="B30" s="106" t="str">
        <f>VLOOKUP( $A30, Aop!$A$2:$P$456, 2, 0)</f>
        <v>BSa</v>
      </c>
      <c r="C30" s="106">
        <f t="shared" si="0"/>
        <v>4</v>
      </c>
      <c r="D30" s="106" t="str">
        <f t="shared" si="1"/>
        <v>01814788</v>
      </c>
      <c r="E30" s="106" t="str">
        <f t="shared" si="8"/>
        <v>4400570050004</v>
      </c>
      <c r="F30" s="106" t="b">
        <f t="shared" si="2"/>
        <v>0</v>
      </c>
      <c r="G30" s="141">
        <f t="shared" si="3"/>
        <v>46022</v>
      </c>
      <c r="H30" s="106">
        <f>VLOOKUP( $A30, Aop!$A$2:$P$456, 4, 0)</f>
        <v>30</v>
      </c>
      <c r="I30" s="106">
        <f t="shared" si="4"/>
        <v>2025</v>
      </c>
      <c r="J30" s="106"/>
      <c r="K30" s="56" t="str">
        <f t="shared" ca="1" si="9"/>
        <v/>
      </c>
      <c r="L30" s="56">
        <f t="shared" ca="1" si="5"/>
        <v>43363</v>
      </c>
      <c r="M30" s="56">
        <f t="shared" ca="1" si="6"/>
        <v>0</v>
      </c>
      <c r="N30" s="56">
        <f t="shared" ca="1" si="7"/>
        <v>43363</v>
      </c>
    </row>
    <row r="31" spans="1:14" x14ac:dyDescent="0.2">
      <c r="A31" s="106">
        <v>31</v>
      </c>
      <c r="B31" s="106" t="str">
        <f>VLOOKUP( $A31, Aop!$A$2:$P$456, 2, 0)</f>
        <v>BSa</v>
      </c>
      <c r="C31" s="106">
        <f t="shared" si="0"/>
        <v>4</v>
      </c>
      <c r="D31" s="106" t="str">
        <f t="shared" si="1"/>
        <v>01814788</v>
      </c>
      <c r="E31" s="106" t="str">
        <f t="shared" si="8"/>
        <v>4400570050004</v>
      </c>
      <c r="F31" s="106" t="b">
        <f t="shared" si="2"/>
        <v>0</v>
      </c>
      <c r="G31" s="141">
        <f t="shared" si="3"/>
        <v>46022</v>
      </c>
      <c r="H31" s="106">
        <f>VLOOKUP( $A31, Aop!$A$2:$P$456, 4, 0)</f>
        <v>31</v>
      </c>
      <c r="I31" s="106">
        <f t="shared" si="4"/>
        <v>2025</v>
      </c>
      <c r="J31" s="106"/>
      <c r="K31" s="56" t="str">
        <f t="shared" ca="1" si="9"/>
        <v/>
      </c>
      <c r="L31" s="56" t="str">
        <f t="shared" ca="1" si="5"/>
        <v/>
      </c>
      <c r="M31" s="56" t="str">
        <f t="shared" ca="1" si="6"/>
        <v/>
      </c>
      <c r="N31" s="56">
        <f t="shared" ca="1" si="7"/>
        <v>0</v>
      </c>
    </row>
    <row r="32" spans="1:14" x14ac:dyDescent="0.2">
      <c r="A32" s="106">
        <v>32</v>
      </c>
      <c r="B32" s="106" t="str">
        <f>VLOOKUP( $A32, Aop!$A$2:$P$456, 2, 0)</f>
        <v>BSa</v>
      </c>
      <c r="C32" s="106">
        <f t="shared" si="0"/>
        <v>4</v>
      </c>
      <c r="D32" s="106" t="str">
        <f t="shared" si="1"/>
        <v>01814788</v>
      </c>
      <c r="E32" s="106" t="str">
        <f t="shared" si="8"/>
        <v>4400570050004</v>
      </c>
      <c r="F32" s="106" t="b">
        <f t="shared" si="2"/>
        <v>0</v>
      </c>
      <c r="G32" s="141">
        <f t="shared" si="3"/>
        <v>46022</v>
      </c>
      <c r="H32" s="106">
        <f>VLOOKUP( $A32, Aop!$A$2:$P$456, 4, 0)</f>
        <v>32</v>
      </c>
      <c r="I32" s="106">
        <f t="shared" si="4"/>
        <v>2025</v>
      </c>
      <c r="J32" s="106"/>
      <c r="K32" s="56" t="str">
        <f t="shared" ca="1" si="9"/>
        <v/>
      </c>
      <c r="L32" s="56">
        <f t="shared" ca="1" si="5"/>
        <v>43363</v>
      </c>
      <c r="M32" s="56" t="str">
        <f t="shared" ca="1" si="6"/>
        <v/>
      </c>
      <c r="N32" s="56">
        <f t="shared" ca="1" si="7"/>
        <v>43363</v>
      </c>
    </row>
    <row r="33" spans="1:14" x14ac:dyDescent="0.2">
      <c r="A33" s="106">
        <v>33</v>
      </c>
      <c r="B33" s="106" t="str">
        <f>VLOOKUP( $A33, Aop!$A$2:$P$456, 2, 0)</f>
        <v>BSa</v>
      </c>
      <c r="C33" s="106">
        <f t="shared" si="0"/>
        <v>4</v>
      </c>
      <c r="D33" s="106" t="str">
        <f t="shared" si="1"/>
        <v>01814788</v>
      </c>
      <c r="E33" s="106" t="str">
        <f t="shared" si="8"/>
        <v>4400570050004</v>
      </c>
      <c r="F33" s="106" t="b">
        <f t="shared" si="2"/>
        <v>0</v>
      </c>
      <c r="G33" s="141">
        <f t="shared" si="3"/>
        <v>46022</v>
      </c>
      <c r="H33" s="106">
        <f>VLOOKUP( $A33, Aop!$A$2:$P$456, 4, 0)</f>
        <v>33</v>
      </c>
      <c r="I33" s="106">
        <f t="shared" si="4"/>
        <v>2025</v>
      </c>
      <c r="J33" s="106"/>
      <c r="K33" s="56" t="str">
        <f t="shared" ca="1" si="9"/>
        <v/>
      </c>
      <c r="L33" s="56" t="str">
        <f t="shared" ca="1" si="5"/>
        <v/>
      </c>
      <c r="M33" s="56" t="str">
        <f t="shared" ca="1" si="6"/>
        <v/>
      </c>
      <c r="N33" s="56">
        <f t="shared" ca="1" si="7"/>
        <v>0</v>
      </c>
    </row>
    <row r="34" spans="1:14" x14ac:dyDescent="0.2">
      <c r="A34" s="106">
        <v>34</v>
      </c>
      <c r="B34" s="106" t="str">
        <f>VLOOKUP( $A34, Aop!$A$2:$P$456, 2, 0)</f>
        <v>BSa</v>
      </c>
      <c r="C34" s="106">
        <f t="shared" si="0"/>
        <v>4</v>
      </c>
      <c r="D34" s="106" t="str">
        <f t="shared" si="1"/>
        <v>01814788</v>
      </c>
      <c r="E34" s="106" t="str">
        <f t="shared" si="8"/>
        <v>4400570050004</v>
      </c>
      <c r="F34" s="106" t="b">
        <f t="shared" si="2"/>
        <v>0</v>
      </c>
      <c r="G34" s="141">
        <f t="shared" si="3"/>
        <v>46022</v>
      </c>
      <c r="H34" s="106">
        <f>VLOOKUP( $A34, Aop!$A$2:$P$456, 4, 0)</f>
        <v>34</v>
      </c>
      <c r="I34" s="106">
        <f t="shared" si="4"/>
        <v>2025</v>
      </c>
      <c r="J34" s="106"/>
      <c r="K34" s="56" t="str">
        <f t="shared" ca="1" si="9"/>
        <v/>
      </c>
      <c r="L34" s="56" t="str">
        <f t="shared" ca="1" si="5"/>
        <v/>
      </c>
      <c r="M34" s="56" t="str">
        <f t="shared" ca="1" si="6"/>
        <v/>
      </c>
      <c r="N34" s="56">
        <f t="shared" ca="1" si="7"/>
        <v>0</v>
      </c>
    </row>
    <row r="35" spans="1:14" x14ac:dyDescent="0.2">
      <c r="A35" s="106">
        <v>35</v>
      </c>
      <c r="B35" s="106" t="str">
        <f>VLOOKUP( $A35, Aop!$A$2:$P$456, 2, 0)</f>
        <v>BSa</v>
      </c>
      <c r="C35" s="106">
        <f t="shared" si="0"/>
        <v>4</v>
      </c>
      <c r="D35" s="106" t="str">
        <f t="shared" si="1"/>
        <v>01814788</v>
      </c>
      <c r="E35" s="106" t="str">
        <f t="shared" si="8"/>
        <v>4400570050004</v>
      </c>
      <c r="F35" s="106" t="b">
        <f t="shared" si="2"/>
        <v>0</v>
      </c>
      <c r="G35" s="141">
        <f t="shared" si="3"/>
        <v>46022</v>
      </c>
      <c r="H35" s="106">
        <f>VLOOKUP( $A35, Aop!$A$2:$P$456, 4, 0)</f>
        <v>35</v>
      </c>
      <c r="I35" s="106">
        <f t="shared" si="4"/>
        <v>2025</v>
      </c>
      <c r="J35" s="106"/>
      <c r="K35" s="56" t="str">
        <f t="shared" ca="1" si="9"/>
        <v/>
      </c>
      <c r="L35" s="56">
        <f t="shared" ca="1" si="5"/>
        <v>100645</v>
      </c>
      <c r="M35" s="56" t="str">
        <f t="shared" ca="1" si="6"/>
        <v/>
      </c>
      <c r="N35" s="56">
        <f t="shared" ca="1" si="7"/>
        <v>100645</v>
      </c>
    </row>
    <row r="36" spans="1:14" x14ac:dyDescent="0.2">
      <c r="A36" s="106">
        <v>36</v>
      </c>
      <c r="B36" s="106" t="str">
        <f>VLOOKUP( $A36, Aop!$A$2:$P$456, 2, 0)</f>
        <v>BSa</v>
      </c>
      <c r="C36" s="106">
        <f t="shared" si="0"/>
        <v>4</v>
      </c>
      <c r="D36" s="106" t="str">
        <f t="shared" si="1"/>
        <v>01814788</v>
      </c>
      <c r="E36" s="106" t="str">
        <f t="shared" si="8"/>
        <v>4400570050004</v>
      </c>
      <c r="F36" s="106" t="b">
        <f t="shared" si="2"/>
        <v>0</v>
      </c>
      <c r="G36" s="141">
        <f t="shared" si="3"/>
        <v>46022</v>
      </c>
      <c r="H36" s="106">
        <f>VLOOKUP( $A36, Aop!$A$2:$P$456, 4, 0)</f>
        <v>36</v>
      </c>
      <c r="I36" s="106">
        <f t="shared" si="4"/>
        <v>2025</v>
      </c>
      <c r="J36" s="106"/>
      <c r="K36" s="56" t="str">
        <f t="shared" ca="1" si="9"/>
        <v/>
      </c>
      <c r="L36" s="56">
        <f t="shared" ca="1" si="5"/>
        <v>62258846</v>
      </c>
      <c r="M36" s="56">
        <f t="shared" ca="1" si="6"/>
        <v>49697360</v>
      </c>
      <c r="N36" s="56">
        <f t="shared" ca="1" si="7"/>
        <v>12561486</v>
      </c>
    </row>
    <row r="37" spans="1:14" x14ac:dyDescent="0.2">
      <c r="A37" s="106">
        <v>37</v>
      </c>
      <c r="B37" s="106" t="str">
        <f>VLOOKUP( $A37, Aop!$A$2:$P$456, 2, 0)</f>
        <v>BSa</v>
      </c>
      <c r="C37" s="106">
        <f t="shared" si="0"/>
        <v>4</v>
      </c>
      <c r="D37" s="106" t="str">
        <f t="shared" si="1"/>
        <v>01814788</v>
      </c>
      <c r="E37" s="106" t="str">
        <f t="shared" si="8"/>
        <v>4400570050004</v>
      </c>
      <c r="F37" s="106" t="b">
        <f t="shared" si="2"/>
        <v>0</v>
      </c>
      <c r="G37" s="141">
        <f t="shared" si="3"/>
        <v>46022</v>
      </c>
      <c r="H37" s="106">
        <f>VLOOKUP( $A37, Aop!$A$2:$P$456, 4, 0)</f>
        <v>37</v>
      </c>
      <c r="I37" s="106">
        <f t="shared" si="4"/>
        <v>2025</v>
      </c>
      <c r="J37" s="106"/>
      <c r="K37" s="56">
        <f t="shared" ca="1" si="9"/>
        <v>22</v>
      </c>
      <c r="L37" s="56">
        <f t="shared" ca="1" si="5"/>
        <v>4407798</v>
      </c>
      <c r="M37" s="56">
        <f t="shared" ca="1" si="6"/>
        <v>1207228</v>
      </c>
      <c r="N37" s="56">
        <f t="shared" ca="1" si="7"/>
        <v>3200570</v>
      </c>
    </row>
    <row r="38" spans="1:14" x14ac:dyDescent="0.2">
      <c r="A38" s="106">
        <v>38</v>
      </c>
      <c r="B38" s="106" t="str">
        <f>VLOOKUP( $A38, Aop!$A$2:$P$456, 2, 0)</f>
        <v>BSa</v>
      </c>
      <c r="C38" s="106">
        <f t="shared" si="0"/>
        <v>4</v>
      </c>
      <c r="D38" s="106" t="str">
        <f t="shared" si="1"/>
        <v>01814788</v>
      </c>
      <c r="E38" s="106" t="str">
        <f t="shared" si="8"/>
        <v>4400570050004</v>
      </c>
      <c r="F38" s="106" t="b">
        <f t="shared" si="2"/>
        <v>0</v>
      </c>
      <c r="G38" s="141">
        <f t="shared" si="3"/>
        <v>46022</v>
      </c>
      <c r="H38" s="106">
        <f>VLOOKUP( $A38, Aop!$A$2:$P$456, 4, 0)</f>
        <v>38</v>
      </c>
      <c r="I38" s="106">
        <f t="shared" si="4"/>
        <v>2025</v>
      </c>
      <c r="J38" s="106"/>
      <c r="K38" s="56" t="str">
        <f t="shared" ca="1" si="9"/>
        <v/>
      </c>
      <c r="L38" s="56">
        <f t="shared" ca="1" si="5"/>
        <v>4315791</v>
      </c>
      <c r="M38" s="56">
        <f t="shared" ca="1" si="6"/>
        <v>1130901</v>
      </c>
      <c r="N38" s="56">
        <f t="shared" ca="1" si="7"/>
        <v>3184890</v>
      </c>
    </row>
    <row r="39" spans="1:14" x14ac:dyDescent="0.2">
      <c r="A39" s="106">
        <v>39</v>
      </c>
      <c r="B39" s="106" t="str">
        <f>VLOOKUP( $A39, Aop!$A$2:$P$456, 2, 0)</f>
        <v>BSa</v>
      </c>
      <c r="C39" s="106">
        <f t="shared" si="0"/>
        <v>4</v>
      </c>
      <c r="D39" s="106" t="str">
        <f t="shared" si="1"/>
        <v>01814788</v>
      </c>
      <c r="E39" s="106" t="str">
        <f t="shared" si="8"/>
        <v>4400570050004</v>
      </c>
      <c r="F39" s="106" t="b">
        <f t="shared" si="2"/>
        <v>0</v>
      </c>
      <c r="G39" s="141">
        <f t="shared" si="3"/>
        <v>46022</v>
      </c>
      <c r="H39" s="106">
        <f>VLOOKUP( $A39, Aop!$A$2:$P$456, 4, 0)</f>
        <v>39</v>
      </c>
      <c r="I39" s="106">
        <f t="shared" si="4"/>
        <v>2025</v>
      </c>
      <c r="J39" s="106"/>
      <c r="K39" s="56" t="str">
        <f t="shared" ca="1" si="9"/>
        <v/>
      </c>
      <c r="L39" s="56" t="str">
        <f t="shared" ca="1" si="5"/>
        <v/>
      </c>
      <c r="M39" s="56" t="str">
        <f t="shared" ca="1" si="6"/>
        <v/>
      </c>
      <c r="N39" s="56">
        <f t="shared" ca="1" si="7"/>
        <v>0</v>
      </c>
    </row>
    <row r="40" spans="1:14" x14ac:dyDescent="0.2">
      <c r="A40" s="106">
        <v>40</v>
      </c>
      <c r="B40" s="106" t="str">
        <f>VLOOKUP( $A40, Aop!$A$2:$P$456, 2, 0)</f>
        <v>BSa</v>
      </c>
      <c r="C40" s="106">
        <f t="shared" si="0"/>
        <v>4</v>
      </c>
      <c r="D40" s="106" t="str">
        <f t="shared" si="1"/>
        <v>01814788</v>
      </c>
      <c r="E40" s="106" t="str">
        <f t="shared" si="8"/>
        <v>4400570050004</v>
      </c>
      <c r="F40" s="106" t="b">
        <f t="shared" si="2"/>
        <v>0</v>
      </c>
      <c r="G40" s="141">
        <f t="shared" si="3"/>
        <v>46022</v>
      </c>
      <c r="H40" s="106">
        <f>VLOOKUP( $A40, Aop!$A$2:$P$456, 4, 0)</f>
        <v>40</v>
      </c>
      <c r="I40" s="106">
        <f t="shared" si="4"/>
        <v>2025</v>
      </c>
      <c r="J40" s="106"/>
      <c r="K40" s="56" t="str">
        <f t="shared" ca="1" si="9"/>
        <v/>
      </c>
      <c r="L40" s="56" t="str">
        <f t="shared" ca="1" si="5"/>
        <v/>
      </c>
      <c r="M40" s="56" t="str">
        <f t="shared" ca="1" si="6"/>
        <v/>
      </c>
      <c r="N40" s="56">
        <f t="shared" ca="1" si="7"/>
        <v>0</v>
      </c>
    </row>
    <row r="41" spans="1:14" x14ac:dyDescent="0.2">
      <c r="A41" s="106">
        <v>41</v>
      </c>
      <c r="B41" s="106" t="str">
        <f>VLOOKUP( $A41, Aop!$A$2:$P$456, 2, 0)</f>
        <v>BSa</v>
      </c>
      <c r="C41" s="106">
        <f t="shared" si="0"/>
        <v>4</v>
      </c>
      <c r="D41" s="106" t="str">
        <f t="shared" si="1"/>
        <v>01814788</v>
      </c>
      <c r="E41" s="106" t="str">
        <f t="shared" si="8"/>
        <v>4400570050004</v>
      </c>
      <c r="F41" s="106" t="b">
        <f t="shared" si="2"/>
        <v>0</v>
      </c>
      <c r="G41" s="141">
        <f t="shared" si="3"/>
        <v>46022</v>
      </c>
      <c r="H41" s="106">
        <f>VLOOKUP( $A41, Aop!$A$2:$P$456, 4, 0)</f>
        <v>41</v>
      </c>
      <c r="I41" s="106">
        <f t="shared" si="4"/>
        <v>2025</v>
      </c>
      <c r="J41" s="106"/>
      <c r="K41" s="56" t="str">
        <f t="shared" ca="1" si="9"/>
        <v/>
      </c>
      <c r="L41" s="56" t="str">
        <f t="shared" ca="1" si="5"/>
        <v/>
      </c>
      <c r="M41" s="56" t="str">
        <f t="shared" ca="1" si="6"/>
        <v/>
      </c>
      <c r="N41" s="56">
        <f t="shared" ca="1" si="7"/>
        <v>0</v>
      </c>
    </row>
    <row r="42" spans="1:14" x14ac:dyDescent="0.2">
      <c r="A42" s="106">
        <v>42</v>
      </c>
      <c r="B42" s="106" t="str">
        <f>VLOOKUP( $A42, Aop!$A$2:$P$456, 2, 0)</f>
        <v>BSa</v>
      </c>
      <c r="C42" s="106">
        <f t="shared" si="0"/>
        <v>4</v>
      </c>
      <c r="D42" s="106" t="str">
        <f t="shared" si="1"/>
        <v>01814788</v>
      </c>
      <c r="E42" s="106" t="str">
        <f t="shared" si="8"/>
        <v>4400570050004</v>
      </c>
      <c r="F42" s="106" t="b">
        <f t="shared" si="2"/>
        <v>0</v>
      </c>
      <c r="G42" s="141">
        <f t="shared" si="3"/>
        <v>46022</v>
      </c>
      <c r="H42" s="106">
        <f>VLOOKUP( $A42, Aop!$A$2:$P$456, 4, 0)</f>
        <v>42</v>
      </c>
      <c r="I42" s="106">
        <f t="shared" si="4"/>
        <v>2025</v>
      </c>
      <c r="J42" s="106"/>
      <c r="K42" s="56" t="str">
        <f t="shared" ca="1" si="9"/>
        <v/>
      </c>
      <c r="L42" s="56" t="str">
        <f t="shared" ca="1" si="5"/>
        <v/>
      </c>
      <c r="M42" s="56" t="str">
        <f t="shared" ca="1" si="6"/>
        <v/>
      </c>
      <c r="N42" s="56">
        <f t="shared" ca="1" si="7"/>
        <v>0</v>
      </c>
    </row>
    <row r="43" spans="1:14" x14ac:dyDescent="0.2">
      <c r="A43" s="106">
        <v>43</v>
      </c>
      <c r="B43" s="106" t="str">
        <f>VLOOKUP( $A43, Aop!$A$2:$P$456, 2, 0)</f>
        <v>BSa</v>
      </c>
      <c r="C43" s="106">
        <f t="shared" si="0"/>
        <v>4</v>
      </c>
      <c r="D43" s="106" t="str">
        <f t="shared" si="1"/>
        <v>01814788</v>
      </c>
      <c r="E43" s="106" t="str">
        <f t="shared" si="8"/>
        <v>4400570050004</v>
      </c>
      <c r="F43" s="106" t="b">
        <f t="shared" si="2"/>
        <v>0</v>
      </c>
      <c r="G43" s="141">
        <f t="shared" si="3"/>
        <v>46022</v>
      </c>
      <c r="H43" s="106">
        <f>VLOOKUP( $A43, Aop!$A$2:$P$456, 4, 0)</f>
        <v>43</v>
      </c>
      <c r="I43" s="106">
        <f t="shared" si="4"/>
        <v>2025</v>
      </c>
      <c r="J43" s="106"/>
      <c r="K43" s="56" t="str">
        <f t="shared" ca="1" si="9"/>
        <v/>
      </c>
      <c r="L43" s="56">
        <f t="shared" ca="1" si="5"/>
        <v>92007</v>
      </c>
      <c r="M43" s="56">
        <f t="shared" ca="1" si="6"/>
        <v>76327</v>
      </c>
      <c r="N43" s="56">
        <f t="shared" ca="1" si="7"/>
        <v>15680</v>
      </c>
    </row>
    <row r="44" spans="1:14" x14ac:dyDescent="0.2">
      <c r="A44" s="106">
        <v>44</v>
      </c>
      <c r="B44" s="106" t="str">
        <f>VLOOKUP( $A44, Aop!$A$2:$P$456, 2, 0)</f>
        <v>BSa</v>
      </c>
      <c r="C44" s="106">
        <f t="shared" si="0"/>
        <v>4</v>
      </c>
      <c r="D44" s="106" t="str">
        <f t="shared" si="1"/>
        <v>01814788</v>
      </c>
      <c r="E44" s="106" t="str">
        <f t="shared" si="8"/>
        <v>4400570050004</v>
      </c>
      <c r="F44" s="106" t="b">
        <f t="shared" si="2"/>
        <v>0</v>
      </c>
      <c r="G44" s="141">
        <f t="shared" si="3"/>
        <v>46022</v>
      </c>
      <c r="H44" s="106">
        <f>VLOOKUP( $A44, Aop!$A$2:$P$456, 4, 0)</f>
        <v>44</v>
      </c>
      <c r="I44" s="106">
        <f t="shared" si="4"/>
        <v>2025</v>
      </c>
      <c r="J44" s="106"/>
      <c r="K44" s="56" t="str">
        <f t="shared" ca="1" si="9"/>
        <v/>
      </c>
      <c r="L44" s="56">
        <f t="shared" ca="1" si="5"/>
        <v>57851048</v>
      </c>
      <c r="M44" s="56">
        <f t="shared" ca="1" si="6"/>
        <v>48490132</v>
      </c>
      <c r="N44" s="56">
        <f t="shared" ca="1" si="7"/>
        <v>9360916</v>
      </c>
    </row>
    <row r="45" spans="1:14" x14ac:dyDescent="0.2">
      <c r="A45" s="106">
        <v>45</v>
      </c>
      <c r="B45" s="106" t="str">
        <f>VLOOKUP( $A45, Aop!$A$2:$P$456, 2, 0)</f>
        <v>BSa</v>
      </c>
      <c r="C45" s="106">
        <f t="shared" si="0"/>
        <v>4</v>
      </c>
      <c r="D45" s="106" t="str">
        <f t="shared" si="1"/>
        <v>01814788</v>
      </c>
      <c r="E45" s="106" t="str">
        <f t="shared" si="8"/>
        <v>4400570050004</v>
      </c>
      <c r="F45" s="106" t="b">
        <f t="shared" si="2"/>
        <v>0</v>
      </c>
      <c r="G45" s="141">
        <f t="shared" si="3"/>
        <v>46022</v>
      </c>
      <c r="H45" s="106">
        <f>VLOOKUP( $A45, Aop!$A$2:$P$456, 4, 0)</f>
        <v>45</v>
      </c>
      <c r="I45" s="106">
        <f t="shared" si="4"/>
        <v>2025</v>
      </c>
      <c r="J45" s="106"/>
      <c r="K45" s="56" t="str">
        <f t="shared" ca="1" si="9"/>
        <v/>
      </c>
      <c r="L45" s="56">
        <f t="shared" ca="1" si="5"/>
        <v>56146052</v>
      </c>
      <c r="M45" s="56">
        <f t="shared" ca="1" si="6"/>
        <v>47976619</v>
      </c>
      <c r="N45" s="56">
        <f t="shared" ca="1" si="7"/>
        <v>8169433</v>
      </c>
    </row>
    <row r="46" spans="1:14" x14ac:dyDescent="0.2">
      <c r="A46" s="106">
        <v>46</v>
      </c>
      <c r="B46" s="106" t="str">
        <f>VLOOKUP( $A46, Aop!$A$2:$P$456, 2, 0)</f>
        <v>BSa</v>
      </c>
      <c r="C46" s="106">
        <f t="shared" si="0"/>
        <v>4</v>
      </c>
      <c r="D46" s="106" t="str">
        <f t="shared" si="1"/>
        <v>01814788</v>
      </c>
      <c r="E46" s="106" t="str">
        <f t="shared" si="8"/>
        <v>4400570050004</v>
      </c>
      <c r="F46" s="106" t="b">
        <f t="shared" si="2"/>
        <v>0</v>
      </c>
      <c r="G46" s="141">
        <f t="shared" si="3"/>
        <v>46022</v>
      </c>
      <c r="H46" s="106">
        <f>VLOOKUP( $A46, Aop!$A$2:$P$456, 4, 0)</f>
        <v>46</v>
      </c>
      <c r="I46" s="106">
        <f t="shared" si="4"/>
        <v>2025</v>
      </c>
      <c r="J46" s="106"/>
      <c r="K46" s="56">
        <f t="shared" ca="1" si="9"/>
        <v>23</v>
      </c>
      <c r="L46" s="56">
        <f t="shared" ca="1" si="5"/>
        <v>5671225</v>
      </c>
      <c r="M46" s="56">
        <f t="shared" ca="1" si="6"/>
        <v>56712</v>
      </c>
      <c r="N46" s="56">
        <f t="shared" ca="1" si="7"/>
        <v>5614513</v>
      </c>
    </row>
    <row r="47" spans="1:14" x14ac:dyDescent="0.2">
      <c r="A47" s="106">
        <v>47</v>
      </c>
      <c r="B47" s="106" t="str">
        <f>VLOOKUP( $A47, Aop!$A$2:$P$456, 2, 0)</f>
        <v>BSa</v>
      </c>
      <c r="C47" s="106">
        <f t="shared" si="0"/>
        <v>4</v>
      </c>
      <c r="D47" s="106" t="str">
        <f t="shared" si="1"/>
        <v>01814788</v>
      </c>
      <c r="E47" s="106" t="str">
        <f t="shared" si="8"/>
        <v>4400570050004</v>
      </c>
      <c r="F47" s="106" t="b">
        <f t="shared" si="2"/>
        <v>0</v>
      </c>
      <c r="G47" s="141">
        <f t="shared" si="3"/>
        <v>46022</v>
      </c>
      <c r="H47" s="106">
        <f>VLOOKUP( $A47, Aop!$A$2:$P$456, 4, 0)</f>
        <v>47</v>
      </c>
      <c r="I47" s="106">
        <f t="shared" si="4"/>
        <v>2025</v>
      </c>
      <c r="J47" s="106"/>
      <c r="K47" s="56">
        <f t="shared" ca="1" si="9"/>
        <v>23</v>
      </c>
      <c r="L47" s="56">
        <f t="shared" ca="1" si="5"/>
        <v>39635728</v>
      </c>
      <c r="M47" s="56">
        <f t="shared" ca="1" si="6"/>
        <v>39521400</v>
      </c>
      <c r="N47" s="56">
        <f t="shared" ca="1" si="7"/>
        <v>114328</v>
      </c>
    </row>
    <row r="48" spans="1:14" x14ac:dyDescent="0.2">
      <c r="A48" s="106">
        <v>48</v>
      </c>
      <c r="B48" s="106" t="str">
        <f>VLOOKUP( $A48, Aop!$A$2:$P$456, 2, 0)</f>
        <v>BSa</v>
      </c>
      <c r="C48" s="106">
        <f t="shared" si="0"/>
        <v>4</v>
      </c>
      <c r="D48" s="106" t="str">
        <f t="shared" si="1"/>
        <v>01814788</v>
      </c>
      <c r="E48" s="106" t="str">
        <f t="shared" si="8"/>
        <v>4400570050004</v>
      </c>
      <c r="F48" s="106" t="b">
        <f t="shared" si="2"/>
        <v>0</v>
      </c>
      <c r="G48" s="141">
        <f t="shared" si="3"/>
        <v>46022</v>
      </c>
      <c r="H48" s="106">
        <f>VLOOKUP( $A48, Aop!$A$2:$P$456, 4, 0)</f>
        <v>48</v>
      </c>
      <c r="I48" s="106">
        <f t="shared" si="4"/>
        <v>2025</v>
      </c>
      <c r="J48" s="106"/>
      <c r="K48" s="56" t="str">
        <f t="shared" ca="1" si="9"/>
        <v/>
      </c>
      <c r="L48" s="56" t="str">
        <f t="shared" ca="1" si="5"/>
        <v/>
      </c>
      <c r="M48" s="56" t="str">
        <f t="shared" ca="1" si="6"/>
        <v/>
      </c>
      <c r="N48" s="56">
        <f t="shared" ca="1" si="7"/>
        <v>0</v>
      </c>
    </row>
    <row r="49" spans="1:14" x14ac:dyDescent="0.2">
      <c r="A49" s="106">
        <v>49</v>
      </c>
      <c r="B49" s="106" t="str">
        <f>VLOOKUP( $A49, Aop!$A$2:$P$456, 2, 0)</f>
        <v>BSa</v>
      </c>
      <c r="C49" s="106">
        <f t="shared" si="0"/>
        <v>4</v>
      </c>
      <c r="D49" s="106" t="str">
        <f t="shared" si="1"/>
        <v>01814788</v>
      </c>
      <c r="E49" s="106" t="str">
        <f t="shared" si="8"/>
        <v>4400570050004</v>
      </c>
      <c r="F49" s="106" t="b">
        <f t="shared" si="2"/>
        <v>0</v>
      </c>
      <c r="G49" s="141">
        <f t="shared" si="3"/>
        <v>46022</v>
      </c>
      <c r="H49" s="106">
        <f>VLOOKUP( $A49, Aop!$A$2:$P$456, 4, 0)</f>
        <v>49</v>
      </c>
      <c r="I49" s="106">
        <f t="shared" si="4"/>
        <v>2025</v>
      </c>
      <c r="J49" s="106"/>
      <c r="K49" s="56" t="str">
        <f t="shared" ca="1" si="9"/>
        <v/>
      </c>
      <c r="L49" s="56" t="str">
        <f t="shared" ca="1" si="5"/>
        <v/>
      </c>
      <c r="M49" s="56" t="str">
        <f t="shared" ca="1" si="6"/>
        <v/>
      </c>
      <c r="N49" s="56">
        <f t="shared" ca="1" si="7"/>
        <v>0</v>
      </c>
    </row>
    <row r="50" spans="1:14" x14ac:dyDescent="0.2">
      <c r="A50" s="106">
        <v>50</v>
      </c>
      <c r="B50" s="106" t="str">
        <f>VLOOKUP( $A50, Aop!$A$2:$P$456, 2, 0)</f>
        <v>BSa</v>
      </c>
      <c r="C50" s="106">
        <f t="shared" si="0"/>
        <v>4</v>
      </c>
      <c r="D50" s="106" t="str">
        <f t="shared" si="1"/>
        <v>01814788</v>
      </c>
      <c r="E50" s="106" t="str">
        <f t="shared" si="8"/>
        <v>4400570050004</v>
      </c>
      <c r="F50" s="106" t="b">
        <f t="shared" si="2"/>
        <v>0</v>
      </c>
      <c r="G50" s="141">
        <f t="shared" si="3"/>
        <v>46022</v>
      </c>
      <c r="H50" s="106">
        <f>VLOOKUP( $A50, Aop!$A$2:$P$456, 4, 0)</f>
        <v>50</v>
      </c>
      <c r="I50" s="106">
        <f t="shared" si="4"/>
        <v>2025</v>
      </c>
      <c r="J50" s="106"/>
      <c r="K50" s="56">
        <f t="shared" ca="1" si="9"/>
        <v>24</v>
      </c>
      <c r="L50" s="56">
        <f t="shared" ca="1" si="5"/>
        <v>10839099</v>
      </c>
      <c r="M50" s="56">
        <f t="shared" ca="1" si="6"/>
        <v>8398507</v>
      </c>
      <c r="N50" s="56">
        <f t="shared" ca="1" si="7"/>
        <v>2440592</v>
      </c>
    </row>
    <row r="51" spans="1:14" x14ac:dyDescent="0.2">
      <c r="A51" s="106">
        <v>51</v>
      </c>
      <c r="B51" s="106" t="str">
        <f>VLOOKUP( $A51, Aop!$A$2:$P$456, 2, 0)</f>
        <v>BSa</v>
      </c>
      <c r="C51" s="106">
        <f t="shared" si="0"/>
        <v>4</v>
      </c>
      <c r="D51" s="106" t="str">
        <f t="shared" si="1"/>
        <v>01814788</v>
      </c>
      <c r="E51" s="106" t="str">
        <f t="shared" si="8"/>
        <v>4400570050004</v>
      </c>
      <c r="F51" s="106" t="b">
        <f t="shared" si="2"/>
        <v>0</v>
      </c>
      <c r="G51" s="141">
        <f t="shared" si="3"/>
        <v>46022</v>
      </c>
      <c r="H51" s="106">
        <f>VLOOKUP( $A51, Aop!$A$2:$P$456, 4, 0)</f>
        <v>51</v>
      </c>
      <c r="I51" s="106">
        <f t="shared" si="4"/>
        <v>2025</v>
      </c>
      <c r="J51" s="106"/>
      <c r="K51" s="56" t="str">
        <f t="shared" ca="1" si="9"/>
        <v/>
      </c>
      <c r="L51" s="56" t="str">
        <f t="shared" ca="1" si="5"/>
        <v/>
      </c>
      <c r="M51" s="56" t="str">
        <f t="shared" ca="1" si="6"/>
        <v/>
      </c>
      <c r="N51" s="56">
        <f t="shared" ca="1" si="7"/>
        <v>0</v>
      </c>
    </row>
    <row r="52" spans="1:14" x14ac:dyDescent="0.2">
      <c r="A52" s="106">
        <v>52</v>
      </c>
      <c r="B52" s="106" t="str">
        <f>VLOOKUP( $A52, Aop!$A$2:$P$456, 2, 0)</f>
        <v>BSa</v>
      </c>
      <c r="C52" s="106">
        <f t="shared" si="0"/>
        <v>4</v>
      </c>
      <c r="D52" s="106" t="str">
        <f t="shared" si="1"/>
        <v>01814788</v>
      </c>
      <c r="E52" s="106" t="str">
        <f t="shared" si="8"/>
        <v>4400570050004</v>
      </c>
      <c r="F52" s="106" t="b">
        <f t="shared" si="2"/>
        <v>0</v>
      </c>
      <c r="G52" s="141">
        <f t="shared" si="3"/>
        <v>46022</v>
      </c>
      <c r="H52" s="106">
        <f>VLOOKUP( $A52, Aop!$A$2:$P$456, 4, 0)</f>
        <v>52</v>
      </c>
      <c r="I52" s="106">
        <f t="shared" si="4"/>
        <v>2025</v>
      </c>
      <c r="J52" s="106"/>
      <c r="K52" s="56" t="str">
        <f t="shared" ca="1" si="9"/>
        <v/>
      </c>
      <c r="L52" s="56">
        <f t="shared" ca="1" si="5"/>
        <v>519600</v>
      </c>
      <c r="M52" s="56">
        <f t="shared" ca="1" si="6"/>
        <v>513513</v>
      </c>
      <c r="N52" s="56">
        <f t="shared" ca="1" si="7"/>
        <v>6087</v>
      </c>
    </row>
    <row r="53" spans="1:14" x14ac:dyDescent="0.2">
      <c r="A53" s="106">
        <v>53</v>
      </c>
      <c r="B53" s="106" t="str">
        <f>VLOOKUP( $A53, Aop!$A$2:$P$456, 2, 0)</f>
        <v>BSa</v>
      </c>
      <c r="C53" s="106">
        <f t="shared" si="0"/>
        <v>4</v>
      </c>
      <c r="D53" s="106" t="str">
        <f t="shared" si="1"/>
        <v>01814788</v>
      </c>
      <c r="E53" s="106" t="str">
        <f t="shared" si="8"/>
        <v>4400570050004</v>
      </c>
      <c r="F53" s="106" t="b">
        <f t="shared" si="2"/>
        <v>0</v>
      </c>
      <c r="G53" s="141">
        <f t="shared" si="3"/>
        <v>46022</v>
      </c>
      <c r="H53" s="106">
        <f>VLOOKUP( $A53, Aop!$A$2:$P$456, 4, 0)</f>
        <v>53</v>
      </c>
      <c r="I53" s="106">
        <f t="shared" si="4"/>
        <v>2025</v>
      </c>
      <c r="J53" s="106"/>
      <c r="K53" s="56" t="str">
        <f t="shared" ca="1" si="9"/>
        <v/>
      </c>
      <c r="L53" s="56">
        <f t="shared" ca="1" si="5"/>
        <v>519600</v>
      </c>
      <c r="M53" s="56">
        <f t="shared" ca="1" si="6"/>
        <v>513513</v>
      </c>
      <c r="N53" s="56">
        <f t="shared" ca="1" si="7"/>
        <v>6087</v>
      </c>
    </row>
    <row r="54" spans="1:14" x14ac:dyDescent="0.2">
      <c r="A54" s="106">
        <v>54</v>
      </c>
      <c r="B54" s="106" t="str">
        <f>VLOOKUP( $A54, Aop!$A$2:$P$456, 2, 0)</f>
        <v>BSa</v>
      </c>
      <c r="C54" s="106">
        <f t="shared" si="0"/>
        <v>4</v>
      </c>
      <c r="D54" s="106" t="str">
        <f t="shared" si="1"/>
        <v>01814788</v>
      </c>
      <c r="E54" s="106" t="str">
        <f t="shared" si="8"/>
        <v>4400570050004</v>
      </c>
      <c r="F54" s="106" t="b">
        <f t="shared" si="2"/>
        <v>0</v>
      </c>
      <c r="G54" s="141">
        <f t="shared" si="3"/>
        <v>46022</v>
      </c>
      <c r="H54" s="106">
        <f>VLOOKUP( $A54, Aop!$A$2:$P$456, 4, 0)</f>
        <v>54</v>
      </c>
      <c r="I54" s="106">
        <f t="shared" si="4"/>
        <v>2025</v>
      </c>
      <c r="J54" s="106"/>
      <c r="K54" s="56" t="str">
        <f t="shared" ca="1" si="9"/>
        <v/>
      </c>
      <c r="L54" s="56" t="str">
        <f t="shared" ca="1" si="5"/>
        <v/>
      </c>
      <c r="M54" s="56" t="str">
        <f t="shared" ca="1" si="6"/>
        <v/>
      </c>
      <c r="N54" s="56">
        <f t="shared" ca="1" si="7"/>
        <v>0</v>
      </c>
    </row>
    <row r="55" spans="1:14" x14ac:dyDescent="0.2">
      <c r="A55" s="106">
        <v>55</v>
      </c>
      <c r="B55" s="106" t="str">
        <f>VLOOKUP( $A55, Aop!$A$2:$P$456, 2, 0)</f>
        <v>BSa</v>
      </c>
      <c r="C55" s="106">
        <f t="shared" si="0"/>
        <v>4</v>
      </c>
      <c r="D55" s="106" t="str">
        <f t="shared" si="1"/>
        <v>01814788</v>
      </c>
      <c r="E55" s="106" t="str">
        <f t="shared" si="8"/>
        <v>4400570050004</v>
      </c>
      <c r="F55" s="106" t="b">
        <f t="shared" si="2"/>
        <v>0</v>
      </c>
      <c r="G55" s="141">
        <f t="shared" si="3"/>
        <v>46022</v>
      </c>
      <c r="H55" s="106">
        <f>VLOOKUP( $A55, Aop!$A$2:$P$456, 4, 0)</f>
        <v>55</v>
      </c>
      <c r="I55" s="106">
        <f t="shared" si="4"/>
        <v>2025</v>
      </c>
      <c r="J55" s="106"/>
      <c r="K55" s="56" t="str">
        <f t="shared" ca="1" si="9"/>
        <v/>
      </c>
      <c r="L55" s="56">
        <f t="shared" ca="1" si="5"/>
        <v>519600</v>
      </c>
      <c r="M55" s="56">
        <f t="shared" ca="1" si="6"/>
        <v>513513</v>
      </c>
      <c r="N55" s="56">
        <f t="shared" ca="1" si="7"/>
        <v>6087</v>
      </c>
    </row>
    <row r="56" spans="1:14" x14ac:dyDescent="0.2">
      <c r="A56" s="106">
        <v>56</v>
      </c>
      <c r="B56" s="106" t="str">
        <f>VLOOKUP( $A56, Aop!$A$2:$P$456, 2, 0)</f>
        <v>BSa</v>
      </c>
      <c r="C56" s="106">
        <f t="shared" si="0"/>
        <v>4</v>
      </c>
      <c r="D56" s="106" t="str">
        <f t="shared" si="1"/>
        <v>01814788</v>
      </c>
      <c r="E56" s="106" t="str">
        <f t="shared" si="8"/>
        <v>4400570050004</v>
      </c>
      <c r="F56" s="106" t="b">
        <f t="shared" si="2"/>
        <v>0</v>
      </c>
      <c r="G56" s="141">
        <f t="shared" si="3"/>
        <v>46022</v>
      </c>
      <c r="H56" s="106">
        <f>VLOOKUP( $A56, Aop!$A$2:$P$456, 4, 0)</f>
        <v>56</v>
      </c>
      <c r="I56" s="106">
        <f t="shared" si="4"/>
        <v>2025</v>
      </c>
      <c r="J56" s="106"/>
      <c r="K56" s="56" t="str">
        <f t="shared" ca="1" si="9"/>
        <v/>
      </c>
      <c r="L56" s="56" t="str">
        <f t="shared" ca="1" si="5"/>
        <v/>
      </c>
      <c r="M56" s="56" t="str">
        <f t="shared" ca="1" si="6"/>
        <v/>
      </c>
      <c r="N56" s="56">
        <f t="shared" ca="1" si="7"/>
        <v>0</v>
      </c>
    </row>
    <row r="57" spans="1:14" x14ac:dyDescent="0.2">
      <c r="A57" s="106">
        <v>57</v>
      </c>
      <c r="B57" s="106" t="str">
        <f>VLOOKUP( $A57, Aop!$A$2:$P$456, 2, 0)</f>
        <v>BSa</v>
      </c>
      <c r="C57" s="106">
        <f t="shared" si="0"/>
        <v>4</v>
      </c>
      <c r="D57" s="106" t="str">
        <f t="shared" si="1"/>
        <v>01814788</v>
      </c>
      <c r="E57" s="106" t="str">
        <f t="shared" si="8"/>
        <v>4400570050004</v>
      </c>
      <c r="F57" s="106" t="b">
        <f t="shared" si="2"/>
        <v>0</v>
      </c>
      <c r="G57" s="141">
        <f t="shared" si="3"/>
        <v>46022</v>
      </c>
      <c r="H57" s="106">
        <f>VLOOKUP( $A57, Aop!$A$2:$P$456, 4, 0)</f>
        <v>57</v>
      </c>
      <c r="I57" s="106">
        <f t="shared" si="4"/>
        <v>2025</v>
      </c>
      <c r="J57" s="106"/>
      <c r="K57" s="56" t="str">
        <f t="shared" ca="1" si="9"/>
        <v/>
      </c>
      <c r="L57" s="56" t="str">
        <f t="shared" ca="1" si="5"/>
        <v/>
      </c>
      <c r="M57" s="56" t="str">
        <f t="shared" ca="1" si="6"/>
        <v/>
      </c>
      <c r="N57" s="56">
        <f t="shared" ca="1" si="7"/>
        <v>0</v>
      </c>
    </row>
    <row r="58" spans="1:14" x14ac:dyDescent="0.2">
      <c r="A58" s="106">
        <v>58</v>
      </c>
      <c r="B58" s="106" t="str">
        <f>VLOOKUP( $A58, Aop!$A$2:$P$456, 2, 0)</f>
        <v>BSa</v>
      </c>
      <c r="C58" s="106">
        <f t="shared" si="0"/>
        <v>4</v>
      </c>
      <c r="D58" s="106" t="str">
        <f t="shared" si="1"/>
        <v>01814788</v>
      </c>
      <c r="E58" s="106" t="str">
        <f t="shared" si="8"/>
        <v>4400570050004</v>
      </c>
      <c r="F58" s="106" t="b">
        <f t="shared" si="2"/>
        <v>0</v>
      </c>
      <c r="G58" s="141">
        <f t="shared" si="3"/>
        <v>46022</v>
      </c>
      <c r="H58" s="106">
        <f>VLOOKUP( $A58, Aop!$A$2:$P$456, 4, 0)</f>
        <v>58</v>
      </c>
      <c r="I58" s="106">
        <f t="shared" si="4"/>
        <v>2025</v>
      </c>
      <c r="J58" s="106"/>
      <c r="K58" s="56" t="str">
        <f t="shared" ca="1" si="9"/>
        <v/>
      </c>
      <c r="L58" s="56" t="str">
        <f t="shared" ca="1" si="5"/>
        <v/>
      </c>
      <c r="M58" s="56" t="str">
        <f t="shared" ca="1" si="6"/>
        <v/>
      </c>
      <c r="N58" s="56">
        <f t="shared" ca="1" si="7"/>
        <v>0</v>
      </c>
    </row>
    <row r="59" spans="1:14" x14ac:dyDescent="0.2">
      <c r="A59" s="106">
        <v>59</v>
      </c>
      <c r="B59" s="106" t="str">
        <f>VLOOKUP( $A59, Aop!$A$2:$P$456, 2, 0)</f>
        <v>BSa</v>
      </c>
      <c r="C59" s="106">
        <f t="shared" si="0"/>
        <v>4</v>
      </c>
      <c r="D59" s="106" t="str">
        <f t="shared" si="1"/>
        <v>01814788</v>
      </c>
      <c r="E59" s="106" t="str">
        <f t="shared" si="8"/>
        <v>4400570050004</v>
      </c>
      <c r="F59" s="106" t="b">
        <f t="shared" si="2"/>
        <v>0</v>
      </c>
      <c r="G59" s="141">
        <f t="shared" si="3"/>
        <v>46022</v>
      </c>
      <c r="H59" s="106">
        <f>VLOOKUP( $A59, Aop!$A$2:$P$456, 4, 0)</f>
        <v>59</v>
      </c>
      <c r="I59" s="106">
        <f t="shared" si="4"/>
        <v>2025</v>
      </c>
      <c r="J59" s="106"/>
      <c r="K59" s="56" t="str">
        <f t="shared" ca="1" si="9"/>
        <v/>
      </c>
      <c r="L59" s="56" t="str">
        <f t="shared" ca="1" si="5"/>
        <v/>
      </c>
      <c r="M59" s="56" t="str">
        <f t="shared" ca="1" si="6"/>
        <v/>
      </c>
      <c r="N59" s="56">
        <f t="shared" ca="1" si="7"/>
        <v>0</v>
      </c>
    </row>
    <row r="60" spans="1:14" x14ac:dyDescent="0.2">
      <c r="A60" s="106">
        <v>60</v>
      </c>
      <c r="B60" s="106" t="str">
        <f>VLOOKUP( $A60, Aop!$A$2:$P$456, 2, 0)</f>
        <v>BSa</v>
      </c>
      <c r="C60" s="106">
        <f t="shared" si="0"/>
        <v>4</v>
      </c>
      <c r="D60" s="106" t="str">
        <f t="shared" si="1"/>
        <v>01814788</v>
      </c>
      <c r="E60" s="106" t="str">
        <f t="shared" si="8"/>
        <v>4400570050004</v>
      </c>
      <c r="F60" s="106" t="b">
        <f t="shared" si="2"/>
        <v>0</v>
      </c>
      <c r="G60" s="141">
        <f t="shared" si="3"/>
        <v>46022</v>
      </c>
      <c r="H60" s="106">
        <f>VLOOKUP( $A60, Aop!$A$2:$P$456, 4, 0)</f>
        <v>60</v>
      </c>
      <c r="I60" s="106">
        <f t="shared" si="4"/>
        <v>2025</v>
      </c>
      <c r="J60" s="106"/>
      <c r="K60" s="56" t="str">
        <f t="shared" ca="1" si="9"/>
        <v/>
      </c>
      <c r="L60" s="56" t="str">
        <f t="shared" ca="1" si="5"/>
        <v/>
      </c>
      <c r="M60" s="56" t="str">
        <f t="shared" ca="1" si="6"/>
        <v/>
      </c>
      <c r="N60" s="56">
        <f t="shared" ca="1" si="7"/>
        <v>0</v>
      </c>
    </row>
    <row r="61" spans="1:14" x14ac:dyDescent="0.2">
      <c r="A61" s="106">
        <v>61</v>
      </c>
      <c r="B61" s="106" t="str">
        <f>VLOOKUP( $A61, Aop!$A$2:$P$456, 2, 0)</f>
        <v>BSa</v>
      </c>
      <c r="C61" s="106">
        <f t="shared" si="0"/>
        <v>4</v>
      </c>
      <c r="D61" s="106" t="str">
        <f t="shared" si="1"/>
        <v>01814788</v>
      </c>
      <c r="E61" s="106" t="str">
        <f t="shared" si="8"/>
        <v>4400570050004</v>
      </c>
      <c r="F61" s="106" t="b">
        <f t="shared" si="2"/>
        <v>0</v>
      </c>
      <c r="G61" s="141">
        <f t="shared" si="3"/>
        <v>46022</v>
      </c>
      <c r="H61" s="106">
        <f>VLOOKUP( $A61, Aop!$A$2:$P$456, 4, 0)</f>
        <v>61</v>
      </c>
      <c r="I61" s="106">
        <f t="shared" si="4"/>
        <v>2025</v>
      </c>
      <c r="J61" s="106"/>
      <c r="K61" s="56">
        <f t="shared" ca="1" si="9"/>
        <v>25</v>
      </c>
      <c r="L61" s="56">
        <f t="shared" ca="1" si="5"/>
        <v>1101174</v>
      </c>
      <c r="M61" s="56">
        <f t="shared" ca="1" si="6"/>
        <v>0</v>
      </c>
      <c r="N61" s="56">
        <f t="shared" ca="1" si="7"/>
        <v>1101174</v>
      </c>
    </row>
    <row r="62" spans="1:14" x14ac:dyDescent="0.2">
      <c r="A62" s="106">
        <v>62</v>
      </c>
      <c r="B62" s="106" t="str">
        <f>VLOOKUP( $A62, Aop!$A$2:$P$456, 2, 0)</f>
        <v>BSa</v>
      </c>
      <c r="C62" s="106">
        <f t="shared" si="0"/>
        <v>4</v>
      </c>
      <c r="D62" s="106" t="str">
        <f t="shared" si="1"/>
        <v>01814788</v>
      </c>
      <c r="E62" s="106" t="str">
        <f t="shared" si="8"/>
        <v>4400570050004</v>
      </c>
      <c r="F62" s="106" t="b">
        <f t="shared" si="2"/>
        <v>0</v>
      </c>
      <c r="G62" s="141">
        <f t="shared" si="3"/>
        <v>46022</v>
      </c>
      <c r="H62" s="106">
        <f>VLOOKUP( $A62, Aop!$A$2:$P$456, 4, 0)</f>
        <v>62</v>
      </c>
      <c r="I62" s="106">
        <f t="shared" si="4"/>
        <v>2025</v>
      </c>
      <c r="J62" s="106"/>
      <c r="K62" s="56" t="str">
        <f t="shared" ca="1" si="9"/>
        <v/>
      </c>
      <c r="L62" s="56" t="str">
        <f t="shared" ca="1" si="5"/>
        <v/>
      </c>
      <c r="M62" s="56" t="str">
        <f t="shared" ca="1" si="6"/>
        <v/>
      </c>
      <c r="N62" s="56">
        <f t="shared" ca="1" si="7"/>
        <v>0</v>
      </c>
    </row>
    <row r="63" spans="1:14" x14ac:dyDescent="0.2">
      <c r="A63" s="106">
        <v>63</v>
      </c>
      <c r="B63" s="106" t="str">
        <f>VLOOKUP( $A63, Aop!$A$2:$P$456, 2, 0)</f>
        <v>BSa</v>
      </c>
      <c r="C63" s="106">
        <f t="shared" si="0"/>
        <v>4</v>
      </c>
      <c r="D63" s="106" t="str">
        <f t="shared" si="1"/>
        <v>01814788</v>
      </c>
      <c r="E63" s="106" t="str">
        <f t="shared" si="8"/>
        <v>4400570050004</v>
      </c>
      <c r="F63" s="106" t="b">
        <f t="shared" si="2"/>
        <v>0</v>
      </c>
      <c r="G63" s="141">
        <f t="shared" si="3"/>
        <v>46022</v>
      </c>
      <c r="H63" s="106">
        <f>VLOOKUP( $A63, Aop!$A$2:$P$456, 4, 0)</f>
        <v>63</v>
      </c>
      <c r="I63" s="106">
        <f t="shared" si="4"/>
        <v>2025</v>
      </c>
      <c r="J63" s="106"/>
      <c r="K63" s="56" t="str">
        <f t="shared" ca="1" si="9"/>
        <v/>
      </c>
      <c r="L63" s="56">
        <f t="shared" ca="1" si="5"/>
        <v>1101174</v>
      </c>
      <c r="M63" s="56" t="str">
        <f t="shared" ca="1" si="6"/>
        <v/>
      </c>
      <c r="N63" s="56">
        <f t="shared" ca="1" si="7"/>
        <v>1101174</v>
      </c>
    </row>
    <row r="64" spans="1:14" x14ac:dyDescent="0.2">
      <c r="A64" s="106">
        <v>64</v>
      </c>
      <c r="B64" s="106" t="str">
        <f>VLOOKUP( $A64, Aop!$A$2:$P$456, 2, 0)</f>
        <v>BSa</v>
      </c>
      <c r="C64" s="106">
        <f t="shared" si="0"/>
        <v>4</v>
      </c>
      <c r="D64" s="106" t="str">
        <f t="shared" si="1"/>
        <v>01814788</v>
      </c>
      <c r="E64" s="106" t="str">
        <f t="shared" si="8"/>
        <v>4400570050004</v>
      </c>
      <c r="F64" s="106" t="b">
        <f t="shared" si="2"/>
        <v>0</v>
      </c>
      <c r="G64" s="141">
        <f t="shared" si="3"/>
        <v>46022</v>
      </c>
      <c r="H64" s="106">
        <f>VLOOKUP( $A64, Aop!$A$2:$P$456, 4, 0)</f>
        <v>64</v>
      </c>
      <c r="I64" s="106">
        <f t="shared" si="4"/>
        <v>2025</v>
      </c>
      <c r="J64" s="106"/>
      <c r="K64" s="56" t="str">
        <f t="shared" ca="1" si="9"/>
        <v/>
      </c>
      <c r="L64" s="56" t="str">
        <f t="shared" ca="1" si="5"/>
        <v/>
      </c>
      <c r="M64" s="56" t="str">
        <f t="shared" ca="1" si="6"/>
        <v/>
      </c>
      <c r="N64" s="56">
        <f t="shared" ca="1" si="7"/>
        <v>0</v>
      </c>
    </row>
    <row r="65" spans="1:14" x14ac:dyDescent="0.2">
      <c r="A65" s="106">
        <v>65</v>
      </c>
      <c r="B65" s="106" t="str">
        <f>VLOOKUP( $A65, Aop!$A$2:$P$456, 2, 0)</f>
        <v>BSa</v>
      </c>
      <c r="C65" s="106">
        <f t="shared" si="0"/>
        <v>4</v>
      </c>
      <c r="D65" s="106" t="str">
        <f t="shared" si="1"/>
        <v>01814788</v>
      </c>
      <c r="E65" s="106" t="str">
        <f t="shared" si="8"/>
        <v>4400570050004</v>
      </c>
      <c r="F65" s="106" t="b">
        <f t="shared" si="2"/>
        <v>0</v>
      </c>
      <c r="G65" s="141">
        <f t="shared" si="3"/>
        <v>46022</v>
      </c>
      <c r="H65" s="106">
        <f>VLOOKUP( $A65, Aop!$A$2:$P$456, 4, 0)</f>
        <v>65</v>
      </c>
      <c r="I65" s="106">
        <f t="shared" si="4"/>
        <v>2025</v>
      </c>
      <c r="J65" s="106"/>
      <c r="K65" s="56" t="str">
        <f t="shared" ca="1" si="9"/>
        <v/>
      </c>
      <c r="L65" s="56">
        <f t="shared" ca="1" si="5"/>
        <v>84222</v>
      </c>
      <c r="M65" s="56" t="str">
        <f t="shared" ca="1" si="6"/>
        <v/>
      </c>
      <c r="N65" s="56">
        <f t="shared" ca="1" si="7"/>
        <v>84222</v>
      </c>
    </row>
    <row r="66" spans="1:14" x14ac:dyDescent="0.2">
      <c r="A66" s="106">
        <v>66</v>
      </c>
      <c r="B66" s="56" t="str">
        <f>VLOOKUP( $A66, Aop!$A$2:$P$456, 2, 0)</f>
        <v>BSa</v>
      </c>
      <c r="C66" s="56">
        <f>ID_Izvjestaj</f>
        <v>4</v>
      </c>
      <c r="D66" s="56" t="str">
        <f>Podatak_MB</f>
        <v>01814788</v>
      </c>
      <c r="E66" s="56" t="str">
        <f>Podatak_JIB</f>
        <v>4400570050004</v>
      </c>
      <c r="F66" s="56" t="b">
        <f>Konsolidovan_izvjestaj</f>
        <v>0</v>
      </c>
      <c r="G66" s="141">
        <f>Datum_Broj</f>
        <v>46022</v>
      </c>
      <c r="H66" s="56">
        <f>VLOOKUP( $A66, Aop!$A$2:$P$456, 4, 0)</f>
        <v>66</v>
      </c>
      <c r="I66" s="56">
        <f>Godina</f>
        <v>2025</v>
      </c>
      <c r="J66" s="56"/>
      <c r="K66" s="56" t="str">
        <f t="shared" ca="1" si="9"/>
        <v/>
      </c>
      <c r="L66" s="56">
        <f t="shared" ref="L66:L130" ca="1" si="10">IF( VLOOKUP( $H66, INDIRECT( "Lookup_" &amp; $B66), IF( LEFT( $B66, 2) = "BS", R$2, R$1), 0) = "", "", VLOOKUP( $H66, INDIRECT( "Lookup_" &amp; $B66), IF( $B66 = "BSa", R$2, R$1), 0))</f>
        <v>439959353</v>
      </c>
      <c r="M66" s="56">
        <f t="shared" ref="M66:M130" ca="1" si="11">IF( VLOOKUP( $H66, INDIRECT( "Lookup_" &amp; $B66), IF( LEFT( $B66, 2) = "BS", S$2, S$1), 0) = "", "", VLOOKUP( $H66, INDIRECT( "Lookup_" &amp; $B66), IF( LEFT( $B66, 2) = "BS", S$2, S$1), 0))</f>
        <v>274480538</v>
      </c>
      <c r="N66" s="56">
        <f t="shared" ref="N66:N130" ca="1" si="12">IF( VLOOKUP( $H66, INDIRECT( "Lookup_" &amp; $B66), IF( LEFT( $B66, 2) = "BS", T$2, T$1), 0) = "", "", VLOOKUP( $H66, INDIRECT( "Lookup_" &amp; $B66), IF( LEFT( $B66, 2) = "BS", T$2, T$1), 0))</f>
        <v>165478815</v>
      </c>
    </row>
    <row r="67" spans="1:14" x14ac:dyDescent="0.2">
      <c r="A67" s="106">
        <v>67</v>
      </c>
      <c r="B67" s="106" t="str">
        <f>VLOOKUP( $A67, Aop!$A$2:$P$456, 2, 0)</f>
        <v>BSa</v>
      </c>
      <c r="C67" s="106">
        <f t="shared" ref="C67:C130" si="13">ID_Izvjestaj</f>
        <v>4</v>
      </c>
      <c r="D67" s="106" t="str">
        <f t="shared" ref="D67:D128" si="14">Podatak_MB</f>
        <v>01814788</v>
      </c>
      <c r="E67" s="106" t="str">
        <f t="shared" ref="E67:E128" si="15">Podatak_JIB</f>
        <v>4400570050004</v>
      </c>
      <c r="F67" s="106" t="b">
        <f t="shared" ref="F67:F130" si="16">Konsolidovan_izvjestaj</f>
        <v>0</v>
      </c>
      <c r="G67" s="141">
        <f t="shared" ref="G67:G130" si="17">Datum_Broj</f>
        <v>46022</v>
      </c>
      <c r="H67" s="106">
        <f>VLOOKUP( $A67, Aop!$A$2:$P$456, 4, 0)</f>
        <v>67</v>
      </c>
      <c r="I67" s="106">
        <f t="shared" ref="I67:I128" si="18">Godina</f>
        <v>2025</v>
      </c>
      <c r="J67" s="106"/>
      <c r="K67" s="56">
        <f t="shared" ref="K67" ca="1" si="19">IF( VLOOKUP( $H67, INDIRECT( "Lookup_" &amp; $B67), IF( LEFT( $B67, 2) = "BS", Q$2, Q$1), 0) = "", "", VLOOKUP( $H67, INDIRECT( "Lookup_" &amp; $B67), IF( $B67 = "BSa", Q$2, Q$1), 0))</f>
        <v>37</v>
      </c>
      <c r="L67" s="56">
        <f t="shared" ca="1" si="10"/>
        <v>28759409</v>
      </c>
      <c r="M67" s="56" t="str">
        <f t="shared" ca="1" si="11"/>
        <v/>
      </c>
      <c r="N67" s="56">
        <f t="shared" ca="1" si="12"/>
        <v>28759409</v>
      </c>
    </row>
    <row r="68" spans="1:14" x14ac:dyDescent="0.2">
      <c r="A68" s="106">
        <v>68</v>
      </c>
      <c r="B68" s="106" t="str">
        <f>VLOOKUP( $A68, Aop!$A$2:$P$456, 2, 0)</f>
        <v>BSp</v>
      </c>
      <c r="C68" s="106">
        <f>ID_Izvjestaj</f>
        <v>4</v>
      </c>
      <c r="D68" s="106" t="str">
        <f>Podatak_MB</f>
        <v>01814788</v>
      </c>
      <c r="E68" s="106" t="str">
        <f>Podatak_JIB</f>
        <v>4400570050004</v>
      </c>
      <c r="F68" s="106" t="b">
        <f>Konsolidovan_izvjestaj</f>
        <v>0</v>
      </c>
      <c r="G68" s="141">
        <f>Datum_Broj</f>
        <v>46022</v>
      </c>
      <c r="H68" s="106">
        <f>VLOOKUP( $A68, Aop!$A$2:$P$456, 4, 0)</f>
        <v>101</v>
      </c>
      <c r="I68" s="106">
        <f>Godina</f>
        <v>2025</v>
      </c>
      <c r="J68" s="106"/>
      <c r="K68" s="56"/>
      <c r="L68" s="56" t="str">
        <f ca="1">IF( VLOOKUP( $H68, INDIRECT( "Lookup_" &amp; $B68), IF( LEFT( $B68, 2) = "BS", R$2, R$1), 0) = "", "", VLOOKUP( $H68, INDIRECT( "Lookup_" &amp; $B68), IF( $B68 = "BSa", R$2, R$1), 0))</f>
        <v/>
      </c>
      <c r="M68" s="56" t="str">
        <f ca="1">IF( VLOOKUP( $H68, INDIRECT( "Lookup_" &amp; $B68), IF( LEFT( $B68, 2) = "BS", S$2, S$1), 0) = "", "", VLOOKUP( $H68, INDIRECT( "Lookup_" &amp; $B68), IF( LEFT( $B68, 2) = "BS", S$2, S$1), 0))</f>
        <v/>
      </c>
      <c r="N68" s="56">
        <f ca="1">IF( VLOOKUP( $H68, INDIRECT( "Lookup_" &amp; $B68), IF( LEFT( $B68, 2) = "BS", T$2, T$1), 0) = "", "", VLOOKUP( $H68, INDIRECT( "Lookup_" &amp; $B68), IF( LEFT( $B68, 2) = "BS", T$2, T$1), 0))</f>
        <v>115501685</v>
      </c>
    </row>
    <row r="69" spans="1:14" x14ac:dyDescent="0.2">
      <c r="A69" s="106">
        <v>69</v>
      </c>
      <c r="B69" s="106" t="str">
        <f>VLOOKUP( $A69, Aop!$A$2:$P$456, 2, 0)</f>
        <v>BSp</v>
      </c>
      <c r="C69" s="106">
        <f t="shared" si="13"/>
        <v>4</v>
      </c>
      <c r="D69" s="106" t="str">
        <f t="shared" si="14"/>
        <v>01814788</v>
      </c>
      <c r="E69" s="106" t="str">
        <f t="shared" si="15"/>
        <v>4400570050004</v>
      </c>
      <c r="F69" s="106" t="b">
        <f t="shared" si="16"/>
        <v>0</v>
      </c>
      <c r="G69" s="141">
        <f t="shared" si="17"/>
        <v>46022</v>
      </c>
      <c r="H69" s="106">
        <f>VLOOKUP( $A69, Aop!$A$2:$P$456, 4, 0)</f>
        <v>102</v>
      </c>
      <c r="I69" s="106">
        <f t="shared" si="18"/>
        <v>2025</v>
      </c>
      <c r="J69" s="106"/>
      <c r="K69" s="56"/>
      <c r="L69" s="56" t="str">
        <f t="shared" ca="1" si="10"/>
        <v/>
      </c>
      <c r="M69" s="56" t="str">
        <f t="shared" ca="1" si="11"/>
        <v/>
      </c>
      <c r="N69" s="56">
        <f t="shared" ca="1" si="12"/>
        <v>15795899</v>
      </c>
    </row>
    <row r="70" spans="1:14" x14ac:dyDescent="0.2">
      <c r="A70" s="106">
        <v>70</v>
      </c>
      <c r="B70" s="106" t="str">
        <f>VLOOKUP( $A70, Aop!$A$2:$P$456, 2, 0)</f>
        <v>BSp</v>
      </c>
      <c r="C70" s="106">
        <f t="shared" si="13"/>
        <v>4</v>
      </c>
      <c r="D70" s="106" t="str">
        <f t="shared" si="14"/>
        <v>01814788</v>
      </c>
      <c r="E70" s="106" t="str">
        <f t="shared" si="15"/>
        <v>4400570050004</v>
      </c>
      <c r="F70" s="106" t="b">
        <f t="shared" si="16"/>
        <v>0</v>
      </c>
      <c r="G70" s="141">
        <f t="shared" si="17"/>
        <v>46022</v>
      </c>
      <c r="H70" s="106">
        <f>VLOOKUP( $A70, Aop!$A$2:$P$456, 4, 0)</f>
        <v>103</v>
      </c>
      <c r="I70" s="106">
        <f t="shared" si="18"/>
        <v>2025</v>
      </c>
      <c r="J70" s="106"/>
      <c r="K70" s="56"/>
      <c r="L70" s="56" t="str">
        <f t="shared" ca="1" si="10"/>
        <v/>
      </c>
      <c r="M70" s="56" t="str">
        <f t="shared" ca="1" si="11"/>
        <v/>
      </c>
      <c r="N70" s="56">
        <f t="shared" ca="1" si="12"/>
        <v>15795899</v>
      </c>
    </row>
    <row r="71" spans="1:14" x14ac:dyDescent="0.2">
      <c r="A71" s="106">
        <v>71</v>
      </c>
      <c r="B71" s="106" t="str">
        <f>VLOOKUP( $A71, Aop!$A$2:$P$456, 2, 0)</f>
        <v>BSp</v>
      </c>
      <c r="C71" s="106">
        <f t="shared" si="13"/>
        <v>4</v>
      </c>
      <c r="D71" s="106" t="str">
        <f t="shared" si="14"/>
        <v>01814788</v>
      </c>
      <c r="E71" s="106" t="str">
        <f t="shared" si="15"/>
        <v>4400570050004</v>
      </c>
      <c r="F71" s="106" t="b">
        <f t="shared" si="16"/>
        <v>0</v>
      </c>
      <c r="G71" s="141">
        <f t="shared" si="17"/>
        <v>46022</v>
      </c>
      <c r="H71" s="106">
        <f>VLOOKUP( $A71, Aop!$A$2:$P$456, 4, 0)</f>
        <v>104</v>
      </c>
      <c r="I71" s="106">
        <f t="shared" si="18"/>
        <v>2025</v>
      </c>
      <c r="J71" s="106"/>
      <c r="K71" s="56"/>
      <c r="L71" s="56" t="str">
        <f t="shared" ca="1" si="10"/>
        <v/>
      </c>
      <c r="M71" s="56" t="str">
        <f t="shared" ca="1" si="11"/>
        <v/>
      </c>
      <c r="N71" s="56">
        <f t="shared" ca="1" si="12"/>
        <v>15795899</v>
      </c>
    </row>
    <row r="72" spans="1:14" x14ac:dyDescent="0.2">
      <c r="A72" s="106">
        <v>72</v>
      </c>
      <c r="B72" s="106" t="str">
        <f>VLOOKUP( $A72, Aop!$A$2:$P$456, 2, 0)</f>
        <v>BSp</v>
      </c>
      <c r="C72" s="106">
        <f t="shared" si="13"/>
        <v>4</v>
      </c>
      <c r="D72" s="106" t="str">
        <f t="shared" si="14"/>
        <v>01814788</v>
      </c>
      <c r="E72" s="106" t="str">
        <f t="shared" si="15"/>
        <v>4400570050004</v>
      </c>
      <c r="F72" s="106" t="b">
        <f t="shared" si="16"/>
        <v>0</v>
      </c>
      <c r="G72" s="141">
        <f t="shared" si="17"/>
        <v>46022</v>
      </c>
      <c r="H72" s="106">
        <f>VLOOKUP( $A72, Aop!$A$2:$P$456, 4, 0)</f>
        <v>105</v>
      </c>
      <c r="I72" s="106">
        <f t="shared" si="18"/>
        <v>2025</v>
      </c>
      <c r="J72" s="106"/>
      <c r="K72" s="56"/>
      <c r="L72" s="56" t="str">
        <f t="shared" ca="1" si="10"/>
        <v/>
      </c>
      <c r="M72" s="56" t="str">
        <f t="shared" ca="1" si="11"/>
        <v/>
      </c>
      <c r="N72" s="56" t="str">
        <f t="shared" ca="1" si="12"/>
        <v/>
      </c>
    </row>
    <row r="73" spans="1:14" x14ac:dyDescent="0.2">
      <c r="A73" s="106">
        <v>73</v>
      </c>
      <c r="B73" s="106" t="str">
        <f>VLOOKUP( $A73, Aop!$A$2:$P$456, 2, 0)</f>
        <v>BSp</v>
      </c>
      <c r="C73" s="106">
        <f t="shared" si="13"/>
        <v>4</v>
      </c>
      <c r="D73" s="106" t="str">
        <f t="shared" si="14"/>
        <v>01814788</v>
      </c>
      <c r="E73" s="106" t="str">
        <f t="shared" si="15"/>
        <v>4400570050004</v>
      </c>
      <c r="F73" s="106" t="b">
        <f t="shared" si="16"/>
        <v>0</v>
      </c>
      <c r="G73" s="141">
        <f t="shared" si="17"/>
        <v>46022</v>
      </c>
      <c r="H73" s="106">
        <f>VLOOKUP( $A73, Aop!$A$2:$P$456, 4, 0)</f>
        <v>106</v>
      </c>
      <c r="I73" s="106">
        <f t="shared" si="18"/>
        <v>2025</v>
      </c>
      <c r="J73" s="106"/>
      <c r="K73" s="56"/>
      <c r="L73" s="56" t="str">
        <f t="shared" ca="1" si="10"/>
        <v/>
      </c>
      <c r="M73" s="56" t="str">
        <f t="shared" ca="1" si="11"/>
        <v/>
      </c>
      <c r="N73" s="56" t="str">
        <f t="shared" ca="1" si="12"/>
        <v/>
      </c>
    </row>
    <row r="74" spans="1:14" x14ac:dyDescent="0.2">
      <c r="A74" s="106">
        <v>74</v>
      </c>
      <c r="B74" s="106" t="str">
        <f>VLOOKUP( $A74, Aop!$A$2:$P$456, 2, 0)</f>
        <v>BSp</v>
      </c>
      <c r="C74" s="106">
        <f t="shared" si="13"/>
        <v>4</v>
      </c>
      <c r="D74" s="106" t="str">
        <f t="shared" si="14"/>
        <v>01814788</v>
      </c>
      <c r="E74" s="106" t="str">
        <f t="shared" si="15"/>
        <v>4400570050004</v>
      </c>
      <c r="F74" s="106" t="b">
        <f t="shared" si="16"/>
        <v>0</v>
      </c>
      <c r="G74" s="141">
        <f t="shared" si="17"/>
        <v>46022</v>
      </c>
      <c r="H74" s="106">
        <f>VLOOKUP( $A74, Aop!$A$2:$P$456, 4, 0)</f>
        <v>107</v>
      </c>
      <c r="I74" s="106">
        <f t="shared" si="18"/>
        <v>2025</v>
      </c>
      <c r="J74" s="106"/>
      <c r="K74" s="56"/>
      <c r="L74" s="56" t="str">
        <f t="shared" ca="1" si="10"/>
        <v/>
      </c>
      <c r="M74" s="56" t="str">
        <f t="shared" ca="1" si="11"/>
        <v/>
      </c>
      <c r="N74" s="56" t="str">
        <f t="shared" ca="1" si="12"/>
        <v/>
      </c>
    </row>
    <row r="75" spans="1:14" x14ac:dyDescent="0.2">
      <c r="A75" s="106">
        <v>75</v>
      </c>
      <c r="B75" s="106" t="str">
        <f>VLOOKUP( $A75, Aop!$A$2:$P$456, 2, 0)</f>
        <v>BSp</v>
      </c>
      <c r="C75" s="106">
        <f t="shared" si="13"/>
        <v>4</v>
      </c>
      <c r="D75" s="106" t="str">
        <f t="shared" si="14"/>
        <v>01814788</v>
      </c>
      <c r="E75" s="106" t="str">
        <f t="shared" si="15"/>
        <v>4400570050004</v>
      </c>
      <c r="F75" s="106" t="b">
        <f t="shared" si="16"/>
        <v>0</v>
      </c>
      <c r="G75" s="141">
        <f t="shared" si="17"/>
        <v>46022</v>
      </c>
      <c r="H75" s="106">
        <f>VLOOKUP( $A75, Aop!$A$2:$P$456, 4, 0)</f>
        <v>108</v>
      </c>
      <c r="I75" s="106">
        <f t="shared" si="18"/>
        <v>2025</v>
      </c>
      <c r="J75" s="106"/>
      <c r="K75" s="56"/>
      <c r="L75" s="56" t="str">
        <f t="shared" ca="1" si="10"/>
        <v/>
      </c>
      <c r="M75" s="56" t="str">
        <f t="shared" ca="1" si="11"/>
        <v/>
      </c>
      <c r="N75" s="56" t="str">
        <f t="shared" ca="1" si="12"/>
        <v/>
      </c>
    </row>
    <row r="76" spans="1:14" x14ac:dyDescent="0.2">
      <c r="A76" s="106">
        <v>76</v>
      </c>
      <c r="B76" s="106" t="str">
        <f>VLOOKUP( $A76, Aop!$A$2:$P$456, 2, 0)</f>
        <v>BSp</v>
      </c>
      <c r="C76" s="106">
        <f t="shared" si="13"/>
        <v>4</v>
      </c>
      <c r="D76" s="106" t="str">
        <f t="shared" si="14"/>
        <v>01814788</v>
      </c>
      <c r="E76" s="106" t="str">
        <f t="shared" si="15"/>
        <v>4400570050004</v>
      </c>
      <c r="F76" s="106" t="b">
        <f t="shared" si="16"/>
        <v>0</v>
      </c>
      <c r="G76" s="141">
        <f t="shared" si="17"/>
        <v>46022</v>
      </c>
      <c r="H76" s="106">
        <f>VLOOKUP( $A76, Aop!$A$2:$P$456, 4, 0)</f>
        <v>109</v>
      </c>
      <c r="I76" s="106">
        <f t="shared" si="18"/>
        <v>2025</v>
      </c>
      <c r="J76" s="106"/>
      <c r="K76" s="56"/>
      <c r="L76" s="56" t="str">
        <f t="shared" ca="1" si="10"/>
        <v/>
      </c>
      <c r="M76" s="56" t="str">
        <f t="shared" ca="1" si="11"/>
        <v/>
      </c>
      <c r="N76" s="56" t="str">
        <f t="shared" ca="1" si="12"/>
        <v/>
      </c>
    </row>
    <row r="77" spans="1:14" x14ac:dyDescent="0.2">
      <c r="A77" s="106">
        <v>77</v>
      </c>
      <c r="B77" s="106" t="str">
        <f>VLOOKUP( $A77, Aop!$A$2:$P$456, 2, 0)</f>
        <v>BSp</v>
      </c>
      <c r="C77" s="106">
        <f t="shared" si="13"/>
        <v>4</v>
      </c>
      <c r="D77" s="106" t="str">
        <f t="shared" si="14"/>
        <v>01814788</v>
      </c>
      <c r="E77" s="106" t="str">
        <f t="shared" si="15"/>
        <v>4400570050004</v>
      </c>
      <c r="F77" s="106" t="b">
        <f t="shared" si="16"/>
        <v>0</v>
      </c>
      <c r="G77" s="141">
        <f t="shared" si="17"/>
        <v>46022</v>
      </c>
      <c r="H77" s="106">
        <f>VLOOKUP( $A77, Aop!$A$2:$P$456, 4, 0)</f>
        <v>110</v>
      </c>
      <c r="I77" s="106">
        <f t="shared" si="18"/>
        <v>2025</v>
      </c>
      <c r="J77" s="106"/>
      <c r="K77" s="56"/>
      <c r="L77" s="56" t="str">
        <f t="shared" ca="1" si="10"/>
        <v/>
      </c>
      <c r="M77" s="56" t="str">
        <f t="shared" ca="1" si="11"/>
        <v/>
      </c>
      <c r="N77" s="56">
        <f t="shared" ca="1" si="12"/>
        <v>0</v>
      </c>
    </row>
    <row r="78" spans="1:14" x14ac:dyDescent="0.2">
      <c r="A78" s="106">
        <v>78</v>
      </c>
      <c r="B78" s="106" t="str">
        <f>VLOOKUP( $A78, Aop!$A$2:$P$456, 2, 0)</f>
        <v>BSp</v>
      </c>
      <c r="C78" s="106">
        <f t="shared" si="13"/>
        <v>4</v>
      </c>
      <c r="D78" s="106" t="str">
        <f t="shared" si="14"/>
        <v>01814788</v>
      </c>
      <c r="E78" s="106" t="str">
        <f t="shared" si="15"/>
        <v>4400570050004</v>
      </c>
      <c r="F78" s="106" t="b">
        <f t="shared" si="16"/>
        <v>0</v>
      </c>
      <c r="G78" s="141">
        <f t="shared" si="17"/>
        <v>46022</v>
      </c>
      <c r="H78" s="106">
        <f>VLOOKUP( $A78, Aop!$A$2:$P$456, 4, 0)</f>
        <v>111</v>
      </c>
      <c r="I78" s="106">
        <f t="shared" si="18"/>
        <v>2025</v>
      </c>
      <c r="J78" s="106"/>
      <c r="K78" s="56"/>
      <c r="L78" s="56" t="str">
        <f t="shared" ca="1" si="10"/>
        <v/>
      </c>
      <c r="M78" s="56" t="str">
        <f t="shared" ca="1" si="11"/>
        <v/>
      </c>
      <c r="N78" s="56" t="str">
        <f t="shared" ca="1" si="12"/>
        <v/>
      </c>
    </row>
    <row r="79" spans="1:14" x14ac:dyDescent="0.2">
      <c r="A79" s="106">
        <v>79</v>
      </c>
      <c r="B79" s="106" t="str">
        <f>VLOOKUP( $A79, Aop!$A$2:$P$456, 2, 0)</f>
        <v>BSp</v>
      </c>
      <c r="C79" s="106">
        <f t="shared" si="13"/>
        <v>4</v>
      </c>
      <c r="D79" s="106" t="str">
        <f t="shared" si="14"/>
        <v>01814788</v>
      </c>
      <c r="E79" s="106" t="str">
        <f t="shared" si="15"/>
        <v>4400570050004</v>
      </c>
      <c r="F79" s="106" t="b">
        <f t="shared" si="16"/>
        <v>0</v>
      </c>
      <c r="G79" s="141">
        <f t="shared" si="17"/>
        <v>46022</v>
      </c>
      <c r="H79" s="106">
        <f>VLOOKUP( $A79, Aop!$A$2:$P$456, 4, 0)</f>
        <v>112</v>
      </c>
      <c r="I79" s="106">
        <f t="shared" si="18"/>
        <v>2025</v>
      </c>
      <c r="J79" s="106"/>
      <c r="K79" s="56"/>
      <c r="L79" s="56" t="str">
        <f t="shared" ca="1" si="10"/>
        <v/>
      </c>
      <c r="M79" s="56" t="str">
        <f t="shared" ca="1" si="11"/>
        <v/>
      </c>
      <c r="N79" s="56" t="str">
        <f t="shared" ca="1" si="12"/>
        <v/>
      </c>
    </row>
    <row r="80" spans="1:14" x14ac:dyDescent="0.2">
      <c r="A80" s="106">
        <v>80</v>
      </c>
      <c r="B80" s="106" t="str">
        <f>VLOOKUP( $A80, Aop!$A$2:$P$456, 2, 0)</f>
        <v>BSp</v>
      </c>
      <c r="C80" s="106">
        <f t="shared" si="13"/>
        <v>4</v>
      </c>
      <c r="D80" s="106" t="str">
        <f t="shared" si="14"/>
        <v>01814788</v>
      </c>
      <c r="E80" s="106" t="str">
        <f t="shared" si="15"/>
        <v>4400570050004</v>
      </c>
      <c r="F80" s="106" t="b">
        <f t="shared" si="16"/>
        <v>0</v>
      </c>
      <c r="G80" s="141">
        <f t="shared" si="17"/>
        <v>46022</v>
      </c>
      <c r="H80" s="106">
        <f>VLOOKUP( $A80, Aop!$A$2:$P$456, 4, 0)</f>
        <v>113</v>
      </c>
      <c r="I80" s="106">
        <f t="shared" si="18"/>
        <v>2025</v>
      </c>
      <c r="J80" s="106"/>
      <c r="K80" s="56"/>
      <c r="L80" s="56" t="str">
        <f t="shared" ca="1" si="10"/>
        <v/>
      </c>
      <c r="M80" s="56" t="str">
        <f t="shared" ca="1" si="11"/>
        <v/>
      </c>
      <c r="N80" s="56" t="str">
        <f t="shared" ca="1" si="12"/>
        <v/>
      </c>
    </row>
    <row r="81" spans="1:14" x14ac:dyDescent="0.2">
      <c r="A81" s="106">
        <v>81</v>
      </c>
      <c r="B81" s="106" t="str">
        <f>VLOOKUP( $A81, Aop!$A$2:$P$456, 2, 0)</f>
        <v>BSp</v>
      </c>
      <c r="C81" s="106">
        <f t="shared" si="13"/>
        <v>4</v>
      </c>
      <c r="D81" s="106" t="str">
        <f t="shared" si="14"/>
        <v>01814788</v>
      </c>
      <c r="E81" s="106" t="str">
        <f t="shared" si="15"/>
        <v>4400570050004</v>
      </c>
      <c r="F81" s="106" t="b">
        <f t="shared" si="16"/>
        <v>0</v>
      </c>
      <c r="G81" s="141">
        <f t="shared" si="17"/>
        <v>46022</v>
      </c>
      <c r="H81" s="106">
        <f>VLOOKUP( $A81, Aop!$A$2:$P$456, 4, 0)</f>
        <v>114</v>
      </c>
      <c r="I81" s="106">
        <f t="shared" si="18"/>
        <v>2025</v>
      </c>
      <c r="J81" s="106"/>
      <c r="K81" s="56"/>
      <c r="L81" s="56" t="str">
        <f t="shared" ca="1" si="10"/>
        <v/>
      </c>
      <c r="M81" s="56" t="str">
        <f t="shared" ca="1" si="11"/>
        <v/>
      </c>
      <c r="N81" s="56" t="str">
        <f t="shared" ca="1" si="12"/>
        <v/>
      </c>
    </row>
    <row r="82" spans="1:14" x14ac:dyDescent="0.2">
      <c r="A82" s="106">
        <v>82</v>
      </c>
      <c r="B82" s="106" t="str">
        <f>VLOOKUP( $A82, Aop!$A$2:$P$456, 2, 0)</f>
        <v>BSp</v>
      </c>
      <c r="C82" s="106">
        <f t="shared" si="13"/>
        <v>4</v>
      </c>
      <c r="D82" s="106" t="str">
        <f t="shared" si="14"/>
        <v>01814788</v>
      </c>
      <c r="E82" s="106" t="str">
        <f t="shared" si="15"/>
        <v>4400570050004</v>
      </c>
      <c r="F82" s="106" t="b">
        <f t="shared" si="16"/>
        <v>0</v>
      </c>
      <c r="G82" s="141">
        <f t="shared" si="17"/>
        <v>46022</v>
      </c>
      <c r="H82" s="106">
        <f>VLOOKUP( $A82, Aop!$A$2:$P$456, 4, 0)</f>
        <v>115</v>
      </c>
      <c r="I82" s="106">
        <f t="shared" si="18"/>
        <v>2025</v>
      </c>
      <c r="J82" s="106"/>
      <c r="K82" s="56"/>
      <c r="L82" s="56" t="str">
        <f t="shared" ca="1" si="10"/>
        <v/>
      </c>
      <c r="M82" s="56" t="str">
        <f t="shared" ca="1" si="11"/>
        <v/>
      </c>
      <c r="N82" s="56">
        <f t="shared" ca="1" si="12"/>
        <v>14953035</v>
      </c>
    </row>
    <row r="83" spans="1:14" x14ac:dyDescent="0.2">
      <c r="A83" s="106">
        <v>83</v>
      </c>
      <c r="B83" s="106" t="str">
        <f>VLOOKUP( $A83, Aop!$A$2:$P$456, 2, 0)</f>
        <v>BSp</v>
      </c>
      <c r="C83" s="106">
        <f t="shared" si="13"/>
        <v>4</v>
      </c>
      <c r="D83" s="106" t="str">
        <f t="shared" si="14"/>
        <v>01814788</v>
      </c>
      <c r="E83" s="106" t="str">
        <f t="shared" si="15"/>
        <v>4400570050004</v>
      </c>
      <c r="F83" s="106" t="b">
        <f t="shared" si="16"/>
        <v>0</v>
      </c>
      <c r="G83" s="141">
        <f t="shared" si="17"/>
        <v>46022</v>
      </c>
      <c r="H83" s="106">
        <f>VLOOKUP( $A83, Aop!$A$2:$P$456, 4, 0)</f>
        <v>116</v>
      </c>
      <c r="I83" s="106">
        <f t="shared" si="18"/>
        <v>2025</v>
      </c>
      <c r="J83" s="106"/>
      <c r="K83" s="56"/>
      <c r="L83" s="56" t="str">
        <f t="shared" ca="1" si="10"/>
        <v/>
      </c>
      <c r="M83" s="56" t="str">
        <f t="shared" ca="1" si="11"/>
        <v/>
      </c>
      <c r="N83" s="56">
        <f t="shared" ca="1" si="12"/>
        <v>967982</v>
      </c>
    </row>
    <row r="84" spans="1:14" x14ac:dyDescent="0.2">
      <c r="A84" s="106">
        <v>84</v>
      </c>
      <c r="B84" s="106" t="str">
        <f>VLOOKUP( $A84, Aop!$A$2:$P$456, 2, 0)</f>
        <v>BSp</v>
      </c>
      <c r="C84" s="106">
        <f t="shared" si="13"/>
        <v>4</v>
      </c>
      <c r="D84" s="106" t="str">
        <f t="shared" si="14"/>
        <v>01814788</v>
      </c>
      <c r="E84" s="106" t="str">
        <f t="shared" si="15"/>
        <v>4400570050004</v>
      </c>
      <c r="F84" s="106" t="b">
        <f t="shared" si="16"/>
        <v>0</v>
      </c>
      <c r="G84" s="141">
        <f t="shared" si="17"/>
        <v>46022</v>
      </c>
      <c r="H84" s="106">
        <f>VLOOKUP( $A84, Aop!$A$2:$P$456, 4, 0)</f>
        <v>117</v>
      </c>
      <c r="I84" s="106">
        <f t="shared" si="18"/>
        <v>2025</v>
      </c>
      <c r="J84" s="106"/>
      <c r="K84" s="56"/>
      <c r="L84" s="56" t="str">
        <f t="shared" ca="1" si="10"/>
        <v/>
      </c>
      <c r="M84" s="56" t="str">
        <f t="shared" ca="1" si="11"/>
        <v/>
      </c>
      <c r="N84" s="56" t="str">
        <f t="shared" ca="1" si="12"/>
        <v/>
      </c>
    </row>
    <row r="85" spans="1:14" x14ac:dyDescent="0.2">
      <c r="A85" s="106">
        <v>85</v>
      </c>
      <c r="B85" s="106" t="str">
        <f>VLOOKUP( $A85, Aop!$A$2:$P$456, 2, 0)</f>
        <v>BSp</v>
      </c>
      <c r="C85" s="106">
        <f t="shared" si="13"/>
        <v>4</v>
      </c>
      <c r="D85" s="106" t="str">
        <f t="shared" si="14"/>
        <v>01814788</v>
      </c>
      <c r="E85" s="106" t="str">
        <f t="shared" si="15"/>
        <v>4400570050004</v>
      </c>
      <c r="F85" s="106" t="b">
        <f t="shared" si="16"/>
        <v>0</v>
      </c>
      <c r="G85" s="141">
        <f t="shared" si="17"/>
        <v>46022</v>
      </c>
      <c r="H85" s="106">
        <f>VLOOKUP( $A85, Aop!$A$2:$P$456, 4, 0)</f>
        <v>118</v>
      </c>
      <c r="I85" s="106">
        <f t="shared" si="18"/>
        <v>2025</v>
      </c>
      <c r="J85" s="106"/>
      <c r="K85" s="56"/>
      <c r="L85" s="56" t="str">
        <f t="shared" ca="1" si="10"/>
        <v/>
      </c>
      <c r="M85" s="56" t="str">
        <f t="shared" ca="1" si="11"/>
        <v/>
      </c>
      <c r="N85" s="56">
        <f t="shared" ca="1" si="12"/>
        <v>13985053</v>
      </c>
    </row>
    <row r="86" spans="1:14" x14ac:dyDescent="0.2">
      <c r="A86" s="106">
        <v>86</v>
      </c>
      <c r="B86" s="106" t="str">
        <f>VLOOKUP( $A86, Aop!$A$2:$P$456, 2, 0)</f>
        <v>BSp</v>
      </c>
      <c r="C86" s="106">
        <f t="shared" si="13"/>
        <v>4</v>
      </c>
      <c r="D86" s="106" t="str">
        <f t="shared" si="14"/>
        <v>01814788</v>
      </c>
      <c r="E86" s="106" t="str">
        <f t="shared" si="15"/>
        <v>4400570050004</v>
      </c>
      <c r="F86" s="106" t="b">
        <f t="shared" si="16"/>
        <v>0</v>
      </c>
      <c r="G86" s="141">
        <f t="shared" si="17"/>
        <v>46022</v>
      </c>
      <c r="H86" s="106">
        <f>VLOOKUP( $A86, Aop!$A$2:$P$456, 4, 0)</f>
        <v>119</v>
      </c>
      <c r="I86" s="106">
        <f t="shared" si="18"/>
        <v>2025</v>
      </c>
      <c r="J86" s="106"/>
      <c r="K86" s="56"/>
      <c r="L86" s="56" t="str">
        <f t="shared" ca="1" si="10"/>
        <v/>
      </c>
      <c r="M86" s="56" t="str">
        <f t="shared" ca="1" si="11"/>
        <v/>
      </c>
      <c r="N86" s="56">
        <f t="shared" ca="1" si="12"/>
        <v>39197536</v>
      </c>
    </row>
    <row r="87" spans="1:14" x14ac:dyDescent="0.2">
      <c r="A87" s="106">
        <v>87</v>
      </c>
      <c r="B87" s="106" t="str">
        <f>VLOOKUP( $A87, Aop!$A$2:$P$456, 2, 0)</f>
        <v>BSp</v>
      </c>
      <c r="C87" s="106">
        <f t="shared" si="13"/>
        <v>4</v>
      </c>
      <c r="D87" s="106" t="str">
        <f t="shared" si="14"/>
        <v>01814788</v>
      </c>
      <c r="E87" s="106" t="str">
        <f t="shared" si="15"/>
        <v>4400570050004</v>
      </c>
      <c r="F87" s="106" t="b">
        <f t="shared" si="16"/>
        <v>0</v>
      </c>
      <c r="G87" s="141">
        <f t="shared" si="17"/>
        <v>46022</v>
      </c>
      <c r="H87" s="106">
        <f>VLOOKUP( $A87, Aop!$A$2:$P$456, 4, 0)</f>
        <v>120</v>
      </c>
      <c r="I87" s="106">
        <f t="shared" si="18"/>
        <v>2025</v>
      </c>
      <c r="J87" s="106"/>
      <c r="K87" s="56"/>
      <c r="L87" s="56" t="str">
        <f t="shared" ca="1" si="10"/>
        <v/>
      </c>
      <c r="M87" s="56" t="str">
        <f t="shared" ca="1" si="11"/>
        <v/>
      </c>
      <c r="N87" s="56">
        <f t="shared" ca="1" si="12"/>
        <v>39197536</v>
      </c>
    </row>
    <row r="88" spans="1:14" x14ac:dyDescent="0.2">
      <c r="A88" s="106">
        <v>88</v>
      </c>
      <c r="B88" s="106" t="str">
        <f>VLOOKUP( $A88, Aop!$A$2:$P$456, 2, 0)</f>
        <v>BSp</v>
      </c>
      <c r="C88" s="106">
        <f t="shared" si="13"/>
        <v>4</v>
      </c>
      <c r="D88" s="106" t="str">
        <f t="shared" si="14"/>
        <v>01814788</v>
      </c>
      <c r="E88" s="106" t="str">
        <f t="shared" si="15"/>
        <v>4400570050004</v>
      </c>
      <c r="F88" s="106" t="b">
        <f t="shared" si="16"/>
        <v>0</v>
      </c>
      <c r="G88" s="141">
        <f t="shared" si="17"/>
        <v>46022</v>
      </c>
      <c r="H88" s="106">
        <f>VLOOKUP( $A88, Aop!$A$2:$P$456, 4, 0)</f>
        <v>121</v>
      </c>
      <c r="I88" s="106">
        <f t="shared" si="18"/>
        <v>2025</v>
      </c>
      <c r="J88" s="106"/>
      <c r="K88" s="56"/>
      <c r="L88" s="56" t="str">
        <f t="shared" ca="1" si="10"/>
        <v/>
      </c>
      <c r="M88" s="56" t="str">
        <f t="shared" ca="1" si="11"/>
        <v/>
      </c>
      <c r="N88" s="56" t="str">
        <f t="shared" ca="1" si="12"/>
        <v/>
      </c>
    </row>
    <row r="89" spans="1:14" x14ac:dyDescent="0.2">
      <c r="A89" s="106">
        <v>89</v>
      </c>
      <c r="B89" s="106" t="str">
        <f>VLOOKUP( $A89, Aop!$A$2:$P$456, 2, 0)</f>
        <v>BSp</v>
      </c>
      <c r="C89" s="106">
        <f t="shared" si="13"/>
        <v>4</v>
      </c>
      <c r="D89" s="106" t="str">
        <f t="shared" si="14"/>
        <v>01814788</v>
      </c>
      <c r="E89" s="106" t="str">
        <f t="shared" si="15"/>
        <v>4400570050004</v>
      </c>
      <c r="F89" s="106" t="b">
        <f t="shared" si="16"/>
        <v>0</v>
      </c>
      <c r="G89" s="141">
        <f t="shared" si="17"/>
        <v>46022</v>
      </c>
      <c r="H89" s="106">
        <f>VLOOKUP( $A89, Aop!$A$2:$P$456, 4, 0)</f>
        <v>122</v>
      </c>
      <c r="I89" s="106">
        <f t="shared" si="18"/>
        <v>2025</v>
      </c>
      <c r="J89" s="106"/>
      <c r="K89" s="56"/>
      <c r="L89" s="56" t="str">
        <f t="shared" ca="1" si="10"/>
        <v/>
      </c>
      <c r="M89" s="56" t="str">
        <f t="shared" ca="1" si="11"/>
        <v/>
      </c>
      <c r="N89" s="56" t="str">
        <f t="shared" ca="1" si="12"/>
        <v/>
      </c>
    </row>
    <row r="90" spans="1:14" x14ac:dyDescent="0.2">
      <c r="A90" s="106">
        <v>90</v>
      </c>
      <c r="B90" s="106" t="str">
        <f>VLOOKUP( $A90, Aop!$A$2:$P$456, 2, 0)</f>
        <v>BSp</v>
      </c>
      <c r="C90" s="106">
        <f t="shared" si="13"/>
        <v>4</v>
      </c>
      <c r="D90" s="106" t="str">
        <f t="shared" si="14"/>
        <v>01814788</v>
      </c>
      <c r="E90" s="106" t="str">
        <f t="shared" si="15"/>
        <v>4400570050004</v>
      </c>
      <c r="F90" s="106" t="b">
        <f t="shared" si="16"/>
        <v>0</v>
      </c>
      <c r="G90" s="141">
        <f t="shared" si="17"/>
        <v>46022</v>
      </c>
      <c r="H90" s="106">
        <f>VLOOKUP( $A90, Aop!$A$2:$P$456, 4, 0)</f>
        <v>123</v>
      </c>
      <c r="I90" s="106">
        <f t="shared" si="18"/>
        <v>2025</v>
      </c>
      <c r="J90" s="106"/>
      <c r="K90" s="56"/>
      <c r="L90" s="56" t="str">
        <f t="shared" ca="1" si="10"/>
        <v/>
      </c>
      <c r="M90" s="56" t="str">
        <f t="shared" ca="1" si="11"/>
        <v/>
      </c>
      <c r="N90" s="56" t="str">
        <f t="shared" ca="1" si="12"/>
        <v/>
      </c>
    </row>
    <row r="91" spans="1:14" x14ac:dyDescent="0.2">
      <c r="A91" s="106">
        <v>91</v>
      </c>
      <c r="B91" s="106" t="str">
        <f>VLOOKUP( $A91, Aop!$A$2:$P$456, 2, 0)</f>
        <v>BSp</v>
      </c>
      <c r="C91" s="106">
        <f t="shared" si="13"/>
        <v>4</v>
      </c>
      <c r="D91" s="106" t="str">
        <f t="shared" si="14"/>
        <v>01814788</v>
      </c>
      <c r="E91" s="106" t="str">
        <f t="shared" si="15"/>
        <v>4400570050004</v>
      </c>
      <c r="F91" s="106" t="b">
        <f t="shared" si="16"/>
        <v>0</v>
      </c>
      <c r="G91" s="141">
        <f t="shared" si="17"/>
        <v>46022</v>
      </c>
      <c r="H91" s="106">
        <f>VLOOKUP( $A91, Aop!$A$2:$P$456, 4, 0)</f>
        <v>124</v>
      </c>
      <c r="I91" s="106">
        <f t="shared" si="18"/>
        <v>2025</v>
      </c>
      <c r="J91" s="106"/>
      <c r="K91" s="56"/>
      <c r="L91" s="56" t="str">
        <f t="shared" ca="1" si="10"/>
        <v/>
      </c>
      <c r="M91" s="56" t="str">
        <f t="shared" ca="1" si="11"/>
        <v/>
      </c>
      <c r="N91" s="56">
        <f t="shared" ca="1" si="12"/>
        <v>45555215</v>
      </c>
    </row>
    <row r="92" spans="1:14" x14ac:dyDescent="0.2">
      <c r="A92" s="106">
        <v>92</v>
      </c>
      <c r="B92" s="106" t="str">
        <f>VLOOKUP( $A92, Aop!$A$2:$P$456, 2, 0)</f>
        <v>BSp</v>
      </c>
      <c r="C92" s="106">
        <f t="shared" si="13"/>
        <v>4</v>
      </c>
      <c r="D92" s="106" t="str">
        <f t="shared" si="14"/>
        <v>01814788</v>
      </c>
      <c r="E92" s="106" t="str">
        <f t="shared" si="15"/>
        <v>4400570050004</v>
      </c>
      <c r="F92" s="106" t="b">
        <f t="shared" si="16"/>
        <v>0</v>
      </c>
      <c r="G92" s="141">
        <f t="shared" si="17"/>
        <v>46022</v>
      </c>
      <c r="H92" s="106">
        <f>VLOOKUP( $A92, Aop!$A$2:$P$456, 4, 0)</f>
        <v>125</v>
      </c>
      <c r="I92" s="106">
        <f t="shared" si="18"/>
        <v>2025</v>
      </c>
      <c r="J92" s="106"/>
      <c r="K92" s="56"/>
      <c r="L92" s="56" t="str">
        <f t="shared" ca="1" si="10"/>
        <v/>
      </c>
      <c r="M92" s="56" t="str">
        <f t="shared" ca="1" si="11"/>
        <v/>
      </c>
      <c r="N92" s="56">
        <f t="shared" ca="1" si="12"/>
        <v>43043122</v>
      </c>
    </row>
    <row r="93" spans="1:14" x14ac:dyDescent="0.2">
      <c r="A93" s="106">
        <v>93</v>
      </c>
      <c r="B93" s="106" t="str">
        <f>VLOOKUP( $A93, Aop!$A$2:$P$456, 2, 0)</f>
        <v>BSp</v>
      </c>
      <c r="C93" s="106">
        <f t="shared" si="13"/>
        <v>4</v>
      </c>
      <c r="D93" s="106" t="str">
        <f t="shared" si="14"/>
        <v>01814788</v>
      </c>
      <c r="E93" s="106" t="str">
        <f t="shared" si="15"/>
        <v>4400570050004</v>
      </c>
      <c r="F93" s="106" t="b">
        <f t="shared" si="16"/>
        <v>0</v>
      </c>
      <c r="G93" s="141">
        <f t="shared" si="17"/>
        <v>46022</v>
      </c>
      <c r="H93" s="106">
        <f>VLOOKUP( $A93, Aop!$A$2:$P$456, 4, 0)</f>
        <v>126</v>
      </c>
      <c r="I93" s="106">
        <f t="shared" si="18"/>
        <v>2025</v>
      </c>
      <c r="J93" s="106"/>
      <c r="K93" s="56"/>
      <c r="L93" s="56" t="str">
        <f t="shared" ca="1" si="10"/>
        <v/>
      </c>
      <c r="M93" s="56" t="str">
        <f t="shared" ca="1" si="11"/>
        <v/>
      </c>
      <c r="N93" s="56">
        <f t="shared" ca="1" si="12"/>
        <v>2512093</v>
      </c>
    </row>
    <row r="94" spans="1:14" x14ac:dyDescent="0.2">
      <c r="A94" s="106">
        <v>94</v>
      </c>
      <c r="B94" s="106" t="str">
        <f>VLOOKUP( $A94, Aop!$A$2:$P$456, 2, 0)</f>
        <v>BSp</v>
      </c>
      <c r="C94" s="106">
        <f t="shared" si="13"/>
        <v>4</v>
      </c>
      <c r="D94" s="106" t="str">
        <f t="shared" si="14"/>
        <v>01814788</v>
      </c>
      <c r="E94" s="106" t="str">
        <f t="shared" si="15"/>
        <v>4400570050004</v>
      </c>
      <c r="F94" s="106" t="b">
        <f t="shared" si="16"/>
        <v>0</v>
      </c>
      <c r="G94" s="141">
        <f t="shared" si="17"/>
        <v>46022</v>
      </c>
      <c r="H94" s="106">
        <f>VLOOKUP( $A94, Aop!$A$2:$P$456, 4, 0)</f>
        <v>127</v>
      </c>
      <c r="I94" s="106">
        <f t="shared" si="18"/>
        <v>2025</v>
      </c>
      <c r="J94" s="106"/>
      <c r="K94" s="56"/>
      <c r="L94" s="56" t="str">
        <f t="shared" ca="1" si="10"/>
        <v/>
      </c>
      <c r="M94" s="56" t="str">
        <f t="shared" ca="1" si="11"/>
        <v/>
      </c>
      <c r="N94" s="56" t="str">
        <f t="shared" ca="1" si="12"/>
        <v/>
      </c>
    </row>
    <row r="95" spans="1:14" x14ac:dyDescent="0.2">
      <c r="A95" s="106">
        <v>95</v>
      </c>
      <c r="B95" s="106" t="str">
        <f>VLOOKUP( $A95, Aop!$A$2:$P$456, 2, 0)</f>
        <v>BSp</v>
      </c>
      <c r="C95" s="106">
        <f t="shared" si="13"/>
        <v>4</v>
      </c>
      <c r="D95" s="106" t="str">
        <f t="shared" si="14"/>
        <v>01814788</v>
      </c>
      <c r="E95" s="106" t="str">
        <f t="shared" si="15"/>
        <v>4400570050004</v>
      </c>
      <c r="F95" s="106" t="b">
        <f t="shared" si="16"/>
        <v>0</v>
      </c>
      <c r="G95" s="141">
        <f t="shared" si="17"/>
        <v>46022</v>
      </c>
      <c r="H95" s="106">
        <f>VLOOKUP( $A95, Aop!$A$2:$P$456, 4, 0)</f>
        <v>128</v>
      </c>
      <c r="I95" s="106">
        <f t="shared" si="18"/>
        <v>2025</v>
      </c>
      <c r="J95" s="106"/>
      <c r="K95" s="56"/>
      <c r="L95" s="56" t="str">
        <f t="shared" ca="1" si="10"/>
        <v/>
      </c>
      <c r="M95" s="56" t="str">
        <f t="shared" ca="1" si="11"/>
        <v/>
      </c>
      <c r="N95" s="56">
        <f t="shared" ca="1" si="12"/>
        <v>0</v>
      </c>
    </row>
    <row r="96" spans="1:14" x14ac:dyDescent="0.2">
      <c r="A96" s="106">
        <v>96</v>
      </c>
      <c r="B96" s="106" t="str">
        <f>VLOOKUP( $A96, Aop!$A$2:$P$456, 2, 0)</f>
        <v>BSp</v>
      </c>
      <c r="C96" s="106">
        <f t="shared" si="13"/>
        <v>4</v>
      </c>
      <c r="D96" s="106" t="str">
        <f t="shared" si="14"/>
        <v>01814788</v>
      </c>
      <c r="E96" s="106" t="str">
        <f t="shared" si="15"/>
        <v>4400570050004</v>
      </c>
      <c r="F96" s="106" t="b">
        <f t="shared" si="16"/>
        <v>0</v>
      </c>
      <c r="G96" s="141">
        <f t="shared" si="17"/>
        <v>46022</v>
      </c>
      <c r="H96" s="106">
        <f>VLOOKUP( $A96, Aop!$A$2:$P$456, 4, 0)</f>
        <v>129</v>
      </c>
      <c r="I96" s="106">
        <f t="shared" si="18"/>
        <v>2025</v>
      </c>
      <c r="J96" s="106"/>
      <c r="K96" s="56"/>
      <c r="L96" s="56" t="str">
        <f t="shared" ca="1" si="10"/>
        <v/>
      </c>
      <c r="M96" s="56" t="str">
        <f t="shared" ca="1" si="11"/>
        <v/>
      </c>
      <c r="N96" s="56" t="str">
        <f t="shared" ca="1" si="12"/>
        <v/>
      </c>
    </row>
    <row r="97" spans="1:14" x14ac:dyDescent="0.2">
      <c r="A97" s="106">
        <v>97</v>
      </c>
      <c r="B97" s="106" t="str">
        <f>VLOOKUP( $A97, Aop!$A$2:$P$456, 2, 0)</f>
        <v>BSp</v>
      </c>
      <c r="C97" s="106">
        <f t="shared" si="13"/>
        <v>4</v>
      </c>
      <c r="D97" s="106" t="str">
        <f t="shared" si="14"/>
        <v>01814788</v>
      </c>
      <c r="E97" s="106" t="str">
        <f t="shared" si="15"/>
        <v>4400570050004</v>
      </c>
      <c r="F97" s="106" t="b">
        <f t="shared" si="16"/>
        <v>0</v>
      </c>
      <c r="G97" s="141">
        <f t="shared" si="17"/>
        <v>46022</v>
      </c>
      <c r="H97" s="106">
        <f>VLOOKUP( $A97, Aop!$A$2:$P$456, 4, 0)</f>
        <v>130</v>
      </c>
      <c r="I97" s="106">
        <f t="shared" si="18"/>
        <v>2025</v>
      </c>
      <c r="J97" s="106"/>
      <c r="K97" s="56"/>
      <c r="L97" s="56" t="str">
        <f t="shared" ca="1" si="10"/>
        <v/>
      </c>
      <c r="M97" s="56" t="str">
        <f t="shared" ca="1" si="11"/>
        <v/>
      </c>
      <c r="N97" s="56" t="str">
        <f t="shared" ca="1" si="12"/>
        <v/>
      </c>
    </row>
    <row r="98" spans="1:14" x14ac:dyDescent="0.2">
      <c r="A98" s="106">
        <v>98</v>
      </c>
      <c r="B98" s="106" t="str">
        <f>VLOOKUP( $A98, Aop!$A$2:$P$456, 2, 0)</f>
        <v>BSp</v>
      </c>
      <c r="C98" s="106">
        <f t="shared" si="13"/>
        <v>4</v>
      </c>
      <c r="D98" s="106" t="str">
        <f t="shared" si="14"/>
        <v>01814788</v>
      </c>
      <c r="E98" s="106" t="str">
        <f t="shared" si="15"/>
        <v>4400570050004</v>
      </c>
      <c r="F98" s="106" t="b">
        <f t="shared" si="16"/>
        <v>0</v>
      </c>
      <c r="G98" s="141">
        <f t="shared" si="17"/>
        <v>46022</v>
      </c>
      <c r="H98" s="106">
        <f>VLOOKUP( $A98, Aop!$A$2:$P$456, 4, 0)</f>
        <v>131</v>
      </c>
      <c r="I98" s="106">
        <f t="shared" si="18"/>
        <v>2025</v>
      </c>
      <c r="J98" s="106"/>
      <c r="K98" s="56"/>
      <c r="L98" s="56" t="str">
        <f t="shared" ca="1" si="10"/>
        <v/>
      </c>
      <c r="M98" s="56" t="str">
        <f t="shared" ca="1" si="11"/>
        <v/>
      </c>
      <c r="N98" s="56" t="str">
        <f t="shared" ca="1" si="12"/>
        <v/>
      </c>
    </row>
    <row r="99" spans="1:14" x14ac:dyDescent="0.2">
      <c r="A99" s="106">
        <v>99</v>
      </c>
      <c r="B99" s="106" t="str">
        <f>VLOOKUP( $A99, Aop!$A$2:$P$456, 2, 0)</f>
        <v>BSp</v>
      </c>
      <c r="C99" s="106">
        <f t="shared" si="13"/>
        <v>4</v>
      </c>
      <c r="D99" s="106" t="str">
        <f t="shared" si="14"/>
        <v>01814788</v>
      </c>
      <c r="E99" s="106" t="str">
        <f t="shared" si="15"/>
        <v>4400570050004</v>
      </c>
      <c r="F99" s="106" t="b">
        <f t="shared" si="16"/>
        <v>0</v>
      </c>
      <c r="G99" s="141">
        <f t="shared" si="17"/>
        <v>46022</v>
      </c>
      <c r="H99" s="106">
        <f>VLOOKUP( $A99, Aop!$A$2:$P$456, 4, 0)</f>
        <v>132</v>
      </c>
      <c r="I99" s="106">
        <f t="shared" si="18"/>
        <v>2025</v>
      </c>
      <c r="J99" s="106"/>
      <c r="K99" s="56"/>
      <c r="L99" s="56" t="str">
        <f t="shared" ca="1" si="10"/>
        <v/>
      </c>
      <c r="M99" s="56" t="str">
        <f t="shared" ca="1" si="11"/>
        <v/>
      </c>
      <c r="N99" s="56">
        <f t="shared" ca="1" si="12"/>
        <v>31554154</v>
      </c>
    </row>
    <row r="100" spans="1:14" x14ac:dyDescent="0.2">
      <c r="A100" s="106">
        <v>100</v>
      </c>
      <c r="B100" s="106" t="str">
        <f>VLOOKUP( $A100, Aop!$A$2:$P$456, 2, 0)</f>
        <v>BSp</v>
      </c>
      <c r="C100" s="106">
        <f t="shared" si="13"/>
        <v>4</v>
      </c>
      <c r="D100" s="106" t="str">
        <f t="shared" si="14"/>
        <v>01814788</v>
      </c>
      <c r="E100" s="106" t="str">
        <f t="shared" si="15"/>
        <v>4400570050004</v>
      </c>
      <c r="F100" s="106" t="b">
        <f t="shared" si="16"/>
        <v>0</v>
      </c>
      <c r="G100" s="141">
        <f t="shared" si="17"/>
        <v>46022</v>
      </c>
      <c r="H100" s="106">
        <f>VLOOKUP( $A100, Aop!$A$2:$P$456, 4, 0)</f>
        <v>133</v>
      </c>
      <c r="I100" s="106">
        <f t="shared" si="18"/>
        <v>2025</v>
      </c>
      <c r="J100" s="106"/>
      <c r="K100" s="56"/>
      <c r="L100" s="56" t="str">
        <f t="shared" ca="1" si="10"/>
        <v/>
      </c>
      <c r="M100" s="56" t="str">
        <f t="shared" ca="1" si="11"/>
        <v/>
      </c>
      <c r="N100" s="56">
        <f t="shared" ca="1" si="12"/>
        <v>1041750</v>
      </c>
    </row>
    <row r="101" spans="1:14" x14ac:dyDescent="0.2">
      <c r="A101" s="106">
        <v>101</v>
      </c>
      <c r="B101" s="106" t="str">
        <f>VLOOKUP( $A101, Aop!$A$2:$P$456, 2, 0)</f>
        <v>BSp</v>
      </c>
      <c r="C101" s="106">
        <f t="shared" si="13"/>
        <v>4</v>
      </c>
      <c r="D101" s="106" t="str">
        <f t="shared" si="14"/>
        <v>01814788</v>
      </c>
      <c r="E101" s="106" t="str">
        <f t="shared" si="15"/>
        <v>4400570050004</v>
      </c>
      <c r="F101" s="106" t="b">
        <f t="shared" si="16"/>
        <v>0</v>
      </c>
      <c r="G101" s="141">
        <f t="shared" si="17"/>
        <v>46022</v>
      </c>
      <c r="H101" s="106">
        <f>VLOOKUP( $A101, Aop!$A$2:$P$456, 4, 0)</f>
        <v>134</v>
      </c>
      <c r="I101" s="106">
        <f t="shared" si="18"/>
        <v>2025</v>
      </c>
      <c r="J101" s="106"/>
      <c r="K101" s="56"/>
      <c r="L101" s="56" t="str">
        <f t="shared" ca="1" si="10"/>
        <v/>
      </c>
      <c r="M101" s="56" t="str">
        <f t="shared" ca="1" si="11"/>
        <v/>
      </c>
      <c r="N101" s="56" t="str">
        <f t="shared" ca="1" si="12"/>
        <v/>
      </c>
    </row>
    <row r="102" spans="1:14" x14ac:dyDescent="0.2">
      <c r="A102" s="106">
        <v>102</v>
      </c>
      <c r="B102" s="106" t="str">
        <f>VLOOKUP( $A102, Aop!$A$2:$P$456, 2, 0)</f>
        <v>BSp</v>
      </c>
      <c r="C102" s="106">
        <f t="shared" si="13"/>
        <v>4</v>
      </c>
      <c r="D102" s="106" t="str">
        <f t="shared" si="14"/>
        <v>01814788</v>
      </c>
      <c r="E102" s="106" t="str">
        <f t="shared" si="15"/>
        <v>4400570050004</v>
      </c>
      <c r="F102" s="106" t="b">
        <f t="shared" si="16"/>
        <v>0</v>
      </c>
      <c r="G102" s="141">
        <f t="shared" si="17"/>
        <v>46022</v>
      </c>
      <c r="H102" s="106">
        <f>VLOOKUP( $A102, Aop!$A$2:$P$456, 4, 0)</f>
        <v>135</v>
      </c>
      <c r="I102" s="106">
        <f t="shared" si="18"/>
        <v>2025</v>
      </c>
      <c r="J102" s="106"/>
      <c r="K102" s="56"/>
      <c r="L102" s="56" t="str">
        <f t="shared" ca="1" si="10"/>
        <v/>
      </c>
      <c r="M102" s="56" t="str">
        <f t="shared" ca="1" si="11"/>
        <v/>
      </c>
      <c r="N102" s="56">
        <f t="shared" ca="1" si="12"/>
        <v>677095</v>
      </c>
    </row>
    <row r="103" spans="1:14" x14ac:dyDescent="0.2">
      <c r="A103" s="106">
        <v>103</v>
      </c>
      <c r="B103" s="106" t="str">
        <f>VLOOKUP( $A103, Aop!$A$2:$P$456, 2, 0)</f>
        <v>BSp</v>
      </c>
      <c r="C103" s="106">
        <f t="shared" si="13"/>
        <v>4</v>
      </c>
      <c r="D103" s="106" t="str">
        <f t="shared" si="14"/>
        <v>01814788</v>
      </c>
      <c r="E103" s="106" t="str">
        <f t="shared" si="15"/>
        <v>4400570050004</v>
      </c>
      <c r="F103" s="106" t="b">
        <f t="shared" si="16"/>
        <v>0</v>
      </c>
      <c r="G103" s="141">
        <f t="shared" si="17"/>
        <v>46022</v>
      </c>
      <c r="H103" s="106">
        <f>VLOOKUP( $A103, Aop!$A$2:$P$456, 4, 0)</f>
        <v>136</v>
      </c>
      <c r="I103" s="106">
        <f t="shared" si="18"/>
        <v>2025</v>
      </c>
      <c r="J103" s="106"/>
      <c r="K103" s="56"/>
      <c r="L103" s="56" t="str">
        <f t="shared" ca="1" si="10"/>
        <v/>
      </c>
      <c r="M103" s="56" t="str">
        <f t="shared" ca="1" si="11"/>
        <v/>
      </c>
      <c r="N103" s="56">
        <f t="shared" ca="1" si="12"/>
        <v>364655</v>
      </c>
    </row>
    <row r="104" spans="1:14" x14ac:dyDescent="0.2">
      <c r="A104" s="106">
        <v>104</v>
      </c>
      <c r="B104" s="106" t="str">
        <f>VLOOKUP( $A104, Aop!$A$2:$P$456, 2, 0)</f>
        <v>BSp</v>
      </c>
      <c r="C104" s="106">
        <f t="shared" si="13"/>
        <v>4</v>
      </c>
      <c r="D104" s="106" t="str">
        <f t="shared" si="14"/>
        <v>01814788</v>
      </c>
      <c r="E104" s="106" t="str">
        <f t="shared" si="15"/>
        <v>4400570050004</v>
      </c>
      <c r="F104" s="106" t="b">
        <f t="shared" si="16"/>
        <v>0</v>
      </c>
      <c r="G104" s="141">
        <f t="shared" si="17"/>
        <v>46022</v>
      </c>
      <c r="H104" s="106">
        <f>VLOOKUP( $A104, Aop!$A$2:$P$456, 4, 0)</f>
        <v>137</v>
      </c>
      <c r="I104" s="106">
        <f t="shared" si="18"/>
        <v>2025</v>
      </c>
      <c r="J104" s="106"/>
      <c r="K104" s="56"/>
      <c r="L104" s="56" t="str">
        <f t="shared" ca="1" si="10"/>
        <v/>
      </c>
      <c r="M104" s="56" t="str">
        <f t="shared" ca="1" si="11"/>
        <v/>
      </c>
      <c r="N104" s="56">
        <f t="shared" ca="1" si="12"/>
        <v>16449272</v>
      </c>
    </row>
    <row r="105" spans="1:14" x14ac:dyDescent="0.2">
      <c r="A105" s="106">
        <v>105</v>
      </c>
      <c r="B105" s="106" t="str">
        <f>VLOOKUP( $A105, Aop!$A$2:$P$456, 2, 0)</f>
        <v>BSp</v>
      </c>
      <c r="C105" s="106">
        <f t="shared" si="13"/>
        <v>4</v>
      </c>
      <c r="D105" s="106" t="str">
        <f t="shared" si="14"/>
        <v>01814788</v>
      </c>
      <c r="E105" s="106" t="str">
        <f t="shared" si="15"/>
        <v>4400570050004</v>
      </c>
      <c r="F105" s="106" t="b">
        <f t="shared" si="16"/>
        <v>0</v>
      </c>
      <c r="G105" s="141">
        <f t="shared" si="17"/>
        <v>46022</v>
      </c>
      <c r="H105" s="106">
        <f>VLOOKUP( $A105, Aop!$A$2:$P$456, 4, 0)</f>
        <v>138</v>
      </c>
      <c r="I105" s="106">
        <f t="shared" si="18"/>
        <v>2025</v>
      </c>
      <c r="J105" s="106"/>
      <c r="K105" s="56"/>
      <c r="L105" s="56" t="str">
        <f t="shared" ca="1" si="10"/>
        <v/>
      </c>
      <c r="M105" s="56" t="str">
        <f t="shared" ca="1" si="11"/>
        <v/>
      </c>
      <c r="N105" s="56">
        <f t="shared" ca="1" si="12"/>
        <v>12661297</v>
      </c>
    </row>
    <row r="106" spans="1:14" x14ac:dyDescent="0.2">
      <c r="A106" s="106">
        <v>106</v>
      </c>
      <c r="B106" s="106" t="str">
        <f>VLOOKUP( $A106, Aop!$A$2:$P$456, 2, 0)</f>
        <v>BSp</v>
      </c>
      <c r="C106" s="106">
        <f t="shared" si="13"/>
        <v>4</v>
      </c>
      <c r="D106" s="106" t="str">
        <f t="shared" si="14"/>
        <v>01814788</v>
      </c>
      <c r="E106" s="106" t="str">
        <f t="shared" si="15"/>
        <v>4400570050004</v>
      </c>
      <c r="F106" s="106" t="b">
        <f t="shared" si="16"/>
        <v>0</v>
      </c>
      <c r="G106" s="141">
        <f t="shared" si="17"/>
        <v>46022</v>
      </c>
      <c r="H106" s="106">
        <f>VLOOKUP( $A106, Aop!$A$2:$P$456, 4, 0)</f>
        <v>139</v>
      </c>
      <c r="I106" s="106">
        <f t="shared" si="18"/>
        <v>2025</v>
      </c>
      <c r="J106" s="106"/>
      <c r="K106" s="56"/>
      <c r="L106" s="56" t="str">
        <f t="shared" ca="1" si="10"/>
        <v/>
      </c>
      <c r="M106" s="56" t="str">
        <f t="shared" ca="1" si="11"/>
        <v/>
      </c>
      <c r="N106" s="56" t="str">
        <f t="shared" ca="1" si="12"/>
        <v/>
      </c>
    </row>
    <row r="107" spans="1:14" x14ac:dyDescent="0.2">
      <c r="A107" s="106">
        <v>107</v>
      </c>
      <c r="B107" s="106" t="str">
        <f>VLOOKUP( $A107, Aop!$A$2:$P$456, 2, 0)</f>
        <v>BSp</v>
      </c>
      <c r="C107" s="106">
        <f t="shared" si="13"/>
        <v>4</v>
      </c>
      <c r="D107" s="106" t="str">
        <f t="shared" si="14"/>
        <v>01814788</v>
      </c>
      <c r="E107" s="106" t="str">
        <f t="shared" si="15"/>
        <v>4400570050004</v>
      </c>
      <c r="F107" s="106" t="b">
        <f t="shared" si="16"/>
        <v>0</v>
      </c>
      <c r="G107" s="141">
        <f t="shared" si="17"/>
        <v>46022</v>
      </c>
      <c r="H107" s="106">
        <f>VLOOKUP( $A107, Aop!$A$2:$P$456, 4, 0)</f>
        <v>140</v>
      </c>
      <c r="I107" s="106">
        <f t="shared" si="18"/>
        <v>2025</v>
      </c>
      <c r="J107" s="106"/>
      <c r="K107" s="56"/>
      <c r="L107" s="56" t="str">
        <f t="shared" ca="1" si="10"/>
        <v/>
      </c>
      <c r="M107" s="56" t="str">
        <f t="shared" ca="1" si="11"/>
        <v/>
      </c>
      <c r="N107" s="56">
        <f t="shared" ca="1" si="12"/>
        <v>2865920</v>
      </c>
    </row>
    <row r="108" spans="1:14" x14ac:dyDescent="0.2">
      <c r="A108" s="106">
        <v>108</v>
      </c>
      <c r="B108" s="106" t="str">
        <f>VLOOKUP( $A108, Aop!$A$2:$P$456, 2, 0)</f>
        <v>BSp</v>
      </c>
      <c r="C108" s="106">
        <f t="shared" si="13"/>
        <v>4</v>
      </c>
      <c r="D108" s="106" t="str">
        <f t="shared" si="14"/>
        <v>01814788</v>
      </c>
      <c r="E108" s="106" t="str">
        <f t="shared" si="15"/>
        <v>4400570050004</v>
      </c>
      <c r="F108" s="106" t="b">
        <f t="shared" si="16"/>
        <v>0</v>
      </c>
      <c r="G108" s="141">
        <f t="shared" si="17"/>
        <v>46022</v>
      </c>
      <c r="H108" s="106">
        <f>VLOOKUP( $A108, Aop!$A$2:$P$456, 4, 0)</f>
        <v>141</v>
      </c>
      <c r="I108" s="106">
        <f t="shared" si="18"/>
        <v>2025</v>
      </c>
      <c r="J108" s="106"/>
      <c r="K108" s="56"/>
      <c r="L108" s="56" t="str">
        <f t="shared" ca="1" si="10"/>
        <v/>
      </c>
      <c r="M108" s="56" t="str">
        <f t="shared" ca="1" si="11"/>
        <v/>
      </c>
      <c r="N108" s="56">
        <f t="shared" ca="1" si="12"/>
        <v>759581</v>
      </c>
    </row>
    <row r="109" spans="1:14" x14ac:dyDescent="0.2">
      <c r="A109" s="106">
        <v>109</v>
      </c>
      <c r="B109" s="106" t="str">
        <f>VLOOKUP( $A109, Aop!$A$2:$P$456, 2, 0)</f>
        <v>BSp</v>
      </c>
      <c r="C109" s="106">
        <f t="shared" si="13"/>
        <v>4</v>
      </c>
      <c r="D109" s="106" t="str">
        <f t="shared" si="14"/>
        <v>01814788</v>
      </c>
      <c r="E109" s="106" t="str">
        <f t="shared" si="15"/>
        <v>4400570050004</v>
      </c>
      <c r="F109" s="106" t="b">
        <f t="shared" si="16"/>
        <v>0</v>
      </c>
      <c r="G109" s="141">
        <f t="shared" si="17"/>
        <v>46022</v>
      </c>
      <c r="H109" s="106">
        <f>VLOOKUP( $A109, Aop!$A$2:$P$456, 4, 0)</f>
        <v>142</v>
      </c>
      <c r="I109" s="106">
        <f t="shared" si="18"/>
        <v>2025</v>
      </c>
      <c r="J109" s="106"/>
      <c r="K109" s="56"/>
      <c r="L109" s="56" t="str">
        <f t="shared" ca="1" si="10"/>
        <v/>
      </c>
      <c r="M109" s="56" t="str">
        <f t="shared" ca="1" si="11"/>
        <v/>
      </c>
      <c r="N109" s="56">
        <f t="shared" ca="1" si="12"/>
        <v>67196</v>
      </c>
    </row>
    <row r="110" spans="1:14" x14ac:dyDescent="0.2">
      <c r="A110" s="106">
        <v>110</v>
      </c>
      <c r="B110" s="106" t="str">
        <f>VLOOKUP( $A110, Aop!$A$2:$P$456, 2, 0)</f>
        <v>BSp</v>
      </c>
      <c r="C110" s="106">
        <f t="shared" si="13"/>
        <v>4</v>
      </c>
      <c r="D110" s="106" t="str">
        <f t="shared" si="14"/>
        <v>01814788</v>
      </c>
      <c r="E110" s="106" t="str">
        <f t="shared" si="15"/>
        <v>4400570050004</v>
      </c>
      <c r="F110" s="106" t="b">
        <f t="shared" si="16"/>
        <v>0</v>
      </c>
      <c r="G110" s="141">
        <f t="shared" si="17"/>
        <v>46022</v>
      </c>
      <c r="H110" s="106">
        <f>VLOOKUP( $A110, Aop!$A$2:$P$456, 4, 0)</f>
        <v>143</v>
      </c>
      <c r="I110" s="106">
        <f t="shared" si="18"/>
        <v>2025</v>
      </c>
      <c r="J110" s="106"/>
      <c r="K110" s="56"/>
      <c r="L110" s="56" t="str">
        <f t="shared" ca="1" si="10"/>
        <v/>
      </c>
      <c r="M110" s="56" t="str">
        <f t="shared" ca="1" si="11"/>
        <v/>
      </c>
      <c r="N110" s="56" t="str">
        <f t="shared" ca="1" si="12"/>
        <v/>
      </c>
    </row>
    <row r="111" spans="1:14" x14ac:dyDescent="0.2">
      <c r="A111" s="106">
        <v>111</v>
      </c>
      <c r="B111" s="106" t="str">
        <f>VLOOKUP( $A111, Aop!$A$2:$P$456, 2, 0)</f>
        <v>BSp</v>
      </c>
      <c r="C111" s="106">
        <f t="shared" si="13"/>
        <v>4</v>
      </c>
      <c r="D111" s="106" t="str">
        <f t="shared" si="14"/>
        <v>01814788</v>
      </c>
      <c r="E111" s="106" t="str">
        <f t="shared" si="15"/>
        <v>4400570050004</v>
      </c>
      <c r="F111" s="106" t="b">
        <f t="shared" si="16"/>
        <v>0</v>
      </c>
      <c r="G111" s="141">
        <f t="shared" si="17"/>
        <v>46022</v>
      </c>
      <c r="H111" s="106">
        <f>VLOOKUP( $A111, Aop!$A$2:$P$456, 4, 0)</f>
        <v>144</v>
      </c>
      <c r="I111" s="106">
        <f t="shared" si="18"/>
        <v>2025</v>
      </c>
      <c r="J111" s="106"/>
      <c r="K111" s="56"/>
      <c r="L111" s="56" t="str">
        <f t="shared" ca="1" si="10"/>
        <v/>
      </c>
      <c r="M111" s="56" t="str">
        <f t="shared" ca="1" si="11"/>
        <v/>
      </c>
      <c r="N111" s="56">
        <f t="shared" ca="1" si="12"/>
        <v>95278</v>
      </c>
    </row>
    <row r="112" spans="1:14" x14ac:dyDescent="0.2">
      <c r="A112" s="106">
        <v>112</v>
      </c>
      <c r="B112" s="106" t="str">
        <f>VLOOKUP( $A112, Aop!$A$2:$P$456, 2, 0)</f>
        <v>BSp</v>
      </c>
      <c r="C112" s="106">
        <f t="shared" si="13"/>
        <v>4</v>
      </c>
      <c r="D112" s="106" t="str">
        <f t="shared" si="14"/>
        <v>01814788</v>
      </c>
      <c r="E112" s="106" t="str">
        <f t="shared" si="15"/>
        <v>4400570050004</v>
      </c>
      <c r="F112" s="106" t="b">
        <f t="shared" si="16"/>
        <v>0</v>
      </c>
      <c r="G112" s="141">
        <f t="shared" si="17"/>
        <v>46022</v>
      </c>
      <c r="H112" s="106">
        <f>VLOOKUP( $A112, Aop!$A$2:$P$456, 4, 0)</f>
        <v>145</v>
      </c>
      <c r="I112" s="106">
        <f t="shared" si="18"/>
        <v>2025</v>
      </c>
      <c r="J112" s="106"/>
      <c r="K112" s="56"/>
      <c r="L112" s="56" t="str">
        <f t="shared" ca="1" si="10"/>
        <v/>
      </c>
      <c r="M112" s="56" t="str">
        <f t="shared" ca="1" si="11"/>
        <v/>
      </c>
      <c r="N112" s="56">
        <f t="shared" ca="1" si="12"/>
        <v>14063132</v>
      </c>
    </row>
    <row r="113" spans="1:14" x14ac:dyDescent="0.2">
      <c r="A113" s="106">
        <v>113</v>
      </c>
      <c r="B113" s="106" t="str">
        <f>VLOOKUP( $A113, Aop!$A$2:$P$456, 2, 0)</f>
        <v>BSp</v>
      </c>
      <c r="C113" s="106">
        <f t="shared" si="13"/>
        <v>4</v>
      </c>
      <c r="D113" s="106" t="str">
        <f t="shared" si="14"/>
        <v>01814788</v>
      </c>
      <c r="E113" s="106" t="str">
        <f t="shared" si="15"/>
        <v>4400570050004</v>
      </c>
      <c r="F113" s="106" t="b">
        <f t="shared" si="16"/>
        <v>0</v>
      </c>
      <c r="G113" s="141">
        <f t="shared" si="17"/>
        <v>46022</v>
      </c>
      <c r="H113" s="106">
        <f>VLOOKUP( $A113, Aop!$A$2:$P$456, 4, 0)</f>
        <v>146</v>
      </c>
      <c r="I113" s="106">
        <f t="shared" si="18"/>
        <v>2025</v>
      </c>
      <c r="J113" s="106"/>
      <c r="K113" s="56"/>
      <c r="L113" s="56" t="str">
        <f t="shared" ca="1" si="10"/>
        <v/>
      </c>
      <c r="M113" s="56" t="str">
        <f t="shared" ca="1" si="11"/>
        <v/>
      </c>
      <c r="N113" s="56">
        <f t="shared" ca="1" si="12"/>
        <v>6738170</v>
      </c>
    </row>
    <row r="114" spans="1:14" x14ac:dyDescent="0.2">
      <c r="A114" s="106">
        <v>114</v>
      </c>
      <c r="B114" s="106" t="str">
        <f>VLOOKUP( $A114, Aop!$A$2:$P$456, 2, 0)</f>
        <v>BSp</v>
      </c>
      <c r="C114" s="106">
        <f t="shared" si="13"/>
        <v>4</v>
      </c>
      <c r="D114" s="106" t="str">
        <f t="shared" si="14"/>
        <v>01814788</v>
      </c>
      <c r="E114" s="106" t="str">
        <f t="shared" si="15"/>
        <v>4400570050004</v>
      </c>
      <c r="F114" s="106" t="b">
        <f t="shared" si="16"/>
        <v>0</v>
      </c>
      <c r="G114" s="141">
        <f t="shared" si="17"/>
        <v>46022</v>
      </c>
      <c r="H114" s="106">
        <f>VLOOKUP( $A114, Aop!$A$2:$P$456, 4, 0)</f>
        <v>147</v>
      </c>
      <c r="I114" s="106">
        <f t="shared" si="18"/>
        <v>2025</v>
      </c>
      <c r="J114" s="106"/>
      <c r="K114" s="56"/>
      <c r="L114" s="56" t="str">
        <f t="shared" ca="1" si="10"/>
        <v/>
      </c>
      <c r="M114" s="56" t="str">
        <f t="shared" ca="1" si="11"/>
        <v/>
      </c>
      <c r="N114" s="56">
        <f t="shared" ca="1" si="12"/>
        <v>11684806</v>
      </c>
    </row>
    <row r="115" spans="1:14" x14ac:dyDescent="0.2">
      <c r="A115" s="106">
        <v>115</v>
      </c>
      <c r="B115" s="106" t="str">
        <f>VLOOKUP( $A115, Aop!$A$2:$P$456, 2, 0)</f>
        <v>BSp</v>
      </c>
      <c r="C115" s="106">
        <f t="shared" si="13"/>
        <v>4</v>
      </c>
      <c r="D115" s="106" t="str">
        <f t="shared" si="14"/>
        <v>01814788</v>
      </c>
      <c r="E115" s="106" t="str">
        <f t="shared" si="15"/>
        <v>4400570050004</v>
      </c>
      <c r="F115" s="106" t="b">
        <f t="shared" si="16"/>
        <v>0</v>
      </c>
      <c r="G115" s="141">
        <f t="shared" si="17"/>
        <v>46022</v>
      </c>
      <c r="H115" s="106">
        <f>VLOOKUP( $A115, Aop!$A$2:$P$456, 4, 0)</f>
        <v>148</v>
      </c>
      <c r="I115" s="106">
        <f t="shared" si="18"/>
        <v>2025</v>
      </c>
      <c r="J115" s="106"/>
      <c r="K115" s="56"/>
      <c r="L115" s="56" t="str">
        <f t="shared" ca="1" si="10"/>
        <v/>
      </c>
      <c r="M115" s="56" t="str">
        <f t="shared" ca="1" si="11"/>
        <v/>
      </c>
      <c r="N115" s="56">
        <f t="shared" ca="1" si="12"/>
        <v>3127869</v>
      </c>
    </row>
    <row r="116" spans="1:14" x14ac:dyDescent="0.2">
      <c r="A116" s="106">
        <v>116</v>
      </c>
      <c r="B116" s="106" t="str">
        <f>VLOOKUP( $A116, Aop!$A$2:$P$456, 2, 0)</f>
        <v>BSp</v>
      </c>
      <c r="C116" s="106">
        <f t="shared" si="13"/>
        <v>4</v>
      </c>
      <c r="D116" s="106" t="str">
        <f t="shared" si="14"/>
        <v>01814788</v>
      </c>
      <c r="E116" s="106" t="str">
        <f t="shared" si="15"/>
        <v>4400570050004</v>
      </c>
      <c r="F116" s="106" t="b">
        <f t="shared" si="16"/>
        <v>0</v>
      </c>
      <c r="G116" s="141">
        <f t="shared" si="17"/>
        <v>46022</v>
      </c>
      <c r="H116" s="106">
        <f>VLOOKUP( $A116, Aop!$A$2:$P$456, 4, 0)</f>
        <v>149</v>
      </c>
      <c r="I116" s="106">
        <f t="shared" si="18"/>
        <v>2025</v>
      </c>
      <c r="J116" s="106"/>
      <c r="K116" s="56"/>
      <c r="L116" s="56" t="str">
        <f t="shared" ca="1" si="10"/>
        <v/>
      </c>
      <c r="M116" s="56" t="str">
        <f t="shared" ca="1" si="11"/>
        <v/>
      </c>
      <c r="N116" s="56">
        <f t="shared" ca="1" si="12"/>
        <v>1058803</v>
      </c>
    </row>
    <row r="117" spans="1:14" x14ac:dyDescent="0.2">
      <c r="A117" s="106">
        <v>117</v>
      </c>
      <c r="B117" s="106" t="str">
        <f>VLOOKUP( $A117, Aop!$A$2:$P$456, 2, 0)</f>
        <v>BSp</v>
      </c>
      <c r="C117" s="106">
        <f t="shared" si="13"/>
        <v>4</v>
      </c>
      <c r="D117" s="106" t="str">
        <f t="shared" si="14"/>
        <v>01814788</v>
      </c>
      <c r="E117" s="106" t="str">
        <f t="shared" si="15"/>
        <v>4400570050004</v>
      </c>
      <c r="F117" s="106" t="b">
        <f t="shared" si="16"/>
        <v>0</v>
      </c>
      <c r="G117" s="141">
        <f t="shared" si="17"/>
        <v>46022</v>
      </c>
      <c r="H117" s="106">
        <f>VLOOKUP( $A117, Aop!$A$2:$P$456, 4, 0)</f>
        <v>150</v>
      </c>
      <c r="I117" s="106">
        <f t="shared" si="18"/>
        <v>2025</v>
      </c>
      <c r="J117" s="106"/>
      <c r="K117" s="56"/>
      <c r="L117" s="56" t="str">
        <f t="shared" ca="1" si="10"/>
        <v/>
      </c>
      <c r="M117" s="56" t="str">
        <f t="shared" ca="1" si="11"/>
        <v/>
      </c>
      <c r="N117" s="56">
        <f t="shared" ca="1" si="12"/>
        <v>2030868</v>
      </c>
    </row>
    <row r="118" spans="1:14" x14ac:dyDescent="0.2">
      <c r="A118" s="106">
        <v>118</v>
      </c>
      <c r="B118" s="106" t="str">
        <f>VLOOKUP( $A118, Aop!$A$2:$P$456, 2, 0)</f>
        <v>BSp</v>
      </c>
      <c r="C118" s="106">
        <f t="shared" si="13"/>
        <v>4</v>
      </c>
      <c r="D118" s="106" t="str">
        <f t="shared" si="14"/>
        <v>01814788</v>
      </c>
      <c r="E118" s="106" t="str">
        <f t="shared" si="15"/>
        <v>4400570050004</v>
      </c>
      <c r="F118" s="106" t="b">
        <f t="shared" si="16"/>
        <v>0</v>
      </c>
      <c r="G118" s="141">
        <f t="shared" si="17"/>
        <v>46022</v>
      </c>
      <c r="H118" s="106">
        <f>VLOOKUP( $A118, Aop!$A$2:$P$456, 4, 0)</f>
        <v>151</v>
      </c>
      <c r="I118" s="106">
        <f t="shared" si="18"/>
        <v>2025</v>
      </c>
      <c r="J118" s="106"/>
      <c r="K118" s="56"/>
      <c r="L118" s="56" t="str">
        <f t="shared" ca="1" si="10"/>
        <v/>
      </c>
      <c r="M118" s="56" t="str">
        <f t="shared" ca="1" si="11"/>
        <v/>
      </c>
      <c r="N118" s="56">
        <f t="shared" ca="1" si="12"/>
        <v>38198</v>
      </c>
    </row>
    <row r="119" spans="1:14" x14ac:dyDescent="0.2">
      <c r="A119" s="106">
        <v>119</v>
      </c>
      <c r="B119" s="106" t="str">
        <f>VLOOKUP( $A119, Aop!$A$2:$P$456, 2, 0)</f>
        <v>BSp</v>
      </c>
      <c r="C119" s="106">
        <f t="shared" si="13"/>
        <v>4</v>
      </c>
      <c r="D119" s="106" t="str">
        <f t="shared" si="14"/>
        <v>01814788</v>
      </c>
      <c r="E119" s="106" t="str">
        <f t="shared" si="15"/>
        <v>4400570050004</v>
      </c>
      <c r="F119" s="106" t="b">
        <f t="shared" si="16"/>
        <v>0</v>
      </c>
      <c r="G119" s="141">
        <f t="shared" si="17"/>
        <v>46022</v>
      </c>
      <c r="H119" s="106">
        <f>VLOOKUP( $A119, Aop!$A$2:$P$456, 4, 0)</f>
        <v>152</v>
      </c>
      <c r="I119" s="106">
        <f t="shared" si="18"/>
        <v>2025</v>
      </c>
      <c r="J119" s="106"/>
      <c r="K119" s="56"/>
      <c r="L119" s="56" t="str">
        <f t="shared" ca="1" si="10"/>
        <v/>
      </c>
      <c r="M119" s="56" t="str">
        <f t="shared" ca="1" si="11"/>
        <v/>
      </c>
      <c r="N119" s="56" t="str">
        <f t="shared" ca="1" si="12"/>
        <v/>
      </c>
    </row>
    <row r="120" spans="1:14" x14ac:dyDescent="0.2">
      <c r="A120" s="106">
        <v>120</v>
      </c>
      <c r="B120" s="106" t="str">
        <f>VLOOKUP( $A120, Aop!$A$2:$P$456, 2, 0)</f>
        <v>BSp</v>
      </c>
      <c r="C120" s="106">
        <f t="shared" si="13"/>
        <v>4</v>
      </c>
      <c r="D120" s="106" t="str">
        <f t="shared" si="14"/>
        <v>01814788</v>
      </c>
      <c r="E120" s="106" t="str">
        <f t="shared" si="15"/>
        <v>4400570050004</v>
      </c>
      <c r="F120" s="106" t="b">
        <f t="shared" si="16"/>
        <v>0</v>
      </c>
      <c r="G120" s="141">
        <f t="shared" si="17"/>
        <v>46022</v>
      </c>
      <c r="H120" s="106">
        <f>VLOOKUP( $A120, Aop!$A$2:$P$456, 4, 0)</f>
        <v>153</v>
      </c>
      <c r="I120" s="106">
        <f t="shared" si="18"/>
        <v>2025</v>
      </c>
      <c r="J120" s="106"/>
      <c r="K120" s="56"/>
      <c r="L120" s="56" t="str">
        <f t="shared" ca="1" si="10"/>
        <v/>
      </c>
      <c r="M120" s="56" t="str">
        <f t="shared" ca="1" si="11"/>
        <v/>
      </c>
      <c r="N120" s="56" t="str">
        <f t="shared" ca="1" si="12"/>
        <v/>
      </c>
    </row>
    <row r="121" spans="1:14" x14ac:dyDescent="0.2">
      <c r="A121" s="106">
        <v>121</v>
      </c>
      <c r="B121" s="106" t="str">
        <f>VLOOKUP( $A121, Aop!$A$2:$P$456, 2, 0)</f>
        <v>BSp</v>
      </c>
      <c r="C121" s="106">
        <f t="shared" si="13"/>
        <v>4</v>
      </c>
      <c r="D121" s="106" t="str">
        <f t="shared" si="14"/>
        <v>01814788</v>
      </c>
      <c r="E121" s="106" t="str">
        <f t="shared" si="15"/>
        <v>4400570050004</v>
      </c>
      <c r="F121" s="106" t="b">
        <f t="shared" si="16"/>
        <v>0</v>
      </c>
      <c r="G121" s="141">
        <f t="shared" si="17"/>
        <v>46022</v>
      </c>
      <c r="H121" s="106">
        <f>VLOOKUP( $A121, Aop!$A$2:$P$456, 4, 0)</f>
        <v>154</v>
      </c>
      <c r="I121" s="106">
        <f t="shared" si="18"/>
        <v>2025</v>
      </c>
      <c r="J121" s="106"/>
      <c r="K121" s="56"/>
      <c r="L121" s="56" t="str">
        <f t="shared" ca="1" si="10"/>
        <v/>
      </c>
      <c r="M121" s="56" t="str">
        <f t="shared" ca="1" si="11"/>
        <v/>
      </c>
      <c r="N121" s="56" t="str">
        <f t="shared" ca="1" si="12"/>
        <v/>
      </c>
    </row>
    <row r="122" spans="1:14" x14ac:dyDescent="0.2">
      <c r="A122" s="106">
        <v>122</v>
      </c>
      <c r="B122" s="106" t="str">
        <f>VLOOKUP( $A122, Aop!$A$2:$P$456, 2, 0)</f>
        <v>BSp</v>
      </c>
      <c r="C122" s="106">
        <f t="shared" si="13"/>
        <v>4</v>
      </c>
      <c r="D122" s="106" t="str">
        <f t="shared" si="14"/>
        <v>01814788</v>
      </c>
      <c r="E122" s="106" t="str">
        <f t="shared" si="15"/>
        <v>4400570050004</v>
      </c>
      <c r="F122" s="106" t="b">
        <f t="shared" si="16"/>
        <v>0</v>
      </c>
      <c r="G122" s="141">
        <f t="shared" si="17"/>
        <v>46022</v>
      </c>
      <c r="H122" s="106">
        <f>VLOOKUP( $A122, Aop!$A$2:$P$456, 4, 0)</f>
        <v>155</v>
      </c>
      <c r="I122" s="106">
        <f t="shared" si="18"/>
        <v>2025</v>
      </c>
      <c r="J122" s="106"/>
      <c r="K122" s="56"/>
      <c r="L122" s="56" t="str">
        <f t="shared" ca="1" si="10"/>
        <v/>
      </c>
      <c r="M122" s="56" t="str">
        <f t="shared" ca="1" si="11"/>
        <v/>
      </c>
      <c r="N122" s="56">
        <f t="shared" ca="1" si="12"/>
        <v>5501013</v>
      </c>
    </row>
    <row r="123" spans="1:14" x14ac:dyDescent="0.2">
      <c r="A123" s="106">
        <v>123</v>
      </c>
      <c r="B123" s="106" t="str">
        <f>VLOOKUP( $A123, Aop!$A$2:$P$456, 2, 0)</f>
        <v>BSp</v>
      </c>
      <c r="C123" s="106">
        <f t="shared" si="13"/>
        <v>4</v>
      </c>
      <c r="D123" s="106" t="str">
        <f t="shared" si="14"/>
        <v>01814788</v>
      </c>
      <c r="E123" s="106" t="str">
        <f t="shared" si="15"/>
        <v>4400570050004</v>
      </c>
      <c r="F123" s="106" t="b">
        <f t="shared" si="16"/>
        <v>0</v>
      </c>
      <c r="G123" s="141">
        <f t="shared" si="17"/>
        <v>46022</v>
      </c>
      <c r="H123" s="106">
        <f>VLOOKUP( $A123, Aop!$A$2:$P$456, 4, 0)</f>
        <v>156</v>
      </c>
      <c r="I123" s="106">
        <f t="shared" si="18"/>
        <v>2025</v>
      </c>
      <c r="J123" s="106"/>
      <c r="K123" s="56"/>
      <c r="L123" s="56" t="str">
        <f t="shared" ca="1" si="10"/>
        <v/>
      </c>
      <c r="M123" s="56" t="str">
        <f t="shared" ca="1" si="11"/>
        <v/>
      </c>
      <c r="N123" s="56">
        <f t="shared" ca="1" si="12"/>
        <v>416142</v>
      </c>
    </row>
    <row r="124" spans="1:14" x14ac:dyDescent="0.2">
      <c r="A124" s="106">
        <v>124</v>
      </c>
      <c r="B124" s="106" t="str">
        <f>VLOOKUP( $A124, Aop!$A$2:$P$456, 2, 0)</f>
        <v>BSp</v>
      </c>
      <c r="C124" s="106">
        <f t="shared" si="13"/>
        <v>4</v>
      </c>
      <c r="D124" s="106" t="str">
        <f t="shared" si="14"/>
        <v>01814788</v>
      </c>
      <c r="E124" s="106" t="str">
        <f t="shared" si="15"/>
        <v>4400570050004</v>
      </c>
      <c r="F124" s="106" t="b">
        <f t="shared" si="16"/>
        <v>0</v>
      </c>
      <c r="G124" s="141">
        <f t="shared" si="17"/>
        <v>46022</v>
      </c>
      <c r="H124" s="106">
        <f>VLOOKUP( $A124, Aop!$A$2:$P$456, 4, 0)</f>
        <v>157</v>
      </c>
      <c r="I124" s="106">
        <f t="shared" si="18"/>
        <v>2025</v>
      </c>
      <c r="J124" s="106"/>
      <c r="K124" s="56"/>
      <c r="L124" s="56" t="str">
        <f t="shared" ca="1" si="10"/>
        <v/>
      </c>
      <c r="M124" s="56" t="str">
        <f t="shared" ca="1" si="11"/>
        <v/>
      </c>
      <c r="N124" s="56">
        <f t="shared" ca="1" si="12"/>
        <v>4184279</v>
      </c>
    </row>
    <row r="125" spans="1:14" x14ac:dyDescent="0.2">
      <c r="A125" s="106">
        <v>125</v>
      </c>
      <c r="B125" s="106" t="str">
        <f>VLOOKUP( $A125, Aop!$A$2:$P$456, 2, 0)</f>
        <v>BSp</v>
      </c>
      <c r="C125" s="106">
        <f t="shared" si="13"/>
        <v>4</v>
      </c>
      <c r="D125" s="106" t="str">
        <f t="shared" si="14"/>
        <v>01814788</v>
      </c>
      <c r="E125" s="106" t="str">
        <f t="shared" si="15"/>
        <v>4400570050004</v>
      </c>
      <c r="F125" s="106" t="b">
        <f t="shared" si="16"/>
        <v>0</v>
      </c>
      <c r="G125" s="141">
        <f t="shared" si="17"/>
        <v>46022</v>
      </c>
      <c r="H125" s="106">
        <f>VLOOKUP( $A125, Aop!$A$2:$P$456, 4, 0)</f>
        <v>158</v>
      </c>
      <c r="I125" s="106">
        <f t="shared" si="18"/>
        <v>2025</v>
      </c>
      <c r="J125" s="106"/>
      <c r="K125" s="56"/>
      <c r="L125" s="56" t="str">
        <f t="shared" ca="1" si="10"/>
        <v/>
      </c>
      <c r="M125" s="56" t="str">
        <f t="shared" ca="1" si="11"/>
        <v/>
      </c>
      <c r="N125" s="56">
        <f t="shared" ca="1" si="12"/>
        <v>776721</v>
      </c>
    </row>
    <row r="126" spans="1:14" x14ac:dyDescent="0.2">
      <c r="A126" s="106">
        <v>126</v>
      </c>
      <c r="B126" s="106" t="str">
        <f>VLOOKUP( $A126, Aop!$A$2:$P$456, 2, 0)</f>
        <v>BSp</v>
      </c>
      <c r="C126" s="106">
        <f t="shared" si="13"/>
        <v>4</v>
      </c>
      <c r="D126" s="106" t="str">
        <f t="shared" si="14"/>
        <v>01814788</v>
      </c>
      <c r="E126" s="106" t="str">
        <f t="shared" si="15"/>
        <v>4400570050004</v>
      </c>
      <c r="F126" s="106" t="b">
        <f t="shared" si="16"/>
        <v>0</v>
      </c>
      <c r="G126" s="141">
        <f t="shared" si="17"/>
        <v>46022</v>
      </c>
      <c r="H126" s="106">
        <f>VLOOKUP( $A126, Aop!$A$2:$P$456, 4, 0)</f>
        <v>159</v>
      </c>
      <c r="I126" s="106">
        <f t="shared" si="18"/>
        <v>2025</v>
      </c>
      <c r="J126" s="106"/>
      <c r="K126" s="56"/>
      <c r="L126" s="56" t="str">
        <f t="shared" ca="1" si="10"/>
        <v/>
      </c>
      <c r="M126" s="56" t="str">
        <f t="shared" ca="1" si="11"/>
        <v/>
      </c>
      <c r="N126" s="56">
        <f t="shared" ca="1" si="12"/>
        <v>123871</v>
      </c>
    </row>
    <row r="127" spans="1:14" x14ac:dyDescent="0.2">
      <c r="A127" s="106">
        <v>127</v>
      </c>
      <c r="B127" s="106" t="str">
        <f>VLOOKUP( $A127, Aop!$A$2:$P$456, 2, 0)</f>
        <v>BSp</v>
      </c>
      <c r="C127" s="106">
        <f t="shared" si="13"/>
        <v>4</v>
      </c>
      <c r="D127" s="106" t="str">
        <f t="shared" si="14"/>
        <v>01814788</v>
      </c>
      <c r="E127" s="106" t="str">
        <f t="shared" si="15"/>
        <v>4400570050004</v>
      </c>
      <c r="F127" s="106" t="b">
        <f t="shared" si="16"/>
        <v>0</v>
      </c>
      <c r="G127" s="141">
        <f t="shared" si="17"/>
        <v>46022</v>
      </c>
      <c r="H127" s="106">
        <f>VLOOKUP( $A127, Aop!$A$2:$P$456, 4, 0)</f>
        <v>160</v>
      </c>
      <c r="I127" s="106">
        <f t="shared" si="18"/>
        <v>2025</v>
      </c>
      <c r="J127" s="106"/>
      <c r="K127" s="56"/>
      <c r="L127" s="56" t="str">
        <f t="shared" ca="1" si="10"/>
        <v/>
      </c>
      <c r="M127" s="56" t="str">
        <f t="shared" ca="1" si="11"/>
        <v/>
      </c>
      <c r="N127" s="56" t="str">
        <f t="shared" ca="1" si="12"/>
        <v/>
      </c>
    </row>
    <row r="128" spans="1:14" x14ac:dyDescent="0.2">
      <c r="A128" s="106">
        <v>128</v>
      </c>
      <c r="B128" s="106" t="str">
        <f>VLOOKUP( $A128, Aop!$A$2:$P$456, 2, 0)</f>
        <v>BSp</v>
      </c>
      <c r="C128" s="106">
        <f t="shared" si="13"/>
        <v>4</v>
      </c>
      <c r="D128" s="106" t="str">
        <f t="shared" si="14"/>
        <v>01814788</v>
      </c>
      <c r="E128" s="106" t="str">
        <f t="shared" si="15"/>
        <v>4400570050004</v>
      </c>
      <c r="F128" s="106" t="b">
        <f t="shared" si="16"/>
        <v>0</v>
      </c>
      <c r="G128" s="141">
        <f t="shared" si="17"/>
        <v>46022</v>
      </c>
      <c r="H128" s="106">
        <f>VLOOKUP( $A128, Aop!$A$2:$P$456, 4, 0)</f>
        <v>161</v>
      </c>
      <c r="I128" s="106">
        <f t="shared" si="18"/>
        <v>2025</v>
      </c>
      <c r="J128" s="106"/>
      <c r="K128" s="56"/>
      <c r="L128" s="56" t="str">
        <f t="shared" ca="1" si="10"/>
        <v/>
      </c>
      <c r="M128" s="56" t="str">
        <f t="shared" ca="1" si="11"/>
        <v/>
      </c>
      <c r="N128" s="56">
        <f t="shared" ca="1" si="12"/>
        <v>419687</v>
      </c>
    </row>
    <row r="129" spans="1:14" x14ac:dyDescent="0.2">
      <c r="A129" s="106">
        <v>129</v>
      </c>
      <c r="B129" s="56" t="str">
        <f>VLOOKUP( $A129, Aop!$A$2:$P$456, 2, 0)</f>
        <v>BSp</v>
      </c>
      <c r="C129" s="56">
        <f>ID_Izvjestaj</f>
        <v>4</v>
      </c>
      <c r="D129" s="56" t="str">
        <f>Podatak_MB</f>
        <v>01814788</v>
      </c>
      <c r="E129" s="56" t="str">
        <f>Podatak_JIB</f>
        <v>4400570050004</v>
      </c>
      <c r="F129" s="56" t="b">
        <f>Konsolidovan_izvjestaj</f>
        <v>0</v>
      </c>
      <c r="G129" s="141">
        <f>Datum_Broj</f>
        <v>46022</v>
      </c>
      <c r="H129" s="56">
        <f>VLOOKUP( $A129, Aop!$A$2:$P$456, 4, 0)</f>
        <v>162</v>
      </c>
      <c r="I129" s="56">
        <f>Godina</f>
        <v>2025</v>
      </c>
      <c r="J129" s="56"/>
      <c r="K129" s="56"/>
      <c r="L129" s="56" t="str">
        <f t="shared" ca="1" si="10"/>
        <v/>
      </c>
      <c r="M129" s="56" t="str">
        <f t="shared" ca="1" si="11"/>
        <v/>
      </c>
      <c r="N129" s="56">
        <f t="shared" ca="1" si="12"/>
        <v>1074560</v>
      </c>
    </row>
    <row r="130" spans="1:14" x14ac:dyDescent="0.2">
      <c r="A130" s="106">
        <v>130</v>
      </c>
      <c r="B130" s="106" t="str">
        <f>VLOOKUP( $A130, Aop!$A$2:$P$456, 2, 0)</f>
        <v>BSp</v>
      </c>
      <c r="C130" s="56">
        <f t="shared" si="13"/>
        <v>4</v>
      </c>
      <c r="D130" s="56" t="str">
        <f t="shared" ref="D130:D189" si="20">Podatak_MB</f>
        <v>01814788</v>
      </c>
      <c r="E130" s="56" t="str">
        <f t="shared" ref="E130:E189" si="21">Podatak_JIB</f>
        <v>4400570050004</v>
      </c>
      <c r="F130" s="56" t="b">
        <f t="shared" si="16"/>
        <v>0</v>
      </c>
      <c r="G130" s="141">
        <f t="shared" si="17"/>
        <v>46022</v>
      </c>
      <c r="H130" s="106">
        <f>VLOOKUP( $A130, Aop!$A$2:$P$456, 4, 0)</f>
        <v>163</v>
      </c>
      <c r="I130" s="56">
        <f t="shared" ref="I130:I189" si="22">Godina</f>
        <v>2025</v>
      </c>
      <c r="J130" s="56"/>
      <c r="K130" s="56"/>
      <c r="L130" s="56" t="str">
        <f t="shared" ca="1" si="10"/>
        <v/>
      </c>
      <c r="M130" s="56" t="str">
        <f t="shared" ca="1" si="11"/>
        <v/>
      </c>
      <c r="N130" s="56">
        <f t="shared" ca="1" si="12"/>
        <v>229161</v>
      </c>
    </row>
    <row r="131" spans="1:14" x14ac:dyDescent="0.2">
      <c r="A131" s="106">
        <v>131</v>
      </c>
      <c r="B131" s="106" t="str">
        <f>VLOOKUP( $A131, Aop!$A$2:$P$456, 2, 0)</f>
        <v>BSp</v>
      </c>
      <c r="C131" s="56">
        <f t="shared" ref="C131:C190" si="23">ID_Izvjestaj</f>
        <v>4</v>
      </c>
      <c r="D131" s="56" t="str">
        <f t="shared" si="20"/>
        <v>01814788</v>
      </c>
      <c r="E131" s="56" t="str">
        <f t="shared" si="21"/>
        <v>4400570050004</v>
      </c>
      <c r="F131" s="56" t="b">
        <f t="shared" ref="F131:F190" si="24">Konsolidovan_izvjestaj</f>
        <v>0</v>
      </c>
      <c r="G131" s="141">
        <f t="shared" ref="G131:G190" si="25">Datum_Broj</f>
        <v>46022</v>
      </c>
      <c r="H131" s="106">
        <f>VLOOKUP( $A131, Aop!$A$2:$P$456, 4, 0)</f>
        <v>164</v>
      </c>
      <c r="I131" s="56">
        <f t="shared" si="22"/>
        <v>2025</v>
      </c>
      <c r="J131" s="56"/>
      <c r="K131" s="56"/>
      <c r="L131" s="56" t="str">
        <f ca="1">IF( VLOOKUP( $H131, INDIRECT( "Lookup_" &amp; $B131), IF( LEFT( $B131, 2) = "BS", R$2, R$1), 0) = "", "", VLOOKUP( $H131, INDIRECT( "Lookup_" &amp; $B131), IF( $B131 = "BSa", R$2, R$1), 0))</f>
        <v/>
      </c>
      <c r="M131" s="56" t="str">
        <f t="shared" ref="M131:M194" ca="1" si="26">IF( VLOOKUP( $H131, INDIRECT( "Lookup_" &amp; $B131), IF( LEFT( $B131, 2) = "BS", S$2, S$1), 0) = "", "", VLOOKUP( $H131, INDIRECT( "Lookup_" &amp; $B131), IF( LEFT( $B131, 2) = "BS", S$2, S$1), 0))</f>
        <v/>
      </c>
      <c r="N131" s="56">
        <f t="shared" ref="N131:N194" ca="1" si="27">IF( VLOOKUP( $H131, INDIRECT( "Lookup_" &amp; $B131), IF( LEFT( $B131, 2) = "BS", T$2, T$1), 0) = "", "", VLOOKUP( $H131, INDIRECT( "Lookup_" &amp; $B131), IF( LEFT( $B131, 2) = "BS", T$2, T$1), 0))</f>
        <v>304709</v>
      </c>
    </row>
    <row r="132" spans="1:14" x14ac:dyDescent="0.2">
      <c r="A132" s="106">
        <v>132</v>
      </c>
      <c r="B132" s="106" t="str">
        <f>VLOOKUP( $A132, Aop!$A$2:$P$456, 2, 0)</f>
        <v>BSp</v>
      </c>
      <c r="C132" s="56">
        <f t="shared" si="23"/>
        <v>4</v>
      </c>
      <c r="D132" s="56" t="str">
        <f t="shared" si="20"/>
        <v>01814788</v>
      </c>
      <c r="E132" s="56" t="str">
        <f t="shared" si="21"/>
        <v>4400570050004</v>
      </c>
      <c r="F132" s="56" t="b">
        <f t="shared" si="24"/>
        <v>0</v>
      </c>
      <c r="G132" s="141">
        <f t="shared" si="25"/>
        <v>46022</v>
      </c>
      <c r="H132" s="106">
        <f>VLOOKUP( $A132, Aop!$A$2:$P$456, 4, 0)</f>
        <v>165</v>
      </c>
      <c r="I132" s="56">
        <f t="shared" si="22"/>
        <v>2025</v>
      </c>
      <c r="J132" s="56"/>
      <c r="K132" s="56"/>
      <c r="L132" s="56" t="str">
        <f ca="1">IF( VLOOKUP( $H132, INDIRECT( "Lookup_" &amp; $B132), IF( LEFT( $B132, 2) = "BS", R$2, R$1), 0) = "", "", VLOOKUP( $H132, INDIRECT( "Lookup_" &amp; $B132), IF( $B132 = "BSa", R$2, R$1), 0))</f>
        <v/>
      </c>
      <c r="M132" s="56" t="str">
        <f t="shared" ca="1" si="26"/>
        <v/>
      </c>
      <c r="N132" s="56">
        <f t="shared" ca="1" si="27"/>
        <v>51010</v>
      </c>
    </row>
    <row r="133" spans="1:14" x14ac:dyDescent="0.2">
      <c r="A133" s="106">
        <v>133</v>
      </c>
      <c r="B133" s="106" t="str">
        <f>VLOOKUP( $A133, Aop!$A$2:$P$456, 2, 0)</f>
        <v>BSp</v>
      </c>
      <c r="C133" s="56">
        <f t="shared" si="23"/>
        <v>4</v>
      </c>
      <c r="D133" s="56" t="str">
        <f t="shared" si="20"/>
        <v>01814788</v>
      </c>
      <c r="E133" s="56" t="str">
        <f t="shared" si="21"/>
        <v>4400570050004</v>
      </c>
      <c r="F133" s="56" t="b">
        <f t="shared" si="24"/>
        <v>0</v>
      </c>
      <c r="G133" s="141">
        <f t="shared" si="25"/>
        <v>46022</v>
      </c>
      <c r="H133" s="106">
        <f>VLOOKUP( $A133, Aop!$A$2:$P$456, 4, 0)</f>
        <v>166</v>
      </c>
      <c r="I133" s="56">
        <f t="shared" si="22"/>
        <v>2025</v>
      </c>
      <c r="J133" s="56"/>
      <c r="K133" s="56"/>
      <c r="L133" s="56" t="str">
        <f ca="1">IF( VLOOKUP( $H133, INDIRECT( "Lookup_" &amp; $B133), IF( LEFT( $B133, 2) = "BS", R$2, R$1), 0) = "", "", VLOOKUP( $H133, INDIRECT( "Lookup_" &amp; $B133), IF( $B133 = "BSa", R$2, R$1), 0))</f>
        <v/>
      </c>
      <c r="M133" s="56" t="str">
        <f t="shared" ca="1" si="26"/>
        <v/>
      </c>
      <c r="N133" s="56">
        <f t="shared" ca="1" si="27"/>
        <v>203325</v>
      </c>
    </row>
    <row r="134" spans="1:14" x14ac:dyDescent="0.2">
      <c r="A134" s="106">
        <v>134</v>
      </c>
      <c r="B134" s="106" t="str">
        <f>VLOOKUP( $A134, Aop!$A$2:$P$456, 2, 0)</f>
        <v>BSp</v>
      </c>
      <c r="C134" s="56">
        <f t="shared" si="23"/>
        <v>4</v>
      </c>
      <c r="D134" s="56" t="str">
        <f t="shared" si="20"/>
        <v>01814788</v>
      </c>
      <c r="E134" s="56" t="str">
        <f t="shared" si="21"/>
        <v>4400570050004</v>
      </c>
      <c r="F134" s="56" t="b">
        <f t="shared" si="24"/>
        <v>0</v>
      </c>
      <c r="G134" s="141">
        <f t="shared" si="25"/>
        <v>46022</v>
      </c>
      <c r="H134" s="106">
        <f>VLOOKUP( $A134, Aop!$A$2:$P$456, 4, 0)</f>
        <v>167</v>
      </c>
      <c r="I134" s="56">
        <f t="shared" si="22"/>
        <v>2025</v>
      </c>
      <c r="J134" s="56"/>
      <c r="K134" s="56"/>
      <c r="L134" s="56" t="str">
        <f ca="1">IF( VLOOKUP( $H134, INDIRECT( "Lookup_" &amp; $B134), IF( LEFT( $B134, 2) = "BS", R$2, R$1), 0) = "", "", VLOOKUP( $H134, INDIRECT( "Lookup_" &amp; $B134), IF( $B134 = "BSa", R$2, R$1), 0))</f>
        <v/>
      </c>
      <c r="M134" s="56" t="str">
        <f t="shared" ca="1" si="26"/>
        <v/>
      </c>
      <c r="N134" s="56">
        <f t="shared" ca="1" si="27"/>
        <v>773472</v>
      </c>
    </row>
    <row r="135" spans="1:14" x14ac:dyDescent="0.2">
      <c r="A135" s="106">
        <v>136</v>
      </c>
      <c r="B135" s="106" t="str">
        <f>VLOOKUP( $A135, Aop!$A$2:$P$456, 2, 0)</f>
        <v>BSp</v>
      </c>
      <c r="C135" s="56">
        <f t="shared" si="23"/>
        <v>4</v>
      </c>
      <c r="D135" s="56" t="str">
        <f t="shared" si="20"/>
        <v>01814788</v>
      </c>
      <c r="E135" s="56" t="str">
        <f t="shared" si="21"/>
        <v>4400570050004</v>
      </c>
      <c r="F135" s="56" t="b">
        <f t="shared" si="24"/>
        <v>0</v>
      </c>
      <c r="G135" s="141">
        <f t="shared" si="25"/>
        <v>46022</v>
      </c>
      <c r="H135" s="106">
        <f>VLOOKUP( $A135, Aop!$A$2:$P$456, 4, 0)</f>
        <v>0</v>
      </c>
      <c r="I135" s="56">
        <f t="shared" si="22"/>
        <v>2025</v>
      </c>
      <c r="J135" s="56"/>
      <c r="K135" s="56"/>
      <c r="L135" s="56"/>
      <c r="M135" s="56" t="str">
        <f t="shared" ca="1" si="26"/>
        <v/>
      </c>
      <c r="N135" s="56" t="str">
        <f t="shared" ca="1" si="27"/>
        <v/>
      </c>
    </row>
    <row r="136" spans="1:14" x14ac:dyDescent="0.2">
      <c r="A136" s="106">
        <v>137</v>
      </c>
      <c r="B136" s="106" t="str">
        <f>VLOOKUP( $A136, Aop!$A$2:$P$456, 2, 0)</f>
        <v>BSp</v>
      </c>
      <c r="C136" s="56">
        <f t="shared" si="23"/>
        <v>4</v>
      </c>
      <c r="D136" s="56" t="str">
        <f t="shared" si="20"/>
        <v>01814788</v>
      </c>
      <c r="E136" s="56" t="str">
        <f t="shared" si="21"/>
        <v>4400570050004</v>
      </c>
      <c r="F136" s="56" t="b">
        <f t="shared" si="24"/>
        <v>0</v>
      </c>
      <c r="G136" s="141">
        <f t="shared" si="25"/>
        <v>46022</v>
      </c>
      <c r="H136" s="106">
        <f>VLOOKUP( $A136, Aop!$A$2:$P$456, 4, 0)</f>
        <v>169</v>
      </c>
      <c r="I136" s="56">
        <f t="shared" si="22"/>
        <v>2025</v>
      </c>
      <c r="J136" s="56"/>
      <c r="K136" s="56"/>
      <c r="L136" s="56"/>
      <c r="M136" s="56" t="str">
        <f t="shared" ca="1" si="26"/>
        <v/>
      </c>
      <c r="N136" s="56">
        <f t="shared" ca="1" si="27"/>
        <v>165478815</v>
      </c>
    </row>
    <row r="137" spans="1:14" x14ac:dyDescent="0.2">
      <c r="A137" s="106">
        <v>138</v>
      </c>
      <c r="B137" s="106" t="str">
        <f>VLOOKUP( $A137, Aop!$A$2:$P$456, 2, 0)</f>
        <v>BSp</v>
      </c>
      <c r="C137" s="56">
        <f t="shared" si="23"/>
        <v>4</v>
      </c>
      <c r="D137" s="56" t="str">
        <f t="shared" si="20"/>
        <v>01814788</v>
      </c>
      <c r="E137" s="56" t="str">
        <f t="shared" si="21"/>
        <v>4400570050004</v>
      </c>
      <c r="F137" s="56" t="b">
        <f t="shared" si="24"/>
        <v>0</v>
      </c>
      <c r="G137" s="141">
        <f t="shared" si="25"/>
        <v>46022</v>
      </c>
      <c r="H137" s="106">
        <f>VLOOKUP( $A137, Aop!$A$2:$P$456, 4, 0)</f>
        <v>170</v>
      </c>
      <c r="I137" s="56">
        <f t="shared" si="22"/>
        <v>2025</v>
      </c>
      <c r="J137" s="56"/>
      <c r="K137" s="56"/>
      <c r="L137" s="56"/>
      <c r="M137" s="56" t="str">
        <f t="shared" ca="1" si="26"/>
        <v/>
      </c>
      <c r="N137" s="56">
        <f t="shared" ca="1" si="27"/>
        <v>28759409</v>
      </c>
    </row>
    <row r="138" spans="1:14" x14ac:dyDescent="0.2">
      <c r="A138" s="106">
        <v>139</v>
      </c>
      <c r="B138" s="106" t="str">
        <f>VLOOKUP( $A138, Aop!$A$2:$P$456, 2, 0)</f>
        <v>BUa</v>
      </c>
      <c r="C138" s="56">
        <f t="shared" si="23"/>
        <v>4</v>
      </c>
      <c r="D138" s="56" t="str">
        <f t="shared" si="20"/>
        <v>01814788</v>
      </c>
      <c r="E138" s="56" t="str">
        <f t="shared" si="21"/>
        <v>4400570050004</v>
      </c>
      <c r="F138" s="56" t="b">
        <f t="shared" si="24"/>
        <v>0</v>
      </c>
      <c r="G138" s="141">
        <f t="shared" si="25"/>
        <v>46022</v>
      </c>
      <c r="H138" s="106">
        <f>VLOOKUP( $A138, Aop!$A$2:$P$456, 4, 0)</f>
        <v>201</v>
      </c>
      <c r="I138" s="56">
        <f t="shared" si="22"/>
        <v>2025</v>
      </c>
      <c r="J138" s="56"/>
      <c r="K138" s="56"/>
      <c r="L138" s="56"/>
      <c r="M138" s="56" t="str">
        <f t="shared" ca="1" si="26"/>
        <v/>
      </c>
      <c r="N138" s="56">
        <f t="shared" ca="1" si="27"/>
        <v>37375470</v>
      </c>
    </row>
    <row r="139" spans="1:14" x14ac:dyDescent="0.2">
      <c r="A139" s="106">
        <v>140</v>
      </c>
      <c r="B139" s="106" t="str">
        <f>VLOOKUP( $A139, Aop!$A$2:$P$456, 2, 0)</f>
        <v>BUa</v>
      </c>
      <c r="C139" s="56">
        <f t="shared" si="23"/>
        <v>4</v>
      </c>
      <c r="D139" s="56" t="str">
        <f t="shared" si="20"/>
        <v>01814788</v>
      </c>
      <c r="E139" s="56" t="str">
        <f t="shared" si="21"/>
        <v>4400570050004</v>
      </c>
      <c r="F139" s="56" t="b">
        <f t="shared" si="24"/>
        <v>0</v>
      </c>
      <c r="G139" s="141">
        <f t="shared" si="25"/>
        <v>46022</v>
      </c>
      <c r="H139" s="106">
        <f>VLOOKUP( $A139, Aop!$A$2:$P$456, 4, 0)</f>
        <v>202</v>
      </c>
      <c r="I139" s="56">
        <f t="shared" si="22"/>
        <v>2025</v>
      </c>
      <c r="J139" s="56"/>
      <c r="K139" s="56"/>
      <c r="L139" s="56"/>
      <c r="M139" s="56" t="str">
        <f t="shared" ca="1" si="26"/>
        <v/>
      </c>
      <c r="N139" s="56">
        <f t="shared" ca="1" si="27"/>
        <v>86618</v>
      </c>
    </row>
    <row r="140" spans="1:14" x14ac:dyDescent="0.2">
      <c r="A140" s="106">
        <v>141</v>
      </c>
      <c r="B140" s="106" t="str">
        <f>VLOOKUP( $A140, Aop!$A$2:$P$456, 2, 0)</f>
        <v>BUa</v>
      </c>
      <c r="C140" s="56">
        <f t="shared" si="23"/>
        <v>4</v>
      </c>
      <c r="D140" s="56" t="str">
        <f t="shared" si="20"/>
        <v>01814788</v>
      </c>
      <c r="E140" s="56" t="str">
        <f t="shared" si="21"/>
        <v>4400570050004</v>
      </c>
      <c r="F140" s="56" t="b">
        <f t="shared" si="24"/>
        <v>0</v>
      </c>
      <c r="G140" s="141">
        <f t="shared" si="25"/>
        <v>46022</v>
      </c>
      <c r="H140" s="106">
        <f>VLOOKUP( $A140, Aop!$A$2:$P$456, 4, 0)</f>
        <v>203</v>
      </c>
      <c r="I140" s="56">
        <f t="shared" si="22"/>
        <v>2025</v>
      </c>
      <c r="J140" s="56"/>
      <c r="K140" s="56"/>
      <c r="L140" s="56"/>
      <c r="M140" s="56" t="str">
        <f t="shared" ca="1" si="26"/>
        <v/>
      </c>
      <c r="N140" s="56" t="str">
        <f t="shared" ca="1" si="27"/>
        <v/>
      </c>
    </row>
    <row r="141" spans="1:14" x14ac:dyDescent="0.2">
      <c r="A141" s="106">
        <v>142</v>
      </c>
      <c r="B141" s="106" t="str">
        <f>VLOOKUP( $A141, Aop!$A$2:$P$456, 2, 0)</f>
        <v>BUa</v>
      </c>
      <c r="C141" s="56">
        <f t="shared" si="23"/>
        <v>4</v>
      </c>
      <c r="D141" s="56" t="str">
        <f t="shared" si="20"/>
        <v>01814788</v>
      </c>
      <c r="E141" s="56" t="str">
        <f t="shared" si="21"/>
        <v>4400570050004</v>
      </c>
      <c r="F141" s="56" t="b">
        <f t="shared" si="24"/>
        <v>0</v>
      </c>
      <c r="G141" s="141">
        <f t="shared" si="25"/>
        <v>46022</v>
      </c>
      <c r="H141" s="106">
        <f>VLOOKUP( $A141, Aop!$A$2:$P$456, 4, 0)</f>
        <v>204</v>
      </c>
      <c r="I141" s="56">
        <f t="shared" si="22"/>
        <v>2025</v>
      </c>
      <c r="J141" s="56"/>
      <c r="K141" s="56"/>
      <c r="L141" s="56"/>
      <c r="M141" s="56">
        <f t="shared" ca="1" si="26"/>
        <v>6</v>
      </c>
      <c r="N141" s="56">
        <f t="shared" ca="1" si="27"/>
        <v>86618</v>
      </c>
    </row>
    <row r="142" spans="1:14" x14ac:dyDescent="0.2">
      <c r="A142" s="106">
        <v>143</v>
      </c>
      <c r="B142" s="106" t="str">
        <f>VLOOKUP( $A142, Aop!$A$2:$P$456, 2, 0)</f>
        <v>BUa</v>
      </c>
      <c r="C142" s="56">
        <f t="shared" si="23"/>
        <v>4</v>
      </c>
      <c r="D142" s="56" t="str">
        <f t="shared" si="20"/>
        <v>01814788</v>
      </c>
      <c r="E142" s="56" t="str">
        <f t="shared" si="21"/>
        <v>4400570050004</v>
      </c>
      <c r="F142" s="56" t="b">
        <f t="shared" si="24"/>
        <v>0</v>
      </c>
      <c r="G142" s="141">
        <f t="shared" si="25"/>
        <v>46022</v>
      </c>
      <c r="H142" s="106">
        <f>VLOOKUP( $A142, Aop!$A$2:$P$456, 4, 0)</f>
        <v>205</v>
      </c>
      <c r="I142" s="56">
        <f t="shared" si="22"/>
        <v>2025</v>
      </c>
      <c r="J142" s="56"/>
      <c r="K142" s="56"/>
      <c r="L142" s="56"/>
      <c r="M142" s="56" t="str">
        <f t="shared" ca="1" si="26"/>
        <v/>
      </c>
      <c r="N142" s="56" t="str">
        <f t="shared" ca="1" si="27"/>
        <v/>
      </c>
    </row>
    <row r="143" spans="1:14" x14ac:dyDescent="0.2">
      <c r="A143" s="106">
        <v>144</v>
      </c>
      <c r="B143" s="106" t="str">
        <f>VLOOKUP( $A143, Aop!$A$2:$P$456, 2, 0)</f>
        <v>BUa</v>
      </c>
      <c r="C143" s="56">
        <f t="shared" si="23"/>
        <v>4</v>
      </c>
      <c r="D143" s="56" t="str">
        <f t="shared" si="20"/>
        <v>01814788</v>
      </c>
      <c r="E143" s="56" t="str">
        <f t="shared" si="21"/>
        <v>4400570050004</v>
      </c>
      <c r="F143" s="56" t="b">
        <f t="shared" si="24"/>
        <v>0</v>
      </c>
      <c r="G143" s="141">
        <f t="shared" si="25"/>
        <v>46022</v>
      </c>
      <c r="H143" s="106">
        <f>VLOOKUP( $A143, Aop!$A$2:$P$456, 4, 0)</f>
        <v>206</v>
      </c>
      <c r="I143" s="56">
        <f t="shared" si="22"/>
        <v>2025</v>
      </c>
      <c r="J143" s="56"/>
      <c r="K143" s="56"/>
      <c r="L143" s="56"/>
      <c r="M143" s="56" t="str">
        <f t="shared" ca="1" si="26"/>
        <v/>
      </c>
      <c r="N143" s="56">
        <f t="shared" ca="1" si="27"/>
        <v>0</v>
      </c>
    </row>
    <row r="144" spans="1:14" x14ac:dyDescent="0.2">
      <c r="A144" s="106">
        <v>145</v>
      </c>
      <c r="B144" s="106" t="str">
        <f>VLOOKUP( $A144, Aop!$A$2:$P$456, 2, 0)</f>
        <v>BUa</v>
      </c>
      <c r="C144" s="56">
        <f t="shared" si="23"/>
        <v>4</v>
      </c>
      <c r="D144" s="56" t="str">
        <f t="shared" si="20"/>
        <v>01814788</v>
      </c>
      <c r="E144" s="56" t="str">
        <f t="shared" si="21"/>
        <v>4400570050004</v>
      </c>
      <c r="F144" s="56" t="b">
        <f t="shared" si="24"/>
        <v>0</v>
      </c>
      <c r="G144" s="141">
        <f t="shared" si="25"/>
        <v>46022</v>
      </c>
      <c r="H144" s="106">
        <f>VLOOKUP( $A144, Aop!$A$2:$P$456, 4, 0)</f>
        <v>207</v>
      </c>
      <c r="I144" s="56">
        <f t="shared" si="22"/>
        <v>2025</v>
      </c>
      <c r="J144" s="56"/>
      <c r="K144" s="56"/>
      <c r="L144" s="56"/>
      <c r="M144" s="56" t="str">
        <f t="shared" ca="1" si="26"/>
        <v/>
      </c>
      <c r="N144" s="56" t="str">
        <f t="shared" ca="1" si="27"/>
        <v/>
      </c>
    </row>
    <row r="145" spans="1:14" x14ac:dyDescent="0.2">
      <c r="A145" s="106">
        <v>146</v>
      </c>
      <c r="B145" s="106" t="str">
        <f>VLOOKUP( $A145, Aop!$A$2:$P$456, 2, 0)</f>
        <v>BUa</v>
      </c>
      <c r="C145" s="56">
        <f t="shared" si="23"/>
        <v>4</v>
      </c>
      <c r="D145" s="56" t="str">
        <f t="shared" si="20"/>
        <v>01814788</v>
      </c>
      <c r="E145" s="56" t="str">
        <f t="shared" si="21"/>
        <v>4400570050004</v>
      </c>
      <c r="F145" s="56" t="b">
        <f t="shared" si="24"/>
        <v>0</v>
      </c>
      <c r="G145" s="141">
        <f t="shared" si="25"/>
        <v>46022</v>
      </c>
      <c r="H145" s="106">
        <f>VLOOKUP( $A145, Aop!$A$2:$P$456, 4, 0)</f>
        <v>208</v>
      </c>
      <c r="I145" s="56">
        <f t="shared" si="22"/>
        <v>2025</v>
      </c>
      <c r="J145" s="56"/>
      <c r="K145" s="56"/>
      <c r="L145" s="56"/>
      <c r="M145" s="56" t="str">
        <f t="shared" ca="1" si="26"/>
        <v/>
      </c>
      <c r="N145" s="56" t="str">
        <f t="shared" ca="1" si="27"/>
        <v/>
      </c>
    </row>
    <row r="146" spans="1:14" x14ac:dyDescent="0.2">
      <c r="A146" s="106">
        <v>147</v>
      </c>
      <c r="B146" s="106" t="str">
        <f>VLOOKUP( $A146, Aop!$A$2:$P$456, 2, 0)</f>
        <v>BUa</v>
      </c>
      <c r="C146" s="56">
        <f t="shared" si="23"/>
        <v>4</v>
      </c>
      <c r="D146" s="56" t="str">
        <f t="shared" si="20"/>
        <v>01814788</v>
      </c>
      <c r="E146" s="56" t="str">
        <f t="shared" si="21"/>
        <v>4400570050004</v>
      </c>
      <c r="F146" s="56" t="b">
        <f t="shared" si="24"/>
        <v>0</v>
      </c>
      <c r="G146" s="141">
        <f t="shared" si="25"/>
        <v>46022</v>
      </c>
      <c r="H146" s="106">
        <f>VLOOKUP( $A146, Aop!$A$2:$P$456, 4, 0)</f>
        <v>209</v>
      </c>
      <c r="I146" s="56">
        <f t="shared" si="22"/>
        <v>2025</v>
      </c>
      <c r="J146" s="56"/>
      <c r="K146" s="56"/>
      <c r="L146" s="56"/>
      <c r="M146" s="56" t="str">
        <f t="shared" ca="1" si="26"/>
        <v/>
      </c>
      <c r="N146" s="56" t="str">
        <f t="shared" ca="1" si="27"/>
        <v/>
      </c>
    </row>
    <row r="147" spans="1:14" x14ac:dyDescent="0.2">
      <c r="A147" s="106">
        <v>148</v>
      </c>
      <c r="B147" s="106" t="str">
        <f>VLOOKUP( $A147, Aop!$A$2:$P$456, 2, 0)</f>
        <v>BUa</v>
      </c>
      <c r="C147" s="56">
        <f t="shared" si="23"/>
        <v>4</v>
      </c>
      <c r="D147" s="56" t="str">
        <f t="shared" si="20"/>
        <v>01814788</v>
      </c>
      <c r="E147" s="56" t="str">
        <f t="shared" si="21"/>
        <v>4400570050004</v>
      </c>
      <c r="F147" s="56" t="b">
        <f t="shared" si="24"/>
        <v>0</v>
      </c>
      <c r="G147" s="141">
        <f t="shared" si="25"/>
        <v>46022</v>
      </c>
      <c r="H147" s="106">
        <f>VLOOKUP( $A147, Aop!$A$2:$P$456, 4, 0)</f>
        <v>210</v>
      </c>
      <c r="I147" s="56">
        <f t="shared" si="22"/>
        <v>2025</v>
      </c>
      <c r="J147" s="56"/>
      <c r="K147" s="56"/>
      <c r="L147" s="56"/>
      <c r="M147" s="56">
        <f t="shared" ca="1" si="26"/>
        <v>6</v>
      </c>
      <c r="N147" s="56">
        <f t="shared" ca="1" si="27"/>
        <v>35517645</v>
      </c>
    </row>
    <row r="148" spans="1:14" x14ac:dyDescent="0.2">
      <c r="A148" s="106">
        <v>149</v>
      </c>
      <c r="B148" s="106" t="str">
        <f>VLOOKUP( $A148, Aop!$A$2:$P$456, 2, 0)</f>
        <v>BUa</v>
      </c>
      <c r="C148" s="56">
        <f t="shared" si="23"/>
        <v>4</v>
      </c>
      <c r="D148" s="56" t="str">
        <f t="shared" si="20"/>
        <v>01814788</v>
      </c>
      <c r="E148" s="56" t="str">
        <f t="shared" si="21"/>
        <v>4400570050004</v>
      </c>
      <c r="F148" s="56" t="b">
        <f t="shared" si="24"/>
        <v>0</v>
      </c>
      <c r="G148" s="141">
        <f t="shared" si="25"/>
        <v>46022</v>
      </c>
      <c r="H148" s="106">
        <f>VLOOKUP( $A148, Aop!$A$2:$P$456, 4, 0)</f>
        <v>211</v>
      </c>
      <c r="I148" s="56">
        <f t="shared" si="22"/>
        <v>2025</v>
      </c>
      <c r="J148" s="56"/>
      <c r="K148" s="56"/>
      <c r="L148" s="56"/>
      <c r="M148" s="56" t="str">
        <f t="shared" ca="1" si="26"/>
        <v/>
      </c>
      <c r="N148" s="56">
        <f t="shared" ca="1" si="27"/>
        <v>34009955</v>
      </c>
    </row>
    <row r="149" spans="1:14" x14ac:dyDescent="0.2">
      <c r="A149" s="106">
        <v>150</v>
      </c>
      <c r="B149" s="106" t="str">
        <f>VLOOKUP( $A149, Aop!$A$2:$P$456, 2, 0)</f>
        <v>BUa</v>
      </c>
      <c r="C149" s="56">
        <f t="shared" si="23"/>
        <v>4</v>
      </c>
      <c r="D149" s="56" t="str">
        <f t="shared" si="20"/>
        <v>01814788</v>
      </c>
      <c r="E149" s="56" t="str">
        <f t="shared" si="21"/>
        <v>4400570050004</v>
      </c>
      <c r="F149" s="56" t="b">
        <f t="shared" si="24"/>
        <v>0</v>
      </c>
      <c r="G149" s="141">
        <f t="shared" si="25"/>
        <v>46022</v>
      </c>
      <c r="H149" s="106">
        <f>VLOOKUP( $A149, Aop!$A$2:$P$456, 4, 0)</f>
        <v>212</v>
      </c>
      <c r="I149" s="56">
        <f t="shared" si="22"/>
        <v>2025</v>
      </c>
      <c r="J149" s="56"/>
      <c r="K149" s="56"/>
      <c r="L149" s="56"/>
      <c r="M149" s="56" t="str">
        <f t="shared" ca="1" si="26"/>
        <v/>
      </c>
      <c r="N149" s="56">
        <f t="shared" ca="1" si="27"/>
        <v>1507690</v>
      </c>
    </row>
    <row r="150" spans="1:14" x14ac:dyDescent="0.2">
      <c r="A150" s="106">
        <v>151</v>
      </c>
      <c r="B150" s="106" t="str">
        <f>VLOOKUP( $A150, Aop!$A$2:$P$456, 2, 0)</f>
        <v>BUa</v>
      </c>
      <c r="C150" s="56">
        <f t="shared" si="23"/>
        <v>4</v>
      </c>
      <c r="D150" s="56" t="str">
        <f t="shared" si="20"/>
        <v>01814788</v>
      </c>
      <c r="E150" s="56" t="str">
        <f t="shared" si="21"/>
        <v>4400570050004</v>
      </c>
      <c r="F150" s="56" t="b">
        <f t="shared" si="24"/>
        <v>0</v>
      </c>
      <c r="G150" s="141">
        <f t="shared" si="25"/>
        <v>46022</v>
      </c>
      <c r="H150" s="106">
        <f>VLOOKUP( $A150, Aop!$A$2:$P$456, 4, 0)</f>
        <v>213</v>
      </c>
      <c r="I150" s="56">
        <f t="shared" si="22"/>
        <v>2025</v>
      </c>
      <c r="J150" s="56"/>
      <c r="K150" s="56"/>
      <c r="L150" s="56"/>
      <c r="M150" s="56" t="str">
        <f t="shared" ca="1" si="26"/>
        <v/>
      </c>
      <c r="N150" s="56" t="str">
        <f t="shared" ca="1" si="27"/>
        <v/>
      </c>
    </row>
    <row r="151" spans="1:14" x14ac:dyDescent="0.2">
      <c r="A151" s="106">
        <v>152</v>
      </c>
      <c r="B151" s="106" t="str">
        <f>VLOOKUP( $A151, Aop!$A$2:$P$456, 2, 0)</f>
        <v>BUa</v>
      </c>
      <c r="C151" s="56">
        <f t="shared" si="23"/>
        <v>4</v>
      </c>
      <c r="D151" s="56" t="str">
        <f t="shared" si="20"/>
        <v>01814788</v>
      </c>
      <c r="E151" s="56" t="str">
        <f t="shared" si="21"/>
        <v>4400570050004</v>
      </c>
      <c r="F151" s="56" t="b">
        <f t="shared" si="24"/>
        <v>0</v>
      </c>
      <c r="G151" s="141">
        <f t="shared" si="25"/>
        <v>46022</v>
      </c>
      <c r="H151" s="106">
        <f>VLOOKUP( $A151, Aop!$A$2:$P$456, 4, 0)</f>
        <v>214</v>
      </c>
      <c r="I151" s="56">
        <f t="shared" si="22"/>
        <v>2025</v>
      </c>
      <c r="J151" s="56"/>
      <c r="K151" s="56"/>
      <c r="L151" s="56"/>
      <c r="M151" s="56" t="str">
        <f t="shared" ca="1" si="26"/>
        <v/>
      </c>
      <c r="N151" s="56" t="str">
        <f t="shared" ca="1" si="27"/>
        <v/>
      </c>
    </row>
    <row r="152" spans="1:14" x14ac:dyDescent="0.2">
      <c r="A152" s="106">
        <v>153</v>
      </c>
      <c r="B152" s="106" t="str">
        <f>VLOOKUP( $A152, Aop!$A$2:$P$456, 2, 0)</f>
        <v>BUa</v>
      </c>
      <c r="C152" s="56">
        <f t="shared" si="23"/>
        <v>4</v>
      </c>
      <c r="D152" s="56" t="str">
        <f t="shared" si="20"/>
        <v>01814788</v>
      </c>
      <c r="E152" s="56" t="str">
        <f t="shared" si="21"/>
        <v>4400570050004</v>
      </c>
      <c r="F152" s="56" t="b">
        <f t="shared" si="24"/>
        <v>0</v>
      </c>
      <c r="G152" s="141">
        <f t="shared" si="25"/>
        <v>46022</v>
      </c>
      <c r="H152" s="106">
        <f>VLOOKUP( $A152, Aop!$A$2:$P$456, 4, 0)</f>
        <v>215</v>
      </c>
      <c r="I152" s="56">
        <f t="shared" si="22"/>
        <v>2025</v>
      </c>
      <c r="J152" s="56"/>
      <c r="K152" s="56"/>
      <c r="L152" s="56"/>
      <c r="M152" s="56" t="str">
        <f t="shared" ca="1" si="26"/>
        <v/>
      </c>
      <c r="N152" s="56" t="str">
        <f t="shared" ca="1" si="27"/>
        <v/>
      </c>
    </row>
    <row r="153" spans="1:14" x14ac:dyDescent="0.2">
      <c r="A153" s="106">
        <v>154</v>
      </c>
      <c r="B153" s="106" t="str">
        <f>VLOOKUP( $A153, Aop!$A$2:$P$456, 2, 0)</f>
        <v>BUa</v>
      </c>
      <c r="C153" s="56">
        <f t="shared" si="23"/>
        <v>4</v>
      </c>
      <c r="D153" s="56" t="str">
        <f t="shared" si="20"/>
        <v>01814788</v>
      </c>
      <c r="E153" s="56" t="str">
        <f t="shared" si="21"/>
        <v>4400570050004</v>
      </c>
      <c r="F153" s="56" t="b">
        <f t="shared" si="24"/>
        <v>0</v>
      </c>
      <c r="G153" s="141">
        <f t="shared" si="25"/>
        <v>46022</v>
      </c>
      <c r="H153" s="106">
        <f>VLOOKUP( $A153, Aop!$A$2:$P$456, 4, 0)</f>
        <v>216</v>
      </c>
      <c r="I153" s="56">
        <f t="shared" si="22"/>
        <v>2025</v>
      </c>
      <c r="J153" s="56"/>
      <c r="K153" s="56"/>
      <c r="L153" s="56"/>
      <c r="M153" s="56" t="str">
        <f t="shared" ca="1" si="26"/>
        <v/>
      </c>
      <c r="N153" s="56" t="str">
        <f t="shared" ca="1" si="27"/>
        <v/>
      </c>
    </row>
    <row r="154" spans="1:14" x14ac:dyDescent="0.2">
      <c r="A154" s="106">
        <v>155</v>
      </c>
      <c r="B154" s="106" t="str">
        <f>VLOOKUP( $A154, Aop!$A$2:$P$456, 2, 0)</f>
        <v>BUa</v>
      </c>
      <c r="C154" s="56">
        <f t="shared" si="23"/>
        <v>4</v>
      </c>
      <c r="D154" s="56" t="str">
        <f t="shared" si="20"/>
        <v>01814788</v>
      </c>
      <c r="E154" s="56" t="str">
        <f t="shared" si="21"/>
        <v>4400570050004</v>
      </c>
      <c r="F154" s="56" t="b">
        <f t="shared" si="24"/>
        <v>0</v>
      </c>
      <c r="G154" s="141">
        <f t="shared" si="25"/>
        <v>46022</v>
      </c>
      <c r="H154" s="106">
        <f>VLOOKUP( $A154, Aop!$A$2:$P$456, 4, 0)</f>
        <v>217</v>
      </c>
      <c r="I154" s="56">
        <f t="shared" si="22"/>
        <v>2025</v>
      </c>
      <c r="J154" s="56"/>
      <c r="K154" s="56"/>
      <c r="L154" s="56"/>
      <c r="M154" s="56" t="str">
        <f t="shared" ca="1" si="26"/>
        <v/>
      </c>
      <c r="N154" s="56" t="str">
        <f t="shared" ca="1" si="27"/>
        <v/>
      </c>
    </row>
    <row r="155" spans="1:14" x14ac:dyDescent="0.2">
      <c r="A155" s="106">
        <v>156</v>
      </c>
      <c r="B155" s="106" t="str">
        <f>VLOOKUP( $A155, Aop!$A$2:$P$456, 2, 0)</f>
        <v>BUa</v>
      </c>
      <c r="C155" s="56">
        <f t="shared" si="23"/>
        <v>4</v>
      </c>
      <c r="D155" s="56" t="str">
        <f t="shared" si="20"/>
        <v>01814788</v>
      </c>
      <c r="E155" s="56" t="str">
        <f t="shared" si="21"/>
        <v>4400570050004</v>
      </c>
      <c r="F155" s="56" t="b">
        <f t="shared" si="24"/>
        <v>0</v>
      </c>
      <c r="G155" s="141">
        <f t="shared" si="25"/>
        <v>46022</v>
      </c>
      <c r="H155" s="106">
        <f>VLOOKUP( $A155, Aop!$A$2:$P$456, 4, 0)</f>
        <v>218</v>
      </c>
      <c r="I155" s="56">
        <f t="shared" si="22"/>
        <v>2025</v>
      </c>
      <c r="J155" s="56"/>
      <c r="K155" s="56"/>
      <c r="L155" s="56"/>
      <c r="M155" s="56">
        <f t="shared" ca="1" si="26"/>
        <v>7</v>
      </c>
      <c r="N155" s="56">
        <f t="shared" ca="1" si="27"/>
        <v>1771207</v>
      </c>
    </row>
    <row r="156" spans="1:14" x14ac:dyDescent="0.2">
      <c r="A156" s="106">
        <v>157</v>
      </c>
      <c r="B156" s="106" t="str">
        <f>VLOOKUP( $A156, Aop!$A$2:$P$456, 2, 0)</f>
        <v>BUa</v>
      </c>
      <c r="C156" s="56">
        <f t="shared" si="23"/>
        <v>4</v>
      </c>
      <c r="D156" s="56" t="str">
        <f t="shared" si="20"/>
        <v>01814788</v>
      </c>
      <c r="E156" s="56" t="str">
        <f t="shared" si="21"/>
        <v>4400570050004</v>
      </c>
      <c r="F156" s="56" t="b">
        <f t="shared" si="24"/>
        <v>0</v>
      </c>
      <c r="G156" s="141">
        <f t="shared" si="25"/>
        <v>46022</v>
      </c>
      <c r="H156" s="106">
        <f>VLOOKUP( $A156, Aop!$A$2:$P$456, 4, 0)</f>
        <v>219</v>
      </c>
      <c r="I156" s="56">
        <f t="shared" si="22"/>
        <v>2025</v>
      </c>
      <c r="J156" s="56"/>
      <c r="K156" s="56"/>
      <c r="L156" s="56"/>
      <c r="M156" s="56" t="str">
        <f t="shared" ca="1" si="26"/>
        <v/>
      </c>
      <c r="N156" s="56">
        <f t="shared" ca="1" si="27"/>
        <v>35891924</v>
      </c>
    </row>
    <row r="157" spans="1:14" x14ac:dyDescent="0.2">
      <c r="A157" s="106">
        <v>158</v>
      </c>
      <c r="B157" s="106" t="str">
        <f>VLOOKUP( $A157, Aop!$A$2:$P$456, 2, 0)</f>
        <v>BUa</v>
      </c>
      <c r="C157" s="56">
        <f t="shared" si="23"/>
        <v>4</v>
      </c>
      <c r="D157" s="56" t="str">
        <f t="shared" si="20"/>
        <v>01814788</v>
      </c>
      <c r="E157" s="56" t="str">
        <f t="shared" si="21"/>
        <v>4400570050004</v>
      </c>
      <c r="F157" s="56" t="b">
        <f t="shared" si="24"/>
        <v>0</v>
      </c>
      <c r="G157" s="141">
        <f t="shared" si="25"/>
        <v>46022</v>
      </c>
      <c r="H157" s="106">
        <f>VLOOKUP( $A157, Aop!$A$2:$P$456, 4, 0)</f>
        <v>220</v>
      </c>
      <c r="I157" s="56">
        <f t="shared" si="22"/>
        <v>2025</v>
      </c>
      <c r="J157" s="56"/>
      <c r="K157" s="56"/>
      <c r="L157" s="56"/>
      <c r="M157" s="56">
        <f t="shared" ca="1" si="26"/>
        <v>8</v>
      </c>
      <c r="N157" s="56">
        <f t="shared" ca="1" si="27"/>
        <v>9316018</v>
      </c>
    </row>
    <row r="158" spans="1:14" x14ac:dyDescent="0.2">
      <c r="A158" s="106">
        <v>159</v>
      </c>
      <c r="B158" s="56" t="str">
        <f>VLOOKUP( $A158, Aop!$A$2:$P$456, 2, 0)</f>
        <v>BUa</v>
      </c>
      <c r="C158" s="56">
        <f>ID_Izvjestaj</f>
        <v>4</v>
      </c>
      <c r="D158" s="56" t="str">
        <f>Podatak_MB</f>
        <v>01814788</v>
      </c>
      <c r="E158" s="56" t="str">
        <f>Podatak_JIB</f>
        <v>4400570050004</v>
      </c>
      <c r="F158" s="56" t="b">
        <f>Konsolidovan_izvjestaj</f>
        <v>0</v>
      </c>
      <c r="G158" s="141">
        <f>Datum_Broj</f>
        <v>46022</v>
      </c>
      <c r="H158" s="56">
        <f>VLOOKUP( $A158, Aop!$A$2:$P$456, 4, 0)</f>
        <v>221</v>
      </c>
      <c r="I158" s="56">
        <f>Godina</f>
        <v>2025</v>
      </c>
      <c r="J158" s="56"/>
      <c r="K158" s="56"/>
      <c r="L158" s="56"/>
      <c r="M158" s="56">
        <f t="shared" ca="1" si="26"/>
        <v>9</v>
      </c>
      <c r="N158" s="56">
        <f t="shared" ca="1" si="27"/>
        <v>638810</v>
      </c>
    </row>
    <row r="159" spans="1:14" x14ac:dyDescent="0.2">
      <c r="A159" s="106">
        <v>160</v>
      </c>
      <c r="B159" s="106" t="str">
        <f>VLOOKUP( $A159, Aop!$A$2:$P$456, 2, 0)</f>
        <v>BUa</v>
      </c>
      <c r="C159" s="56">
        <f t="shared" si="23"/>
        <v>4</v>
      </c>
      <c r="D159" s="56" t="str">
        <f t="shared" si="20"/>
        <v>01814788</v>
      </c>
      <c r="E159" s="56" t="str">
        <f t="shared" si="21"/>
        <v>4400570050004</v>
      </c>
      <c r="F159" s="56" t="b">
        <f t="shared" si="24"/>
        <v>0</v>
      </c>
      <c r="G159" s="141">
        <f t="shared" si="25"/>
        <v>46022</v>
      </c>
      <c r="H159" s="106">
        <f>VLOOKUP( $A159, Aop!$A$2:$P$456, 4, 0)</f>
        <v>222</v>
      </c>
      <c r="I159" s="56">
        <f t="shared" si="22"/>
        <v>2025</v>
      </c>
      <c r="J159" s="56"/>
      <c r="K159" s="56"/>
      <c r="L159" s="56"/>
      <c r="M159" s="56">
        <f t="shared" ca="1" si="26"/>
        <v>10</v>
      </c>
      <c r="N159" s="56">
        <f t="shared" ca="1" si="27"/>
        <v>643061</v>
      </c>
    </row>
    <row r="160" spans="1:14" x14ac:dyDescent="0.2">
      <c r="A160" s="106">
        <v>161</v>
      </c>
      <c r="B160" s="106" t="str">
        <f>VLOOKUP( $A160, Aop!$A$2:$P$456, 2, 0)</f>
        <v>BUa</v>
      </c>
      <c r="C160" s="56">
        <f t="shared" si="23"/>
        <v>4</v>
      </c>
      <c r="D160" s="56" t="str">
        <f t="shared" si="20"/>
        <v>01814788</v>
      </c>
      <c r="E160" s="56" t="str">
        <f t="shared" si="21"/>
        <v>4400570050004</v>
      </c>
      <c r="F160" s="56" t="b">
        <f t="shared" si="24"/>
        <v>0</v>
      </c>
      <c r="G160" s="141">
        <f t="shared" si="25"/>
        <v>46022</v>
      </c>
      <c r="H160" s="106">
        <f>VLOOKUP( $A160, Aop!$A$2:$P$456, 4, 0)</f>
        <v>223</v>
      </c>
      <c r="I160" s="56">
        <f t="shared" si="22"/>
        <v>2025</v>
      </c>
      <c r="J160" s="56"/>
      <c r="K160" s="56"/>
      <c r="L160" s="56"/>
      <c r="M160" s="56">
        <f t="shared" ca="1" si="26"/>
        <v>11</v>
      </c>
      <c r="N160" s="56">
        <f t="shared" ca="1" si="27"/>
        <v>14016944</v>
      </c>
    </row>
    <row r="161" spans="1:14" x14ac:dyDescent="0.2">
      <c r="A161" s="106">
        <v>162</v>
      </c>
      <c r="B161" s="106" t="str">
        <f>VLOOKUP( $A161, Aop!$A$2:$P$456, 2, 0)</f>
        <v>BUa</v>
      </c>
      <c r="C161" s="56">
        <f t="shared" si="23"/>
        <v>4</v>
      </c>
      <c r="D161" s="56" t="str">
        <f t="shared" si="20"/>
        <v>01814788</v>
      </c>
      <c r="E161" s="56" t="str">
        <f t="shared" si="21"/>
        <v>4400570050004</v>
      </c>
      <c r="F161" s="56" t="b">
        <f t="shared" si="24"/>
        <v>0</v>
      </c>
      <c r="G161" s="141">
        <f t="shared" si="25"/>
        <v>46022</v>
      </c>
      <c r="H161" s="106">
        <f>VLOOKUP( $A161, Aop!$A$2:$P$456, 4, 0)</f>
        <v>224</v>
      </c>
      <c r="I161" s="56">
        <f t="shared" si="22"/>
        <v>2025</v>
      </c>
      <c r="J161" s="56"/>
      <c r="K161" s="56"/>
      <c r="L161" s="56"/>
      <c r="M161" s="56" t="str">
        <f t="shared" ca="1" si="26"/>
        <v/>
      </c>
      <c r="N161" s="56">
        <f t="shared" ca="1" si="27"/>
        <v>11329453</v>
      </c>
    </row>
    <row r="162" spans="1:14" x14ac:dyDescent="0.2">
      <c r="A162" s="106">
        <v>163</v>
      </c>
      <c r="B162" s="106" t="str">
        <f>VLOOKUP( $A162, Aop!$A$2:$P$456, 2, 0)</f>
        <v>BUa</v>
      </c>
      <c r="C162" s="56">
        <f t="shared" si="23"/>
        <v>4</v>
      </c>
      <c r="D162" s="56" t="str">
        <f t="shared" si="20"/>
        <v>01814788</v>
      </c>
      <c r="E162" s="56" t="str">
        <f t="shared" si="21"/>
        <v>4400570050004</v>
      </c>
      <c r="F162" s="56" t="b">
        <f t="shared" si="24"/>
        <v>0</v>
      </c>
      <c r="G162" s="141">
        <f t="shared" si="25"/>
        <v>46022</v>
      </c>
      <c r="H162" s="106">
        <f>VLOOKUP( $A162, Aop!$A$2:$P$456, 4, 0)</f>
        <v>225</v>
      </c>
      <c r="I162" s="56">
        <f t="shared" si="22"/>
        <v>2025</v>
      </c>
      <c r="J162" s="56"/>
      <c r="K162" s="56"/>
      <c r="L162" s="56"/>
      <c r="M162" s="56" t="str">
        <f t="shared" ca="1" si="26"/>
        <v/>
      </c>
      <c r="N162" s="56">
        <f t="shared" ca="1" si="27"/>
        <v>2687491</v>
      </c>
    </row>
    <row r="163" spans="1:14" x14ac:dyDescent="0.2">
      <c r="A163" s="106">
        <v>164</v>
      </c>
      <c r="B163" s="106" t="str">
        <f>VLOOKUP( $A163, Aop!$A$2:$P$456, 2, 0)</f>
        <v>BUa</v>
      </c>
      <c r="C163" s="56">
        <f t="shared" si="23"/>
        <v>4</v>
      </c>
      <c r="D163" s="56" t="str">
        <f t="shared" si="20"/>
        <v>01814788</v>
      </c>
      <c r="E163" s="56" t="str">
        <f t="shared" si="21"/>
        <v>4400570050004</v>
      </c>
      <c r="F163" s="56" t="b">
        <f t="shared" si="24"/>
        <v>0</v>
      </c>
      <c r="G163" s="141">
        <f t="shared" si="25"/>
        <v>46022</v>
      </c>
      <c r="H163" s="106">
        <f>VLOOKUP( $A163, Aop!$A$2:$P$456, 4, 0)</f>
        <v>226</v>
      </c>
      <c r="I163" s="56">
        <f t="shared" si="22"/>
        <v>2025</v>
      </c>
      <c r="J163" s="56"/>
      <c r="K163" s="56"/>
      <c r="L163" s="56"/>
      <c r="M163" s="56">
        <f t="shared" ca="1" si="26"/>
        <v>12</v>
      </c>
      <c r="N163" s="56">
        <f t="shared" ca="1" si="27"/>
        <v>856245</v>
      </c>
    </row>
    <row r="164" spans="1:14" x14ac:dyDescent="0.2">
      <c r="A164" s="106">
        <v>165</v>
      </c>
      <c r="B164" s="106" t="str">
        <f>VLOOKUP( $A164, Aop!$A$2:$P$456, 2, 0)</f>
        <v>BUa</v>
      </c>
      <c r="C164" s="56">
        <f t="shared" si="23"/>
        <v>4</v>
      </c>
      <c r="D164" s="56" t="str">
        <f t="shared" si="20"/>
        <v>01814788</v>
      </c>
      <c r="E164" s="56" t="str">
        <f t="shared" si="21"/>
        <v>4400570050004</v>
      </c>
      <c r="F164" s="56" t="b">
        <f t="shared" si="24"/>
        <v>0</v>
      </c>
      <c r="G164" s="141">
        <f t="shared" si="25"/>
        <v>46022</v>
      </c>
      <c r="H164" s="106">
        <f>VLOOKUP( $A164, Aop!$A$2:$P$456, 4, 0)</f>
        <v>227</v>
      </c>
      <c r="I164" s="56">
        <f t="shared" si="22"/>
        <v>2025</v>
      </c>
      <c r="J164" s="56"/>
      <c r="K164" s="56"/>
      <c r="L164" s="56"/>
      <c r="M164" s="56">
        <f t="shared" ca="1" si="26"/>
        <v>13</v>
      </c>
      <c r="N164" s="56">
        <f t="shared" ca="1" si="27"/>
        <v>6398860</v>
      </c>
    </row>
    <row r="165" spans="1:14" x14ac:dyDescent="0.2">
      <c r="A165" s="106">
        <v>167</v>
      </c>
      <c r="B165" s="106" t="str">
        <f>VLOOKUP( $A165, Aop!$A$2:$P$456, 2, 0)</f>
        <v>BUa</v>
      </c>
      <c r="C165" s="56">
        <f t="shared" si="23"/>
        <v>4</v>
      </c>
      <c r="D165" s="56" t="str">
        <f t="shared" si="20"/>
        <v>01814788</v>
      </c>
      <c r="E165" s="56" t="str">
        <f t="shared" si="21"/>
        <v>4400570050004</v>
      </c>
      <c r="F165" s="56" t="b">
        <f t="shared" si="24"/>
        <v>0</v>
      </c>
      <c r="G165" s="141">
        <f t="shared" si="25"/>
        <v>46022</v>
      </c>
      <c r="H165" s="106">
        <f>VLOOKUP( $A165, Aop!$A$2:$P$456, 4, 0)</f>
        <v>229</v>
      </c>
      <c r="I165" s="56">
        <f t="shared" si="22"/>
        <v>2025</v>
      </c>
      <c r="J165" s="56"/>
      <c r="K165" s="56"/>
      <c r="L165" s="56"/>
      <c r="M165" s="56" t="str">
        <f t="shared" ca="1" si="26"/>
        <v/>
      </c>
      <c r="N165" s="56">
        <f t="shared" ca="1" si="27"/>
        <v>5935302</v>
      </c>
    </row>
    <row r="166" spans="1:14" x14ac:dyDescent="0.2">
      <c r="A166" s="106">
        <v>168</v>
      </c>
      <c r="B166" s="106" t="str">
        <f>VLOOKUP( $A166, Aop!$A$2:$P$456, 2, 0)</f>
        <v>BUa</v>
      </c>
      <c r="C166" s="56">
        <f t="shared" si="23"/>
        <v>4</v>
      </c>
      <c r="D166" s="56" t="str">
        <f t="shared" si="20"/>
        <v>01814788</v>
      </c>
      <c r="E166" s="56" t="str">
        <f t="shared" si="21"/>
        <v>4400570050004</v>
      </c>
      <c r="F166" s="56" t="b">
        <f t="shared" si="24"/>
        <v>0</v>
      </c>
      <c r="G166" s="141">
        <f t="shared" si="25"/>
        <v>46022</v>
      </c>
      <c r="H166" s="106">
        <f>VLOOKUP( $A166, Aop!$A$2:$P$456, 4, 0)</f>
        <v>230</v>
      </c>
      <c r="I166" s="56">
        <f t="shared" si="22"/>
        <v>2025</v>
      </c>
      <c r="J166" s="56"/>
      <c r="K166" s="56"/>
      <c r="L166" s="56"/>
      <c r="M166" s="56" t="str">
        <f t="shared" ca="1" si="26"/>
        <v/>
      </c>
      <c r="N166" s="56">
        <f t="shared" ca="1" si="27"/>
        <v>5179</v>
      </c>
    </row>
    <row r="167" spans="1:14" x14ac:dyDescent="0.2">
      <c r="A167" s="106">
        <v>169</v>
      </c>
      <c r="B167" s="106" t="str">
        <f>VLOOKUP( $A167, Aop!$A$2:$P$456, 2, 0)</f>
        <v>BUa</v>
      </c>
      <c r="C167" s="56">
        <f t="shared" si="23"/>
        <v>4</v>
      </c>
      <c r="D167" s="56" t="str">
        <f t="shared" si="20"/>
        <v>01814788</v>
      </c>
      <c r="E167" s="56" t="str">
        <f t="shared" si="21"/>
        <v>4400570050004</v>
      </c>
      <c r="F167" s="56" t="b">
        <f t="shared" si="24"/>
        <v>0</v>
      </c>
      <c r="G167" s="141">
        <f t="shared" si="25"/>
        <v>46022</v>
      </c>
      <c r="H167" s="106">
        <f>VLOOKUP( $A167, Aop!$A$2:$P$456, 4, 0)</f>
        <v>231</v>
      </c>
      <c r="I167" s="56">
        <f t="shared" si="22"/>
        <v>2025</v>
      </c>
      <c r="J167" s="56"/>
      <c r="K167" s="56"/>
      <c r="L167" s="56"/>
      <c r="M167" s="56" t="str">
        <f t="shared" ca="1" si="26"/>
        <v/>
      </c>
      <c r="N167" s="56">
        <f t="shared" ca="1" si="27"/>
        <v>12731</v>
      </c>
    </row>
    <row r="168" spans="1:14" x14ac:dyDescent="0.2">
      <c r="A168" s="106">
        <v>170</v>
      </c>
      <c r="B168" s="106" t="str">
        <f>VLOOKUP( $A168, Aop!$A$2:$P$456, 2, 0)</f>
        <v>BUa</v>
      </c>
      <c r="C168" s="56">
        <f t="shared" si="23"/>
        <v>4</v>
      </c>
      <c r="D168" s="56" t="str">
        <f t="shared" si="20"/>
        <v>01814788</v>
      </c>
      <c r="E168" s="56" t="str">
        <f t="shared" si="21"/>
        <v>4400570050004</v>
      </c>
      <c r="F168" s="56" t="b">
        <f t="shared" si="24"/>
        <v>0</v>
      </c>
      <c r="G168" s="141">
        <f t="shared" si="25"/>
        <v>46022</v>
      </c>
      <c r="H168" s="106">
        <f>VLOOKUP( $A168, Aop!$A$2:$P$456, 4, 0)</f>
        <v>232</v>
      </c>
      <c r="I168" s="56">
        <f t="shared" si="22"/>
        <v>2025</v>
      </c>
      <c r="J168" s="56"/>
      <c r="K168" s="56"/>
      <c r="L168" s="56"/>
      <c r="M168" s="56" t="str">
        <f t="shared" ca="1" si="26"/>
        <v/>
      </c>
      <c r="N168" s="56" t="str">
        <f t="shared" ca="1" si="27"/>
        <v/>
      </c>
    </row>
    <row r="169" spans="1:14" x14ac:dyDescent="0.2">
      <c r="A169" s="106">
        <v>171</v>
      </c>
      <c r="B169" s="106" t="str">
        <f>VLOOKUP( $A169, Aop!$A$2:$P$456, 2, 0)</f>
        <v>BUa</v>
      </c>
      <c r="C169" s="56">
        <f t="shared" si="23"/>
        <v>4</v>
      </c>
      <c r="D169" s="56" t="str">
        <f t="shared" si="20"/>
        <v>01814788</v>
      </c>
      <c r="E169" s="56" t="str">
        <f t="shared" si="21"/>
        <v>4400570050004</v>
      </c>
      <c r="F169" s="56" t="b">
        <f t="shared" si="24"/>
        <v>0</v>
      </c>
      <c r="G169" s="141">
        <f t="shared" si="25"/>
        <v>46022</v>
      </c>
      <c r="H169" s="106">
        <f>VLOOKUP( $A169, Aop!$A$2:$P$456, 4, 0)</f>
        <v>233</v>
      </c>
      <c r="I169" s="56">
        <f t="shared" si="22"/>
        <v>2025</v>
      </c>
      <c r="J169" s="56"/>
      <c r="K169" s="56"/>
      <c r="L169" s="56"/>
      <c r="M169" s="56" t="str">
        <f t="shared" ca="1" si="26"/>
        <v/>
      </c>
      <c r="N169" s="56">
        <f t="shared" ca="1" si="27"/>
        <v>445648</v>
      </c>
    </row>
    <row r="170" spans="1:14" x14ac:dyDescent="0.2">
      <c r="A170" s="106">
        <v>172</v>
      </c>
      <c r="B170" s="106" t="str">
        <f>VLOOKUP( $A170, Aop!$A$2:$P$456, 2, 0)</f>
        <v>BUa</v>
      </c>
      <c r="C170" s="56">
        <f t="shared" si="23"/>
        <v>4</v>
      </c>
      <c r="D170" s="56" t="str">
        <f t="shared" si="20"/>
        <v>01814788</v>
      </c>
      <c r="E170" s="56" t="str">
        <f t="shared" si="21"/>
        <v>4400570050004</v>
      </c>
      <c r="F170" s="56" t="b">
        <f t="shared" si="24"/>
        <v>0</v>
      </c>
      <c r="G170" s="141">
        <f t="shared" si="25"/>
        <v>46022</v>
      </c>
      <c r="H170" s="106">
        <f>VLOOKUP( $A170, Aop!$A$2:$P$456, 4, 0)</f>
        <v>234</v>
      </c>
      <c r="I170" s="56">
        <f t="shared" si="22"/>
        <v>2025</v>
      </c>
      <c r="J170" s="56"/>
      <c r="K170" s="56"/>
      <c r="L170" s="56"/>
      <c r="M170" s="56">
        <f t="shared" ca="1" si="26"/>
        <v>14</v>
      </c>
      <c r="N170" s="56">
        <f t="shared" ca="1" si="27"/>
        <v>3759526</v>
      </c>
    </row>
    <row r="171" spans="1:14" x14ac:dyDescent="0.2">
      <c r="A171" s="106">
        <v>173</v>
      </c>
      <c r="B171" s="106" t="str">
        <f>VLOOKUP( $A171, Aop!$A$2:$P$456, 2, 0)</f>
        <v>BUa</v>
      </c>
      <c r="C171" s="56">
        <f t="shared" si="23"/>
        <v>4</v>
      </c>
      <c r="D171" s="56" t="str">
        <f t="shared" si="20"/>
        <v>01814788</v>
      </c>
      <c r="E171" s="56" t="str">
        <f t="shared" si="21"/>
        <v>4400570050004</v>
      </c>
      <c r="F171" s="56" t="b">
        <f t="shared" si="24"/>
        <v>0</v>
      </c>
      <c r="G171" s="141">
        <f t="shared" si="25"/>
        <v>46022</v>
      </c>
      <c r="H171" s="106">
        <f>VLOOKUP( $A171, Aop!$A$2:$P$456, 4, 0)</f>
        <v>235</v>
      </c>
      <c r="I171" s="56">
        <f t="shared" si="22"/>
        <v>2025</v>
      </c>
      <c r="J171" s="56"/>
      <c r="K171" s="56"/>
      <c r="L171" s="56"/>
      <c r="M171" s="56">
        <f t="shared" ca="1" si="26"/>
        <v>15</v>
      </c>
      <c r="N171" s="56">
        <f t="shared" ca="1" si="27"/>
        <v>124988</v>
      </c>
    </row>
    <row r="172" spans="1:14" x14ac:dyDescent="0.2">
      <c r="A172" s="106">
        <v>174</v>
      </c>
      <c r="B172" s="56" t="str">
        <f>VLOOKUP( $A172, Aop!$A$2:$P$456, 2, 0)</f>
        <v>BUa</v>
      </c>
      <c r="C172" s="56">
        <f>ID_Izvjestaj</f>
        <v>4</v>
      </c>
      <c r="D172" s="56" t="str">
        <f>Podatak_MB</f>
        <v>01814788</v>
      </c>
      <c r="E172" s="56" t="str">
        <f>Podatak_JIB</f>
        <v>4400570050004</v>
      </c>
      <c r="F172" s="56" t="b">
        <f>Konsolidovan_izvjestaj</f>
        <v>0</v>
      </c>
      <c r="G172" s="141">
        <f>Datum_Broj</f>
        <v>46022</v>
      </c>
      <c r="H172" s="56">
        <f>VLOOKUP( $A172, Aop!$A$2:$P$456, 4, 0)</f>
        <v>236</v>
      </c>
      <c r="I172" s="56">
        <f>Godina</f>
        <v>2025</v>
      </c>
      <c r="J172" s="56"/>
      <c r="K172" s="56"/>
      <c r="L172" s="56"/>
      <c r="M172" s="56">
        <f t="shared" ca="1" si="26"/>
        <v>15</v>
      </c>
      <c r="N172" s="56">
        <f t="shared" ca="1" si="27"/>
        <v>137472</v>
      </c>
    </row>
    <row r="173" spans="1:14" x14ac:dyDescent="0.2">
      <c r="A173" s="106">
        <v>175</v>
      </c>
      <c r="B173" s="106" t="str">
        <f>VLOOKUP( $A173, Aop!$A$2:$P$456, 2, 0)</f>
        <v>BUa</v>
      </c>
      <c r="C173" s="56">
        <f t="shared" si="23"/>
        <v>4</v>
      </c>
      <c r="D173" s="56" t="str">
        <f t="shared" si="20"/>
        <v>01814788</v>
      </c>
      <c r="E173" s="56" t="str">
        <f t="shared" si="21"/>
        <v>4400570050004</v>
      </c>
      <c r="F173" s="56" t="b">
        <f t="shared" si="24"/>
        <v>0</v>
      </c>
      <c r="G173" s="141">
        <f t="shared" si="25"/>
        <v>46022</v>
      </c>
      <c r="H173" s="106">
        <f>VLOOKUP( $A173, Aop!$A$2:$P$456, 4, 0)</f>
        <v>237</v>
      </c>
      <c r="I173" s="56">
        <f t="shared" si="22"/>
        <v>2025</v>
      </c>
      <c r="J173" s="56"/>
      <c r="K173" s="56"/>
      <c r="L173" s="56"/>
      <c r="M173" s="56" t="str">
        <f t="shared" ca="1" si="26"/>
        <v/>
      </c>
      <c r="N173" s="56">
        <f t="shared" ca="1" si="27"/>
        <v>1483546</v>
      </c>
    </row>
    <row r="174" spans="1:14" x14ac:dyDescent="0.2">
      <c r="A174" s="106">
        <v>176</v>
      </c>
      <c r="B174" s="106" t="str">
        <f>VLOOKUP( $A174, Aop!$A$2:$P$456, 2, 0)</f>
        <v>BUa</v>
      </c>
      <c r="C174" s="56">
        <f t="shared" si="23"/>
        <v>4</v>
      </c>
      <c r="D174" s="56" t="str">
        <f t="shared" si="20"/>
        <v>01814788</v>
      </c>
      <c r="E174" s="56" t="str">
        <f t="shared" si="21"/>
        <v>4400570050004</v>
      </c>
      <c r="F174" s="56" t="b">
        <f t="shared" si="24"/>
        <v>0</v>
      </c>
      <c r="G174" s="141">
        <f t="shared" si="25"/>
        <v>46022</v>
      </c>
      <c r="H174" s="106">
        <f>VLOOKUP( $A174, Aop!$A$2:$P$456, 4, 0)</f>
        <v>238</v>
      </c>
      <c r="I174" s="56">
        <f t="shared" si="22"/>
        <v>2025</v>
      </c>
      <c r="J174" s="56"/>
      <c r="K174" s="56"/>
      <c r="L174" s="56"/>
      <c r="M174" s="56" t="str">
        <f t="shared" ca="1" si="26"/>
        <v/>
      </c>
      <c r="N174" s="56">
        <f t="shared" ca="1" si="27"/>
        <v>0</v>
      </c>
    </row>
    <row r="175" spans="1:14" x14ac:dyDescent="0.2">
      <c r="A175" s="106">
        <v>177</v>
      </c>
      <c r="B175" s="106" t="str">
        <f>VLOOKUP( $A175, Aop!$A$2:$P$456, 2, 0)</f>
        <v>BUa</v>
      </c>
      <c r="C175" s="56">
        <f t="shared" si="23"/>
        <v>4</v>
      </c>
      <c r="D175" s="56" t="str">
        <f t="shared" si="20"/>
        <v>01814788</v>
      </c>
      <c r="E175" s="56" t="str">
        <f t="shared" si="21"/>
        <v>4400570050004</v>
      </c>
      <c r="F175" s="56" t="b">
        <f t="shared" si="24"/>
        <v>0</v>
      </c>
      <c r="G175" s="141">
        <f t="shared" si="25"/>
        <v>46022</v>
      </c>
      <c r="H175" s="106">
        <f>VLOOKUP( $A175, Aop!$A$2:$P$456, 4, 0)</f>
        <v>239</v>
      </c>
      <c r="I175" s="56">
        <f t="shared" si="22"/>
        <v>2025</v>
      </c>
      <c r="J175" s="56"/>
      <c r="K175" s="56"/>
      <c r="L175" s="56"/>
      <c r="M175" s="56">
        <f t="shared" ca="1" si="26"/>
        <v>16</v>
      </c>
      <c r="N175" s="56">
        <f t="shared" ca="1" si="27"/>
        <v>103583</v>
      </c>
    </row>
    <row r="176" spans="1:14" x14ac:dyDescent="0.2">
      <c r="A176" s="106">
        <v>178</v>
      </c>
      <c r="B176" s="106" t="str">
        <f>VLOOKUP( $A176, Aop!$A$2:$P$456, 2, 0)</f>
        <v>BUa</v>
      </c>
      <c r="C176" s="56">
        <f t="shared" si="23"/>
        <v>4</v>
      </c>
      <c r="D176" s="56" t="str">
        <f t="shared" si="20"/>
        <v>01814788</v>
      </c>
      <c r="E176" s="56" t="str">
        <f t="shared" si="21"/>
        <v>4400570050004</v>
      </c>
      <c r="F176" s="56" t="b">
        <f t="shared" si="24"/>
        <v>0</v>
      </c>
      <c r="G176" s="141">
        <f t="shared" si="25"/>
        <v>46022</v>
      </c>
      <c r="H176" s="106">
        <f>VLOOKUP( $A176, Aop!$A$2:$P$456, 4, 0)</f>
        <v>240</v>
      </c>
      <c r="I176" s="56">
        <f t="shared" si="22"/>
        <v>2025</v>
      </c>
      <c r="J176" s="56"/>
      <c r="K176" s="56"/>
      <c r="L176" s="56"/>
      <c r="M176" s="56" t="str">
        <f t="shared" ca="1" si="26"/>
        <v/>
      </c>
      <c r="N176" s="56">
        <f t="shared" ca="1" si="27"/>
        <v>103575</v>
      </c>
    </row>
    <row r="177" spans="1:14" x14ac:dyDescent="0.2">
      <c r="A177" s="106">
        <v>179</v>
      </c>
      <c r="B177" s="106" t="str">
        <f>VLOOKUP( $A177, Aop!$A$2:$P$456, 2, 0)</f>
        <v>BUa</v>
      </c>
      <c r="C177" s="56">
        <f t="shared" si="23"/>
        <v>4</v>
      </c>
      <c r="D177" s="56" t="str">
        <f t="shared" si="20"/>
        <v>01814788</v>
      </c>
      <c r="E177" s="56" t="str">
        <f t="shared" si="21"/>
        <v>4400570050004</v>
      </c>
      <c r="F177" s="56" t="b">
        <f t="shared" si="24"/>
        <v>0</v>
      </c>
      <c r="G177" s="141">
        <f t="shared" si="25"/>
        <v>46022</v>
      </c>
      <c r="H177" s="106">
        <f>VLOOKUP( $A177, Aop!$A$2:$P$456, 4, 0)</f>
        <v>241</v>
      </c>
      <c r="I177" s="56">
        <f t="shared" si="22"/>
        <v>2025</v>
      </c>
      <c r="J177" s="56"/>
      <c r="K177" s="56"/>
      <c r="L177" s="56"/>
      <c r="M177" s="56" t="str">
        <f t="shared" ca="1" si="26"/>
        <v/>
      </c>
      <c r="N177" s="56" t="str">
        <f t="shared" ca="1" si="27"/>
        <v/>
      </c>
    </row>
    <row r="178" spans="1:14" x14ac:dyDescent="0.2">
      <c r="A178" s="106">
        <v>180</v>
      </c>
      <c r="B178" s="106" t="str">
        <f>VLOOKUP( $A178, Aop!$A$2:$P$456, 2, 0)</f>
        <v>BUa</v>
      </c>
      <c r="C178" s="56">
        <f t="shared" si="23"/>
        <v>4</v>
      </c>
      <c r="D178" s="56" t="str">
        <f t="shared" si="20"/>
        <v>01814788</v>
      </c>
      <c r="E178" s="56" t="str">
        <f t="shared" si="21"/>
        <v>4400570050004</v>
      </c>
      <c r="F178" s="56" t="b">
        <f t="shared" si="24"/>
        <v>0</v>
      </c>
      <c r="G178" s="141">
        <f t="shared" si="25"/>
        <v>46022</v>
      </c>
      <c r="H178" s="106">
        <f>VLOOKUP( $A178, Aop!$A$2:$P$456, 4, 0)</f>
        <v>242</v>
      </c>
      <c r="I178" s="56">
        <f t="shared" si="22"/>
        <v>2025</v>
      </c>
      <c r="J178" s="56"/>
      <c r="K178" s="56"/>
      <c r="L178" s="56"/>
      <c r="M178" s="56" t="str">
        <f t="shared" ca="1" si="26"/>
        <v/>
      </c>
      <c r="N178" s="56" t="str">
        <f t="shared" ca="1" si="27"/>
        <v/>
      </c>
    </row>
    <row r="179" spans="1:14" x14ac:dyDescent="0.2">
      <c r="A179" s="106">
        <v>181</v>
      </c>
      <c r="B179" s="106" t="str">
        <f>VLOOKUP( $A179, Aop!$A$2:$P$456, 2, 0)</f>
        <v>BUa</v>
      </c>
      <c r="C179" s="56">
        <f t="shared" si="23"/>
        <v>4</v>
      </c>
      <c r="D179" s="56" t="str">
        <f t="shared" si="20"/>
        <v>01814788</v>
      </c>
      <c r="E179" s="56" t="str">
        <f t="shared" si="21"/>
        <v>4400570050004</v>
      </c>
      <c r="F179" s="56" t="b">
        <f t="shared" si="24"/>
        <v>0</v>
      </c>
      <c r="G179" s="141">
        <f t="shared" si="25"/>
        <v>46022</v>
      </c>
      <c r="H179" s="106">
        <f>VLOOKUP( $A179, Aop!$A$2:$P$456, 4, 0)</f>
        <v>243</v>
      </c>
      <c r="I179" s="56">
        <f t="shared" si="22"/>
        <v>2025</v>
      </c>
      <c r="J179" s="56"/>
      <c r="K179" s="56"/>
      <c r="L179" s="56"/>
      <c r="M179" s="56" t="str">
        <f t="shared" ca="1" si="26"/>
        <v/>
      </c>
      <c r="N179" s="56">
        <f t="shared" ca="1" si="27"/>
        <v>8</v>
      </c>
    </row>
    <row r="180" spans="1:14" x14ac:dyDescent="0.2">
      <c r="A180" s="106">
        <v>183</v>
      </c>
      <c r="B180" s="106" t="str">
        <f>VLOOKUP( $A180, Aop!$A$2:$P$456, 2, 0)</f>
        <v>BUa</v>
      </c>
      <c r="C180" s="56">
        <f t="shared" si="23"/>
        <v>4</v>
      </c>
      <c r="D180" s="56" t="str">
        <f t="shared" si="20"/>
        <v>01814788</v>
      </c>
      <c r="E180" s="56" t="str">
        <f t="shared" si="21"/>
        <v>4400570050004</v>
      </c>
      <c r="F180" s="56" t="b">
        <f t="shared" si="24"/>
        <v>0</v>
      </c>
      <c r="G180" s="141">
        <f t="shared" si="25"/>
        <v>46022</v>
      </c>
      <c r="H180" s="106">
        <f>VLOOKUP( $A180, Aop!$A$2:$P$456, 4, 0)</f>
        <v>245</v>
      </c>
      <c r="I180" s="56">
        <f t="shared" si="22"/>
        <v>2025</v>
      </c>
      <c r="J180" s="56"/>
      <c r="K180" s="56"/>
      <c r="L180" s="56"/>
      <c r="M180" s="56" t="str">
        <f t="shared" ca="1" si="26"/>
        <v/>
      </c>
      <c r="N180" s="56">
        <f t="shared" ca="1" si="27"/>
        <v>898945</v>
      </c>
    </row>
    <row r="181" spans="1:14" x14ac:dyDescent="0.2">
      <c r="A181" s="106">
        <v>184</v>
      </c>
      <c r="B181" s="106" t="str">
        <f>VLOOKUP( $A181, Aop!$A$2:$P$456, 2, 0)</f>
        <v>BUa</v>
      </c>
      <c r="C181" s="56">
        <f t="shared" si="23"/>
        <v>4</v>
      </c>
      <c r="D181" s="56" t="str">
        <f t="shared" si="20"/>
        <v>01814788</v>
      </c>
      <c r="E181" s="56" t="str">
        <f t="shared" si="21"/>
        <v>4400570050004</v>
      </c>
      <c r="F181" s="56" t="b">
        <f t="shared" si="24"/>
        <v>0</v>
      </c>
      <c r="G181" s="141">
        <f t="shared" si="25"/>
        <v>46022</v>
      </c>
      <c r="H181" s="106">
        <f>VLOOKUP( $A181, Aop!$A$2:$P$456, 4, 0)</f>
        <v>246</v>
      </c>
      <c r="I181" s="56">
        <f t="shared" si="22"/>
        <v>2025</v>
      </c>
      <c r="J181" s="56"/>
      <c r="K181" s="56"/>
      <c r="L181" s="56"/>
      <c r="M181" s="56" t="str">
        <f t="shared" ca="1" si="26"/>
        <v/>
      </c>
      <c r="N181" s="56" t="str">
        <f t="shared" ca="1" si="27"/>
        <v/>
      </c>
    </row>
    <row r="182" spans="1:14" x14ac:dyDescent="0.2">
      <c r="A182" s="106">
        <v>185</v>
      </c>
      <c r="B182" s="106" t="str">
        <f>VLOOKUP( $A182, Aop!$A$2:$P$456, 2, 0)</f>
        <v>BUa</v>
      </c>
      <c r="C182" s="56">
        <f t="shared" si="23"/>
        <v>4</v>
      </c>
      <c r="D182" s="56" t="str">
        <f t="shared" si="20"/>
        <v>01814788</v>
      </c>
      <c r="E182" s="56" t="str">
        <f t="shared" si="21"/>
        <v>4400570050004</v>
      </c>
      <c r="F182" s="56" t="b">
        <f t="shared" si="24"/>
        <v>0</v>
      </c>
      <c r="G182" s="141">
        <f t="shared" si="25"/>
        <v>46022</v>
      </c>
      <c r="H182" s="106">
        <f>VLOOKUP( $A182, Aop!$A$2:$P$456, 4, 0)</f>
        <v>247</v>
      </c>
      <c r="I182" s="56">
        <f t="shared" si="22"/>
        <v>2025</v>
      </c>
      <c r="J182" s="56"/>
      <c r="K182" s="56"/>
      <c r="L182" s="56"/>
      <c r="M182" s="56" t="str">
        <f t="shared" ca="1" si="26"/>
        <v/>
      </c>
      <c r="N182" s="56" t="str">
        <f t="shared" ca="1" si="27"/>
        <v/>
      </c>
    </row>
    <row r="183" spans="1:14" x14ac:dyDescent="0.2">
      <c r="A183" s="106">
        <v>186</v>
      </c>
      <c r="B183" s="106" t="str">
        <f>VLOOKUP( $A183, Aop!$A$2:$P$456, 2, 0)</f>
        <v>BUa</v>
      </c>
      <c r="C183" s="56">
        <f t="shared" si="23"/>
        <v>4</v>
      </c>
      <c r="D183" s="56" t="str">
        <f t="shared" si="20"/>
        <v>01814788</v>
      </c>
      <c r="E183" s="56" t="str">
        <f t="shared" si="21"/>
        <v>4400570050004</v>
      </c>
      <c r="F183" s="56" t="b">
        <f t="shared" si="24"/>
        <v>0</v>
      </c>
      <c r="G183" s="141">
        <f t="shared" si="25"/>
        <v>46022</v>
      </c>
      <c r="H183" s="106">
        <f>VLOOKUP( $A183, Aop!$A$2:$P$456, 4, 0)</f>
        <v>248</v>
      </c>
      <c r="I183" s="56">
        <f t="shared" si="22"/>
        <v>2025</v>
      </c>
      <c r="J183" s="56"/>
      <c r="K183" s="56"/>
      <c r="L183" s="56"/>
      <c r="M183" s="56" t="str">
        <f t="shared" ca="1" si="26"/>
        <v/>
      </c>
      <c r="N183" s="56">
        <f t="shared" ca="1" si="27"/>
        <v>6</v>
      </c>
    </row>
    <row r="184" spans="1:14" x14ac:dyDescent="0.2">
      <c r="A184" s="106">
        <v>187</v>
      </c>
      <c r="B184" s="106" t="str">
        <f>VLOOKUP( $A184, Aop!$A$2:$P$456, 2, 0)</f>
        <v>BUa</v>
      </c>
      <c r="C184" s="56">
        <f t="shared" si="23"/>
        <v>4</v>
      </c>
      <c r="D184" s="56" t="str">
        <f t="shared" si="20"/>
        <v>01814788</v>
      </c>
      <c r="E184" s="56" t="str">
        <f t="shared" si="21"/>
        <v>4400570050004</v>
      </c>
      <c r="F184" s="56" t="b">
        <f t="shared" si="24"/>
        <v>0</v>
      </c>
      <c r="G184" s="141">
        <f t="shared" si="25"/>
        <v>46022</v>
      </c>
      <c r="H184" s="106">
        <f>VLOOKUP( $A184, Aop!$A$2:$P$456, 4, 0)</f>
        <v>249</v>
      </c>
      <c r="I184" s="56">
        <f t="shared" si="22"/>
        <v>2025</v>
      </c>
      <c r="J184" s="56"/>
      <c r="K184" s="56"/>
      <c r="L184" s="56"/>
      <c r="M184" s="56" t="str">
        <f t="shared" ca="1" si="26"/>
        <v/>
      </c>
      <c r="N184" s="56">
        <f t="shared" ca="1" si="27"/>
        <v>688178</v>
      </c>
    </row>
    <row r="185" spans="1:14" x14ac:dyDescent="0.2">
      <c r="A185" s="106">
        <v>188</v>
      </c>
      <c r="B185" s="106" t="str">
        <f>VLOOKUP( $A185, Aop!$A$2:$P$456, 2, 0)</f>
        <v>BUa</v>
      </c>
      <c r="C185" s="56">
        <f t="shared" si="23"/>
        <v>4</v>
      </c>
      <c r="D185" s="56" t="str">
        <f t="shared" si="20"/>
        <v>01814788</v>
      </c>
      <c r="E185" s="56" t="str">
        <f t="shared" si="21"/>
        <v>4400570050004</v>
      </c>
      <c r="F185" s="56" t="b">
        <f t="shared" si="24"/>
        <v>0</v>
      </c>
      <c r="G185" s="141">
        <f t="shared" si="25"/>
        <v>46022</v>
      </c>
      <c r="H185" s="106">
        <f>VLOOKUP( $A185, Aop!$A$2:$P$456, 4, 0)</f>
        <v>250</v>
      </c>
      <c r="I185" s="56">
        <f t="shared" si="22"/>
        <v>2025</v>
      </c>
      <c r="J185" s="56"/>
      <c r="K185" s="56"/>
      <c r="L185" s="56"/>
      <c r="M185" s="56" t="str">
        <f t="shared" ca="1" si="26"/>
        <v/>
      </c>
      <c r="N185" s="56">
        <f t="shared" ca="1" si="27"/>
        <v>0</v>
      </c>
    </row>
    <row r="186" spans="1:14" x14ac:dyDescent="0.2">
      <c r="A186" s="106">
        <v>189</v>
      </c>
      <c r="B186" s="106" t="str">
        <f>VLOOKUP( $A186, Aop!$A$2:$P$456, 2, 0)</f>
        <v>BUa</v>
      </c>
      <c r="C186" s="56">
        <f t="shared" si="23"/>
        <v>4</v>
      </c>
      <c r="D186" s="56" t="str">
        <f t="shared" si="20"/>
        <v>01814788</v>
      </c>
      <c r="E186" s="56" t="str">
        <f t="shared" si="21"/>
        <v>4400570050004</v>
      </c>
      <c r="F186" s="56" t="b">
        <f t="shared" si="24"/>
        <v>0</v>
      </c>
      <c r="G186" s="141">
        <f t="shared" si="25"/>
        <v>46022</v>
      </c>
      <c r="H186" s="106">
        <f>VLOOKUP( $A186, Aop!$A$2:$P$456, 4, 0)</f>
        <v>251</v>
      </c>
      <c r="I186" s="56">
        <f t="shared" si="22"/>
        <v>2025</v>
      </c>
      <c r="J186" s="56"/>
      <c r="K186" s="56"/>
      <c r="L186" s="56"/>
      <c r="M186" s="56">
        <f t="shared" ca="1" si="26"/>
        <v>17</v>
      </c>
      <c r="N186" s="56">
        <f t="shared" ca="1" si="27"/>
        <v>224212</v>
      </c>
    </row>
    <row r="187" spans="1:14" x14ac:dyDescent="0.2">
      <c r="A187" s="106">
        <v>190</v>
      </c>
      <c r="B187" s="106" t="str">
        <f>VLOOKUP( $A187, Aop!$A$2:$P$456, 2, 0)</f>
        <v>BUa</v>
      </c>
      <c r="C187" s="56">
        <f t="shared" si="23"/>
        <v>4</v>
      </c>
      <c r="D187" s="56" t="str">
        <f t="shared" si="20"/>
        <v>01814788</v>
      </c>
      <c r="E187" s="56" t="str">
        <f t="shared" si="21"/>
        <v>4400570050004</v>
      </c>
      <c r="F187" s="56" t="b">
        <f t="shared" si="24"/>
        <v>0</v>
      </c>
      <c r="G187" s="141">
        <f t="shared" si="25"/>
        <v>46022</v>
      </c>
      <c r="H187" s="106">
        <f>VLOOKUP( $A187, Aop!$A$2:$P$456, 4, 0)</f>
        <v>252</v>
      </c>
      <c r="I187" s="56">
        <f t="shared" si="22"/>
        <v>2025</v>
      </c>
      <c r="J187" s="56"/>
      <c r="K187" s="56"/>
      <c r="L187" s="56"/>
      <c r="M187" s="56" t="str">
        <f t="shared" ca="1" si="26"/>
        <v/>
      </c>
      <c r="N187" s="56" t="str">
        <f t="shared" ca="1" si="27"/>
        <v/>
      </c>
    </row>
    <row r="188" spans="1:14" x14ac:dyDescent="0.2">
      <c r="A188" s="106">
        <v>191</v>
      </c>
      <c r="B188" s="106" t="str">
        <f>VLOOKUP( $A188, Aop!$A$2:$P$456, 2, 0)</f>
        <v>BUa</v>
      </c>
      <c r="C188" s="56">
        <f t="shared" si="23"/>
        <v>4</v>
      </c>
      <c r="D188" s="56" t="str">
        <f t="shared" si="20"/>
        <v>01814788</v>
      </c>
      <c r="E188" s="56" t="str">
        <f t="shared" si="21"/>
        <v>4400570050004</v>
      </c>
      <c r="F188" s="56" t="b">
        <f t="shared" si="24"/>
        <v>0</v>
      </c>
      <c r="G188" s="141">
        <f t="shared" si="25"/>
        <v>46022</v>
      </c>
      <c r="H188" s="106">
        <f>VLOOKUP( $A188, Aop!$A$2:$P$456, 4, 0)</f>
        <v>253</v>
      </c>
      <c r="I188" s="56">
        <f t="shared" si="22"/>
        <v>2025</v>
      </c>
      <c r="J188" s="56"/>
      <c r="K188" s="56"/>
      <c r="L188" s="56"/>
      <c r="M188" s="56" t="str">
        <f t="shared" ca="1" si="26"/>
        <v/>
      </c>
      <c r="N188" s="56" t="str">
        <f t="shared" ca="1" si="27"/>
        <v/>
      </c>
    </row>
    <row r="189" spans="1:14" x14ac:dyDescent="0.2">
      <c r="A189" s="106">
        <v>192</v>
      </c>
      <c r="B189" s="106" t="str">
        <f>VLOOKUP( $A189, Aop!$A$2:$P$456, 2, 0)</f>
        <v>BUa</v>
      </c>
      <c r="C189" s="56">
        <f t="shared" si="23"/>
        <v>4</v>
      </c>
      <c r="D189" s="56" t="str">
        <f t="shared" si="20"/>
        <v>01814788</v>
      </c>
      <c r="E189" s="56" t="str">
        <f t="shared" si="21"/>
        <v>4400570050004</v>
      </c>
      <c r="F189" s="56" t="b">
        <f t="shared" si="24"/>
        <v>0</v>
      </c>
      <c r="G189" s="141">
        <f t="shared" si="25"/>
        <v>46022</v>
      </c>
      <c r="H189" s="106">
        <f>VLOOKUP( $A189, Aop!$A$2:$P$456, 4, 0)</f>
        <v>254</v>
      </c>
      <c r="I189" s="56">
        <f t="shared" si="22"/>
        <v>2025</v>
      </c>
      <c r="J189" s="56"/>
      <c r="K189" s="56"/>
      <c r="L189" s="56"/>
      <c r="M189" s="56" t="str">
        <f t="shared" ca="1" si="26"/>
        <v/>
      </c>
      <c r="N189" s="56" t="str">
        <f t="shared" ca="1" si="27"/>
        <v/>
      </c>
    </row>
    <row r="190" spans="1:14" x14ac:dyDescent="0.2">
      <c r="A190" s="106">
        <v>193</v>
      </c>
      <c r="B190" s="106" t="str">
        <f>VLOOKUP( $A190, Aop!$A$2:$P$456, 2, 0)</f>
        <v>BUa</v>
      </c>
      <c r="C190" s="56">
        <f t="shared" si="23"/>
        <v>4</v>
      </c>
      <c r="D190" s="56" t="str">
        <f t="shared" ref="D190:D251" si="28">Podatak_MB</f>
        <v>01814788</v>
      </c>
      <c r="E190" s="56" t="str">
        <f t="shared" ref="E190:E251" si="29">Podatak_JIB</f>
        <v>4400570050004</v>
      </c>
      <c r="F190" s="56" t="b">
        <f t="shared" si="24"/>
        <v>0</v>
      </c>
      <c r="G190" s="141">
        <f t="shared" si="25"/>
        <v>46022</v>
      </c>
      <c r="H190" s="106">
        <f>VLOOKUP( $A190, Aop!$A$2:$P$456, 4, 0)</f>
        <v>255</v>
      </c>
      <c r="I190" s="56">
        <f t="shared" ref="I190:I251" si="30">Godina</f>
        <v>2025</v>
      </c>
      <c r="J190" s="56"/>
      <c r="K190" s="56"/>
      <c r="L190" s="56"/>
      <c r="M190" s="56" t="str">
        <f t="shared" ca="1" si="26"/>
        <v/>
      </c>
      <c r="N190" s="56" t="str">
        <f t="shared" ca="1" si="27"/>
        <v/>
      </c>
    </row>
    <row r="191" spans="1:14" x14ac:dyDescent="0.2">
      <c r="A191" s="106">
        <v>194</v>
      </c>
      <c r="B191" s="106" t="str">
        <f>VLOOKUP( $A191, Aop!$A$2:$P$456, 2, 0)</f>
        <v>BUa</v>
      </c>
      <c r="C191" s="56">
        <f t="shared" ref="C191:C252" si="31">ID_Izvjestaj</f>
        <v>4</v>
      </c>
      <c r="D191" s="56" t="str">
        <f t="shared" si="28"/>
        <v>01814788</v>
      </c>
      <c r="E191" s="56" t="str">
        <f t="shared" si="29"/>
        <v>4400570050004</v>
      </c>
      <c r="F191" s="56" t="b">
        <f t="shared" ref="F191:F252" si="32">Konsolidovan_izvjestaj</f>
        <v>0</v>
      </c>
      <c r="G191" s="141">
        <f t="shared" ref="G191:G252" si="33">Datum_Broj</f>
        <v>46022</v>
      </c>
      <c r="H191" s="106">
        <f>VLOOKUP( $A191, Aop!$A$2:$P$456, 4, 0)</f>
        <v>256</v>
      </c>
      <c r="I191" s="56">
        <f t="shared" si="30"/>
        <v>2025</v>
      </c>
      <c r="J191" s="56"/>
      <c r="K191" s="56"/>
      <c r="L191" s="56"/>
      <c r="M191" s="56" t="str">
        <f t="shared" ca="1" si="26"/>
        <v/>
      </c>
      <c r="N191" s="56" t="str">
        <f t="shared" ca="1" si="27"/>
        <v/>
      </c>
    </row>
    <row r="192" spans="1:14" x14ac:dyDescent="0.2">
      <c r="A192" s="106">
        <v>195</v>
      </c>
      <c r="B192" s="106" t="str">
        <f>VLOOKUP( $A192, Aop!$A$2:$P$456, 2, 0)</f>
        <v>BUa</v>
      </c>
      <c r="C192" s="56">
        <f t="shared" si="31"/>
        <v>4</v>
      </c>
      <c r="D192" s="56" t="str">
        <f t="shared" si="28"/>
        <v>01814788</v>
      </c>
      <c r="E192" s="56" t="str">
        <f t="shared" si="29"/>
        <v>4400570050004</v>
      </c>
      <c r="F192" s="56" t="b">
        <f t="shared" si="32"/>
        <v>0</v>
      </c>
      <c r="G192" s="141">
        <f t="shared" si="33"/>
        <v>46022</v>
      </c>
      <c r="H192" s="106">
        <f>VLOOKUP( $A192, Aop!$A$2:$P$456, 4, 0)</f>
        <v>257</v>
      </c>
      <c r="I192" s="56">
        <f t="shared" si="30"/>
        <v>2025</v>
      </c>
      <c r="J192" s="56"/>
      <c r="K192" s="56"/>
      <c r="L192" s="56"/>
      <c r="M192" s="56" t="str">
        <f t="shared" ca="1" si="26"/>
        <v/>
      </c>
      <c r="N192" s="56" t="str">
        <f t="shared" ca="1" si="27"/>
        <v/>
      </c>
    </row>
    <row r="193" spans="1:14" x14ac:dyDescent="0.2">
      <c r="A193" s="106">
        <v>196</v>
      </c>
      <c r="B193" s="106" t="str">
        <f>VLOOKUP( $A193, Aop!$A$2:$P$456, 2, 0)</f>
        <v>BUa</v>
      </c>
      <c r="C193" s="56">
        <f t="shared" si="31"/>
        <v>4</v>
      </c>
      <c r="D193" s="56" t="str">
        <f t="shared" si="28"/>
        <v>01814788</v>
      </c>
      <c r="E193" s="56" t="str">
        <f t="shared" si="29"/>
        <v>4400570050004</v>
      </c>
      <c r="F193" s="56" t="b">
        <f t="shared" si="32"/>
        <v>0</v>
      </c>
      <c r="G193" s="141">
        <f t="shared" si="33"/>
        <v>46022</v>
      </c>
      <c r="H193" s="106">
        <f>VLOOKUP( $A193, Aop!$A$2:$P$456, 4, 0)</f>
        <v>258</v>
      </c>
      <c r="I193" s="56">
        <f t="shared" si="30"/>
        <v>2025</v>
      </c>
      <c r="J193" s="56"/>
      <c r="K193" s="56"/>
      <c r="L193" s="56"/>
      <c r="M193" s="56" t="str">
        <f t="shared" ca="1" si="26"/>
        <v/>
      </c>
      <c r="N193" s="56">
        <f t="shared" ca="1" si="27"/>
        <v>764</v>
      </c>
    </row>
    <row r="194" spans="1:14" x14ac:dyDescent="0.2">
      <c r="A194" s="106">
        <v>197</v>
      </c>
      <c r="B194" s="106" t="str">
        <f>VLOOKUP( $A194, Aop!$A$2:$P$456, 2, 0)</f>
        <v>BUa</v>
      </c>
      <c r="C194" s="56">
        <f t="shared" si="31"/>
        <v>4</v>
      </c>
      <c r="D194" s="56" t="str">
        <f t="shared" si="28"/>
        <v>01814788</v>
      </c>
      <c r="E194" s="56" t="str">
        <f t="shared" si="29"/>
        <v>4400570050004</v>
      </c>
      <c r="F194" s="56" t="b">
        <f t="shared" si="32"/>
        <v>0</v>
      </c>
      <c r="G194" s="141">
        <f t="shared" si="33"/>
        <v>46022</v>
      </c>
      <c r="H194" s="106">
        <f>VLOOKUP( $A194, Aop!$A$2:$P$456, 4, 0)</f>
        <v>259</v>
      </c>
      <c r="I194" s="56">
        <f t="shared" si="30"/>
        <v>2025</v>
      </c>
      <c r="J194" s="56"/>
      <c r="K194" s="56"/>
      <c r="L194" s="56"/>
      <c r="M194" s="56" t="str">
        <f t="shared" ca="1" si="26"/>
        <v/>
      </c>
      <c r="N194" s="56">
        <f t="shared" ca="1" si="27"/>
        <v>223448</v>
      </c>
    </row>
    <row r="195" spans="1:14" x14ac:dyDescent="0.2">
      <c r="A195" s="106">
        <v>198</v>
      </c>
      <c r="B195" s="56" t="str">
        <f>VLOOKUP( $A195, Aop!$A$2:$P$456, 2, 0)</f>
        <v>BUa</v>
      </c>
      <c r="C195" s="56">
        <f>ID_Izvjestaj</f>
        <v>4</v>
      </c>
      <c r="D195" s="56" t="str">
        <f>Podatak_MB</f>
        <v>01814788</v>
      </c>
      <c r="E195" s="56" t="str">
        <f>Podatak_JIB</f>
        <v>4400570050004</v>
      </c>
      <c r="F195" s="56" t="b">
        <f>Konsolidovan_izvjestaj</f>
        <v>0</v>
      </c>
      <c r="G195" s="141">
        <f>Datum_Broj</f>
        <v>46022</v>
      </c>
      <c r="H195" s="56">
        <f>VLOOKUP( $A195, Aop!$A$2:$P$456, 4, 0)</f>
        <v>260</v>
      </c>
      <c r="I195" s="56">
        <f>Godina</f>
        <v>2025</v>
      </c>
      <c r="J195" s="56"/>
      <c r="K195" s="56"/>
      <c r="L195" s="56"/>
      <c r="M195" s="56" t="str">
        <f t="shared" ref="M195:M258" ca="1" si="34">IF( VLOOKUP( $H195, INDIRECT( "Lookup_" &amp; $B195), IF( LEFT( $B195, 2) = "BS", S$2, S$1), 0) = "", "", VLOOKUP( $H195, INDIRECT( "Lookup_" &amp; $B195), IF( LEFT( $B195, 2) = "BS", S$2, S$1), 0))</f>
        <v/>
      </c>
      <c r="N195" s="56" t="str">
        <f t="shared" ref="N195:N258" ca="1" si="35">IF( VLOOKUP( $H195, INDIRECT( "Lookup_" &amp; $B195), IF( LEFT( $B195, 2) = "BS", T$2, T$1), 0) = "", "", VLOOKUP( $H195, INDIRECT( "Lookup_" &amp; $B195), IF( LEFT( $B195, 2) = "BS", T$2, T$1), 0))</f>
        <v/>
      </c>
    </row>
    <row r="196" spans="1:14" x14ac:dyDescent="0.2">
      <c r="A196" s="106">
        <v>199</v>
      </c>
      <c r="B196" s="106" t="str">
        <f>VLOOKUP( $A196, Aop!$A$2:$P$456, 2, 0)</f>
        <v>BUa</v>
      </c>
      <c r="C196" s="56">
        <f t="shared" si="31"/>
        <v>4</v>
      </c>
      <c r="D196" s="56" t="str">
        <f t="shared" si="28"/>
        <v>01814788</v>
      </c>
      <c r="E196" s="56" t="str">
        <f t="shared" si="29"/>
        <v>4400570050004</v>
      </c>
      <c r="F196" s="56" t="b">
        <f t="shared" si="32"/>
        <v>0</v>
      </c>
      <c r="G196" s="141">
        <f t="shared" si="33"/>
        <v>46022</v>
      </c>
      <c r="H196" s="106">
        <f>VLOOKUP( $A196, Aop!$A$2:$P$456, 4, 0)</f>
        <v>261</v>
      </c>
      <c r="I196" s="56">
        <f t="shared" si="30"/>
        <v>2025</v>
      </c>
      <c r="J196" s="56"/>
      <c r="K196" s="56"/>
      <c r="L196" s="56"/>
      <c r="M196" s="56">
        <f t="shared" ca="1" si="34"/>
        <v>18</v>
      </c>
      <c r="N196" s="56">
        <f t="shared" ca="1" si="35"/>
        <v>88088</v>
      </c>
    </row>
    <row r="197" spans="1:14" x14ac:dyDescent="0.2">
      <c r="A197" s="106">
        <v>200</v>
      </c>
      <c r="B197" s="106" t="str">
        <f>VLOOKUP( $A197, Aop!$A$2:$P$456, 2, 0)</f>
        <v>BUa</v>
      </c>
      <c r="C197" s="56">
        <f t="shared" si="31"/>
        <v>4</v>
      </c>
      <c r="D197" s="56" t="str">
        <f t="shared" si="28"/>
        <v>01814788</v>
      </c>
      <c r="E197" s="56" t="str">
        <f t="shared" si="29"/>
        <v>4400570050004</v>
      </c>
      <c r="F197" s="56" t="b">
        <f t="shared" si="32"/>
        <v>0</v>
      </c>
      <c r="G197" s="141">
        <f t="shared" si="33"/>
        <v>46022</v>
      </c>
      <c r="H197" s="106">
        <f>VLOOKUP( $A197, Aop!$A$2:$P$456, 4, 0)</f>
        <v>262</v>
      </c>
      <c r="I197" s="56">
        <f t="shared" si="30"/>
        <v>2025</v>
      </c>
      <c r="J197" s="56"/>
      <c r="K197" s="56"/>
      <c r="L197" s="56"/>
      <c r="M197" s="56" t="str">
        <f t="shared" ca="1" si="34"/>
        <v/>
      </c>
      <c r="N197" s="56">
        <f t="shared" ca="1" si="35"/>
        <v>31661</v>
      </c>
    </row>
    <row r="198" spans="1:14" x14ac:dyDescent="0.2">
      <c r="A198" s="106">
        <v>201</v>
      </c>
      <c r="B198" s="106" t="str">
        <f>VLOOKUP( $A198, Aop!$A$2:$P$456, 2, 0)</f>
        <v>BUa</v>
      </c>
      <c r="C198" s="56">
        <f t="shared" si="31"/>
        <v>4</v>
      </c>
      <c r="D198" s="56" t="str">
        <f t="shared" si="28"/>
        <v>01814788</v>
      </c>
      <c r="E198" s="56" t="str">
        <f t="shared" si="29"/>
        <v>4400570050004</v>
      </c>
      <c r="F198" s="56" t="b">
        <f t="shared" si="32"/>
        <v>0</v>
      </c>
      <c r="G198" s="141">
        <f t="shared" si="33"/>
        <v>46022</v>
      </c>
      <c r="H198" s="106">
        <f>VLOOKUP( $A198, Aop!$A$2:$P$456, 4, 0)</f>
        <v>263</v>
      </c>
      <c r="I198" s="56">
        <f t="shared" si="30"/>
        <v>2025</v>
      </c>
      <c r="J198" s="56"/>
      <c r="K198" s="56"/>
      <c r="L198" s="56"/>
      <c r="M198" s="56" t="str">
        <f t="shared" ca="1" si="34"/>
        <v/>
      </c>
      <c r="N198" s="56" t="str">
        <f t="shared" ca="1" si="35"/>
        <v/>
      </c>
    </row>
    <row r="199" spans="1:14" x14ac:dyDescent="0.2">
      <c r="A199" s="106">
        <v>202</v>
      </c>
      <c r="B199" s="106" t="str">
        <f>VLOOKUP( $A199, Aop!$A$2:$P$456, 2, 0)</f>
        <v>BUa</v>
      </c>
      <c r="C199" s="56">
        <f t="shared" si="31"/>
        <v>4</v>
      </c>
      <c r="D199" s="56" t="str">
        <f t="shared" si="28"/>
        <v>01814788</v>
      </c>
      <c r="E199" s="56" t="str">
        <f t="shared" si="29"/>
        <v>4400570050004</v>
      </c>
      <c r="F199" s="56" t="b">
        <f t="shared" si="32"/>
        <v>0</v>
      </c>
      <c r="G199" s="141">
        <f t="shared" si="33"/>
        <v>46022</v>
      </c>
      <c r="H199" s="106">
        <f>VLOOKUP( $A199, Aop!$A$2:$P$456, 4, 0)</f>
        <v>264</v>
      </c>
      <c r="I199" s="56">
        <f t="shared" si="30"/>
        <v>2025</v>
      </c>
      <c r="J199" s="56"/>
      <c r="K199" s="56"/>
      <c r="L199" s="56"/>
      <c r="M199" s="56" t="str">
        <f t="shared" ca="1" si="34"/>
        <v/>
      </c>
      <c r="N199" s="56" t="str">
        <f t="shared" ca="1" si="35"/>
        <v/>
      </c>
    </row>
    <row r="200" spans="1:14" x14ac:dyDescent="0.2">
      <c r="A200" s="106">
        <v>203</v>
      </c>
      <c r="B200" s="106" t="str">
        <f>VLOOKUP( $A200, Aop!$A$2:$P$456, 2, 0)</f>
        <v>BUa</v>
      </c>
      <c r="C200" s="56">
        <f t="shared" si="31"/>
        <v>4</v>
      </c>
      <c r="D200" s="56" t="str">
        <f t="shared" si="28"/>
        <v>01814788</v>
      </c>
      <c r="E200" s="56" t="str">
        <f t="shared" si="29"/>
        <v>4400570050004</v>
      </c>
      <c r="F200" s="56" t="b">
        <f t="shared" si="32"/>
        <v>0</v>
      </c>
      <c r="G200" s="141">
        <f t="shared" si="33"/>
        <v>46022</v>
      </c>
      <c r="H200" s="106">
        <f>VLOOKUP( $A200, Aop!$A$2:$P$456, 4, 0)</f>
        <v>265</v>
      </c>
      <c r="I200" s="56">
        <f t="shared" si="30"/>
        <v>2025</v>
      </c>
      <c r="J200" s="56"/>
      <c r="K200" s="56"/>
      <c r="L200" s="56"/>
      <c r="M200" s="56" t="str">
        <f t="shared" ca="1" si="34"/>
        <v/>
      </c>
      <c r="N200" s="56" t="str">
        <f t="shared" ca="1" si="35"/>
        <v/>
      </c>
    </row>
    <row r="201" spans="1:14" x14ac:dyDescent="0.2">
      <c r="A201" s="106">
        <v>204</v>
      </c>
      <c r="B201" s="106" t="str">
        <f>VLOOKUP( $A201, Aop!$A$2:$P$456, 2, 0)</f>
        <v>BUa</v>
      </c>
      <c r="C201" s="56">
        <f t="shared" si="31"/>
        <v>4</v>
      </c>
      <c r="D201" s="56" t="str">
        <f t="shared" si="28"/>
        <v>01814788</v>
      </c>
      <c r="E201" s="56" t="str">
        <f t="shared" si="29"/>
        <v>4400570050004</v>
      </c>
      <c r="F201" s="56" t="b">
        <f t="shared" si="32"/>
        <v>0</v>
      </c>
      <c r="G201" s="141">
        <f t="shared" si="33"/>
        <v>46022</v>
      </c>
      <c r="H201" s="106">
        <f>VLOOKUP( $A201, Aop!$A$2:$P$456, 4, 0)</f>
        <v>266</v>
      </c>
      <c r="I201" s="56">
        <f t="shared" si="30"/>
        <v>2025</v>
      </c>
      <c r="J201" s="56"/>
      <c r="K201" s="56"/>
      <c r="L201" s="56"/>
      <c r="M201" s="56" t="str">
        <f t="shared" ca="1" si="34"/>
        <v/>
      </c>
      <c r="N201" s="56" t="str">
        <f t="shared" ca="1" si="35"/>
        <v/>
      </c>
    </row>
    <row r="202" spans="1:14" x14ac:dyDescent="0.2">
      <c r="A202" s="106">
        <v>205</v>
      </c>
      <c r="B202" s="106" t="str">
        <f>VLOOKUP( $A202, Aop!$A$2:$P$456, 2, 0)</f>
        <v>BUa</v>
      </c>
      <c r="C202" s="56">
        <f t="shared" si="31"/>
        <v>4</v>
      </c>
      <c r="D202" s="56" t="str">
        <f t="shared" si="28"/>
        <v>01814788</v>
      </c>
      <c r="E202" s="56" t="str">
        <f t="shared" si="29"/>
        <v>4400570050004</v>
      </c>
      <c r="F202" s="56" t="b">
        <f t="shared" si="32"/>
        <v>0</v>
      </c>
      <c r="G202" s="141">
        <f t="shared" si="33"/>
        <v>46022</v>
      </c>
      <c r="H202" s="106">
        <f>VLOOKUP( $A202, Aop!$A$2:$P$456, 4, 0)</f>
        <v>267</v>
      </c>
      <c r="I202" s="56">
        <f t="shared" si="30"/>
        <v>2025</v>
      </c>
      <c r="J202" s="56"/>
      <c r="K202" s="56"/>
      <c r="L202" s="56"/>
      <c r="M202" s="56" t="str">
        <f t="shared" ca="1" si="34"/>
        <v/>
      </c>
      <c r="N202" s="56" t="str">
        <f t="shared" ca="1" si="35"/>
        <v/>
      </c>
    </row>
    <row r="203" spans="1:14" x14ac:dyDescent="0.2">
      <c r="A203" s="106">
        <v>206</v>
      </c>
      <c r="B203" s="106" t="str">
        <f>VLOOKUP( $A203, Aop!$A$2:$P$456, 2, 0)</f>
        <v>BUa</v>
      </c>
      <c r="C203" s="56">
        <f t="shared" si="31"/>
        <v>4</v>
      </c>
      <c r="D203" s="56" t="str">
        <f t="shared" si="28"/>
        <v>01814788</v>
      </c>
      <c r="E203" s="56" t="str">
        <f t="shared" si="29"/>
        <v>4400570050004</v>
      </c>
      <c r="F203" s="56" t="b">
        <f t="shared" si="32"/>
        <v>0</v>
      </c>
      <c r="G203" s="141">
        <f t="shared" si="33"/>
        <v>46022</v>
      </c>
      <c r="H203" s="106">
        <f>VLOOKUP( $A203, Aop!$A$2:$P$456, 4, 0)</f>
        <v>268</v>
      </c>
      <c r="I203" s="56">
        <f t="shared" si="30"/>
        <v>2025</v>
      </c>
      <c r="J203" s="56"/>
      <c r="K203" s="56"/>
      <c r="L203" s="56"/>
      <c r="M203" s="56" t="str">
        <f t="shared" ca="1" si="34"/>
        <v/>
      </c>
      <c r="N203" s="56">
        <f t="shared" ca="1" si="35"/>
        <v>13</v>
      </c>
    </row>
    <row r="204" spans="1:14" x14ac:dyDescent="0.2">
      <c r="A204" s="106">
        <v>208</v>
      </c>
      <c r="B204" s="106" t="str">
        <f>VLOOKUP( $A204, Aop!$A$2:$P$456, 2, 0)</f>
        <v>BUa</v>
      </c>
      <c r="C204" s="56">
        <f t="shared" si="31"/>
        <v>4</v>
      </c>
      <c r="D204" s="56" t="str">
        <f t="shared" si="28"/>
        <v>01814788</v>
      </c>
      <c r="E204" s="56" t="str">
        <f t="shared" si="29"/>
        <v>4400570050004</v>
      </c>
      <c r="F204" s="56" t="b">
        <f t="shared" si="32"/>
        <v>0</v>
      </c>
      <c r="G204" s="141">
        <f t="shared" si="33"/>
        <v>46022</v>
      </c>
      <c r="H204" s="106">
        <f>VLOOKUP( $A204, Aop!$A$2:$P$456, 4, 0)</f>
        <v>270</v>
      </c>
      <c r="I204" s="56">
        <f t="shared" si="30"/>
        <v>2025</v>
      </c>
      <c r="J204" s="56"/>
      <c r="K204" s="56"/>
      <c r="L204" s="56"/>
      <c r="M204" s="56" t="str">
        <f t="shared" ca="1" si="34"/>
        <v/>
      </c>
      <c r="N204" s="56">
        <f t="shared" ca="1" si="35"/>
        <v>56414</v>
      </c>
    </row>
    <row r="205" spans="1:14" x14ac:dyDescent="0.2">
      <c r="A205" s="106">
        <v>209</v>
      </c>
      <c r="B205" s="106" t="str">
        <f>VLOOKUP( $A205, Aop!$A$2:$P$456, 2, 0)</f>
        <v>BUa</v>
      </c>
      <c r="C205" s="56">
        <f t="shared" si="31"/>
        <v>4</v>
      </c>
      <c r="D205" s="56" t="str">
        <f t="shared" si="28"/>
        <v>01814788</v>
      </c>
      <c r="E205" s="56" t="str">
        <f t="shared" si="29"/>
        <v>4400570050004</v>
      </c>
      <c r="F205" s="56" t="b">
        <f t="shared" si="32"/>
        <v>0</v>
      </c>
      <c r="G205" s="141">
        <f t="shared" si="33"/>
        <v>46022</v>
      </c>
      <c r="H205" s="106">
        <f>VLOOKUP( $A205, Aop!$A$2:$P$456, 4, 0)</f>
        <v>271</v>
      </c>
      <c r="I205" s="56">
        <f t="shared" si="30"/>
        <v>2025</v>
      </c>
      <c r="J205" s="56"/>
      <c r="K205" s="56"/>
      <c r="L205" s="56"/>
      <c r="M205" s="56" t="str">
        <f t="shared" ca="1" si="34"/>
        <v/>
      </c>
      <c r="N205" s="56">
        <f t="shared" ca="1" si="35"/>
        <v>136124</v>
      </c>
    </row>
    <row r="206" spans="1:14" x14ac:dyDescent="0.2">
      <c r="A206" s="106">
        <v>210</v>
      </c>
      <c r="B206" s="106" t="str">
        <f>VLOOKUP( $A206, Aop!$A$2:$P$456, 2, 0)</f>
        <v>BUa</v>
      </c>
      <c r="C206" s="56">
        <f t="shared" si="31"/>
        <v>4</v>
      </c>
      <c r="D206" s="56" t="str">
        <f t="shared" si="28"/>
        <v>01814788</v>
      </c>
      <c r="E206" s="56" t="str">
        <f t="shared" si="29"/>
        <v>4400570050004</v>
      </c>
      <c r="F206" s="56" t="b">
        <f t="shared" si="32"/>
        <v>0</v>
      </c>
      <c r="G206" s="141">
        <f t="shared" si="33"/>
        <v>46022</v>
      </c>
      <c r="H206" s="106">
        <f>VLOOKUP( $A206, Aop!$A$2:$P$456, 4, 0)</f>
        <v>272</v>
      </c>
      <c r="I206" s="56">
        <f t="shared" si="30"/>
        <v>2025</v>
      </c>
      <c r="J206" s="56"/>
      <c r="K206" s="56"/>
      <c r="L206" s="56"/>
      <c r="M206" s="56" t="str">
        <f t="shared" ca="1" si="34"/>
        <v/>
      </c>
      <c r="N206" s="56">
        <f t="shared" ca="1" si="35"/>
        <v>0</v>
      </c>
    </row>
    <row r="207" spans="1:14" x14ac:dyDescent="0.2">
      <c r="A207" s="106">
        <v>211</v>
      </c>
      <c r="B207" s="106" t="str">
        <f>VLOOKUP( $A207, Aop!$A$2:$P$456, 2, 0)</f>
        <v>BUa</v>
      </c>
      <c r="C207" s="56">
        <f t="shared" si="31"/>
        <v>4</v>
      </c>
      <c r="D207" s="56" t="str">
        <f t="shared" si="28"/>
        <v>01814788</v>
      </c>
      <c r="E207" s="56" t="str">
        <f t="shared" si="29"/>
        <v>4400570050004</v>
      </c>
      <c r="F207" s="56" t="b">
        <f t="shared" si="32"/>
        <v>0</v>
      </c>
      <c r="G207" s="141">
        <f t="shared" si="33"/>
        <v>46022</v>
      </c>
      <c r="H207" s="106">
        <f>VLOOKUP( $A207, Aop!$A$2:$P$456, 4, 0)</f>
        <v>273</v>
      </c>
      <c r="I207" s="56">
        <f t="shared" si="30"/>
        <v>2025</v>
      </c>
      <c r="J207" s="56"/>
      <c r="K207" s="56"/>
      <c r="L207" s="56"/>
      <c r="M207" s="56" t="str">
        <f t="shared" ca="1" si="34"/>
        <v/>
      </c>
      <c r="N207" s="56">
        <f t="shared" ca="1" si="35"/>
        <v>0</v>
      </c>
    </row>
    <row r="208" spans="1:14" x14ac:dyDescent="0.2">
      <c r="A208" s="106">
        <v>212</v>
      </c>
      <c r="B208" s="106" t="str">
        <f>VLOOKUP( $A208, Aop!$A$2:$P$456, 2, 0)</f>
        <v>BUa</v>
      </c>
      <c r="C208" s="56">
        <f t="shared" si="31"/>
        <v>4</v>
      </c>
      <c r="D208" s="56" t="str">
        <f t="shared" si="28"/>
        <v>01814788</v>
      </c>
      <c r="E208" s="56" t="str">
        <f t="shared" si="29"/>
        <v>4400570050004</v>
      </c>
      <c r="F208" s="56" t="b">
        <f t="shared" si="32"/>
        <v>0</v>
      </c>
      <c r="G208" s="141">
        <f t="shared" si="33"/>
        <v>46022</v>
      </c>
      <c r="H208" s="106">
        <f>VLOOKUP( $A208, Aop!$A$2:$P$456, 4, 0)</f>
        <v>274</v>
      </c>
      <c r="I208" s="56">
        <f t="shared" si="30"/>
        <v>2025</v>
      </c>
      <c r="J208" s="56"/>
      <c r="K208" s="56"/>
      <c r="L208" s="56"/>
      <c r="M208" s="56" t="str">
        <f t="shared" ca="1" si="34"/>
        <v/>
      </c>
      <c r="N208" s="56">
        <f t="shared" ca="1" si="35"/>
        <v>0</v>
      </c>
    </row>
    <row r="209" spans="1:14" x14ac:dyDescent="0.2">
      <c r="A209" s="106">
        <v>213</v>
      </c>
      <c r="B209" s="106" t="str">
        <f>VLOOKUP( $A209, Aop!$A$2:$P$456, 2, 0)</f>
        <v>BUa</v>
      </c>
      <c r="C209" s="56">
        <f t="shared" si="31"/>
        <v>4</v>
      </c>
      <c r="D209" s="56" t="str">
        <f t="shared" si="28"/>
        <v>01814788</v>
      </c>
      <c r="E209" s="56" t="str">
        <f t="shared" si="29"/>
        <v>4400570050004</v>
      </c>
      <c r="F209" s="56" t="b">
        <f t="shared" si="32"/>
        <v>0</v>
      </c>
      <c r="G209" s="141">
        <f t="shared" si="33"/>
        <v>46022</v>
      </c>
      <c r="H209" s="106">
        <f>VLOOKUP( $A209, Aop!$A$2:$P$456, 4, 0)</f>
        <v>275</v>
      </c>
      <c r="I209" s="56">
        <f t="shared" si="30"/>
        <v>2025</v>
      </c>
      <c r="J209" s="56"/>
      <c r="K209" s="56"/>
      <c r="L209" s="56"/>
      <c r="M209" s="56" t="str">
        <f t="shared" ca="1" si="34"/>
        <v/>
      </c>
      <c r="N209" s="56" t="str">
        <f t="shared" ca="1" si="35"/>
        <v/>
      </c>
    </row>
    <row r="210" spans="1:14" x14ac:dyDescent="0.2">
      <c r="A210" s="106">
        <v>214</v>
      </c>
      <c r="B210" s="106" t="str">
        <f>VLOOKUP( $A210, Aop!$A$2:$P$456, 2, 0)</f>
        <v>BUa</v>
      </c>
      <c r="C210" s="56">
        <f t="shared" si="31"/>
        <v>4</v>
      </c>
      <c r="D210" s="56" t="str">
        <f t="shared" si="28"/>
        <v>01814788</v>
      </c>
      <c r="E210" s="56" t="str">
        <f t="shared" si="29"/>
        <v>4400570050004</v>
      </c>
      <c r="F210" s="56" t="b">
        <f t="shared" si="32"/>
        <v>0</v>
      </c>
      <c r="G210" s="141">
        <f t="shared" si="33"/>
        <v>46022</v>
      </c>
      <c r="H210" s="106">
        <f>VLOOKUP( $A210, Aop!$A$2:$P$456, 4, 0)</f>
        <v>276</v>
      </c>
      <c r="I210" s="56">
        <f t="shared" si="30"/>
        <v>2025</v>
      </c>
      <c r="J210" s="56"/>
      <c r="K210" s="56"/>
      <c r="L210" s="56"/>
      <c r="M210" s="56" t="str">
        <f t="shared" ca="1" si="34"/>
        <v/>
      </c>
      <c r="N210" s="56" t="str">
        <f t="shared" ca="1" si="35"/>
        <v/>
      </c>
    </row>
    <row r="211" spans="1:14" x14ac:dyDescent="0.2">
      <c r="A211" s="106">
        <v>215</v>
      </c>
      <c r="B211" s="106" t="str">
        <f>VLOOKUP( $A211, Aop!$A$2:$P$456, 2, 0)</f>
        <v>BUa</v>
      </c>
      <c r="C211" s="56">
        <f t="shared" si="31"/>
        <v>4</v>
      </c>
      <c r="D211" s="56" t="str">
        <f t="shared" si="28"/>
        <v>01814788</v>
      </c>
      <c r="E211" s="56" t="str">
        <f t="shared" si="29"/>
        <v>4400570050004</v>
      </c>
      <c r="F211" s="56" t="b">
        <f t="shared" si="32"/>
        <v>0</v>
      </c>
      <c r="G211" s="141">
        <f t="shared" si="33"/>
        <v>46022</v>
      </c>
      <c r="H211" s="106">
        <f>VLOOKUP( $A211, Aop!$A$2:$P$456, 4, 0)</f>
        <v>277</v>
      </c>
      <c r="I211" s="56">
        <f t="shared" si="30"/>
        <v>2025</v>
      </c>
      <c r="J211" s="56"/>
      <c r="K211" s="56"/>
      <c r="L211" s="56"/>
      <c r="M211" s="56" t="str">
        <f t="shared" ca="1" si="34"/>
        <v/>
      </c>
      <c r="N211" s="56" t="str">
        <f t="shared" ca="1" si="35"/>
        <v/>
      </c>
    </row>
    <row r="212" spans="1:14" x14ac:dyDescent="0.2">
      <c r="A212" s="106">
        <v>216</v>
      </c>
      <c r="B212" s="106" t="str">
        <f>VLOOKUP( $A212, Aop!$A$2:$P$456, 2, 0)</f>
        <v>BUa</v>
      </c>
      <c r="C212" s="56">
        <f t="shared" si="31"/>
        <v>4</v>
      </c>
      <c r="D212" s="56" t="str">
        <f t="shared" si="28"/>
        <v>01814788</v>
      </c>
      <c r="E212" s="56" t="str">
        <f t="shared" si="29"/>
        <v>4400570050004</v>
      </c>
      <c r="F212" s="56" t="b">
        <f t="shared" si="32"/>
        <v>0</v>
      </c>
      <c r="G212" s="141">
        <f t="shared" si="33"/>
        <v>46022</v>
      </c>
      <c r="H212" s="106">
        <f>VLOOKUP( $A212, Aop!$A$2:$P$456, 4, 0)</f>
        <v>278</v>
      </c>
      <c r="I212" s="56">
        <f t="shared" si="30"/>
        <v>2025</v>
      </c>
      <c r="J212" s="56"/>
      <c r="K212" s="56"/>
      <c r="L212" s="56"/>
      <c r="M212" s="56" t="str">
        <f t="shared" ca="1" si="34"/>
        <v/>
      </c>
      <c r="N212" s="56" t="str">
        <f t="shared" ca="1" si="35"/>
        <v/>
      </c>
    </row>
    <row r="213" spans="1:14" x14ac:dyDescent="0.2">
      <c r="A213" s="106">
        <v>217</v>
      </c>
      <c r="B213" s="106" t="str">
        <f>VLOOKUP( $A213, Aop!$A$2:$P$456, 2, 0)</f>
        <v>BUa</v>
      </c>
      <c r="C213" s="56">
        <f t="shared" si="31"/>
        <v>4</v>
      </c>
      <c r="D213" s="56" t="str">
        <f t="shared" si="28"/>
        <v>01814788</v>
      </c>
      <c r="E213" s="56" t="str">
        <f t="shared" si="29"/>
        <v>4400570050004</v>
      </c>
      <c r="F213" s="56" t="b">
        <f t="shared" si="32"/>
        <v>0</v>
      </c>
      <c r="G213" s="141">
        <f t="shared" si="33"/>
        <v>46022</v>
      </c>
      <c r="H213" s="106">
        <f>VLOOKUP( $A213, Aop!$A$2:$P$456, 4, 0)</f>
        <v>279</v>
      </c>
      <c r="I213" s="56">
        <f t="shared" si="30"/>
        <v>2025</v>
      </c>
      <c r="J213" s="56"/>
      <c r="K213" s="56"/>
      <c r="L213" s="56"/>
      <c r="M213" s="56" t="str">
        <f t="shared" ca="1" si="34"/>
        <v/>
      </c>
      <c r="N213" s="56" t="str">
        <f t="shared" ca="1" si="35"/>
        <v/>
      </c>
    </row>
    <row r="214" spans="1:14" x14ac:dyDescent="0.2">
      <c r="A214" s="106">
        <v>218</v>
      </c>
      <c r="B214" s="106" t="str">
        <f>VLOOKUP( $A214, Aop!$A$2:$P$456, 2, 0)</f>
        <v>BUa</v>
      </c>
      <c r="C214" s="56">
        <f t="shared" si="31"/>
        <v>4</v>
      </c>
      <c r="D214" s="56" t="str">
        <f t="shared" si="28"/>
        <v>01814788</v>
      </c>
      <c r="E214" s="56" t="str">
        <f t="shared" si="29"/>
        <v>4400570050004</v>
      </c>
      <c r="F214" s="56" t="b">
        <f t="shared" si="32"/>
        <v>0</v>
      </c>
      <c r="G214" s="141">
        <f t="shared" si="33"/>
        <v>46022</v>
      </c>
      <c r="H214" s="106">
        <f>VLOOKUP( $A214, Aop!$A$2:$P$456, 4, 0)</f>
        <v>280</v>
      </c>
      <c r="I214" s="56">
        <f t="shared" si="30"/>
        <v>2025</v>
      </c>
      <c r="J214" s="56"/>
      <c r="K214" s="56"/>
      <c r="L214" s="56"/>
      <c r="M214" s="56" t="str">
        <f t="shared" ca="1" si="34"/>
        <v/>
      </c>
      <c r="N214" s="56" t="str">
        <f t="shared" ca="1" si="35"/>
        <v/>
      </c>
    </row>
    <row r="215" spans="1:14" x14ac:dyDescent="0.2">
      <c r="A215" s="106">
        <v>219</v>
      </c>
      <c r="B215" s="106" t="str">
        <f>VLOOKUP( $A215, Aop!$A$2:$P$456, 2, 0)</f>
        <v>BUa</v>
      </c>
      <c r="C215" s="56">
        <f t="shared" si="31"/>
        <v>4</v>
      </c>
      <c r="D215" s="56" t="str">
        <f t="shared" si="28"/>
        <v>01814788</v>
      </c>
      <c r="E215" s="56" t="str">
        <f t="shared" si="29"/>
        <v>4400570050004</v>
      </c>
      <c r="F215" s="56" t="b">
        <f t="shared" si="32"/>
        <v>0</v>
      </c>
      <c r="G215" s="141">
        <f t="shared" si="33"/>
        <v>46022</v>
      </c>
      <c r="H215" s="106">
        <f>VLOOKUP( $A215, Aop!$A$2:$P$456, 4, 0)</f>
        <v>281</v>
      </c>
      <c r="I215" s="56">
        <f t="shared" si="30"/>
        <v>2025</v>
      </c>
      <c r="J215" s="56"/>
      <c r="K215" s="56"/>
      <c r="L215" s="56"/>
      <c r="M215" s="56" t="str">
        <f t="shared" ca="1" si="34"/>
        <v/>
      </c>
      <c r="N215" s="56">
        <f t="shared" ca="1" si="35"/>
        <v>0</v>
      </c>
    </row>
    <row r="216" spans="1:14" x14ac:dyDescent="0.2">
      <c r="A216" s="106">
        <v>220</v>
      </c>
      <c r="B216" s="106" t="str">
        <f>VLOOKUP( $A216, Aop!$A$2:$P$456, 2, 0)</f>
        <v>BUa</v>
      </c>
      <c r="C216" s="56">
        <f t="shared" si="31"/>
        <v>4</v>
      </c>
      <c r="D216" s="56" t="str">
        <f t="shared" si="28"/>
        <v>01814788</v>
      </c>
      <c r="E216" s="56" t="str">
        <f t="shared" si="29"/>
        <v>4400570050004</v>
      </c>
      <c r="F216" s="56" t="b">
        <f t="shared" si="32"/>
        <v>0</v>
      </c>
      <c r="G216" s="141">
        <f t="shared" si="33"/>
        <v>46022</v>
      </c>
      <c r="H216" s="106">
        <f>VLOOKUP( $A216, Aop!$A$2:$P$456, 4, 0)</f>
        <v>282</v>
      </c>
      <c r="I216" s="56">
        <f t="shared" si="30"/>
        <v>2025</v>
      </c>
      <c r="J216" s="56"/>
      <c r="K216" s="56"/>
      <c r="L216" s="56"/>
      <c r="M216" s="56" t="str">
        <f t="shared" ca="1" si="34"/>
        <v/>
      </c>
      <c r="N216" s="56" t="str">
        <f t="shared" ca="1" si="35"/>
        <v/>
      </c>
    </row>
    <row r="217" spans="1:14" x14ac:dyDescent="0.2">
      <c r="A217" s="106">
        <v>221</v>
      </c>
      <c r="B217" s="56" t="str">
        <f>VLOOKUP( $A217, Aop!$A$2:$P$456, 2, 0)</f>
        <v>BUa</v>
      </c>
      <c r="C217" s="56">
        <f>ID_Izvjestaj</f>
        <v>4</v>
      </c>
      <c r="D217" s="56" t="str">
        <f>Podatak_MB</f>
        <v>01814788</v>
      </c>
      <c r="E217" s="56" t="str">
        <f>Podatak_JIB</f>
        <v>4400570050004</v>
      </c>
      <c r="F217" s="56" t="b">
        <f>Konsolidovan_izvjestaj</f>
        <v>0</v>
      </c>
      <c r="G217" s="141">
        <f>Datum_Broj</f>
        <v>46022</v>
      </c>
      <c r="H217" s="56">
        <f>VLOOKUP( $A217, Aop!$A$2:$P$456, 4, 0)</f>
        <v>283</v>
      </c>
      <c r="I217" s="56">
        <f>Godina</f>
        <v>2025</v>
      </c>
      <c r="J217" s="56"/>
      <c r="K217" s="56"/>
      <c r="L217" s="56"/>
      <c r="M217" s="56" t="str">
        <f t="shared" ca="1" si="34"/>
        <v/>
      </c>
      <c r="N217" s="56" t="str">
        <f t="shared" ca="1" si="35"/>
        <v/>
      </c>
    </row>
    <row r="218" spans="1:14" x14ac:dyDescent="0.2">
      <c r="A218" s="106">
        <v>222</v>
      </c>
      <c r="B218" s="106" t="str">
        <f>VLOOKUP( $A218, Aop!$A$2:$P$456, 2, 0)</f>
        <v>BUa</v>
      </c>
      <c r="C218" s="56">
        <f t="shared" si="31"/>
        <v>4</v>
      </c>
      <c r="D218" s="56" t="str">
        <f t="shared" si="28"/>
        <v>01814788</v>
      </c>
      <c r="E218" s="56" t="str">
        <f t="shared" si="29"/>
        <v>4400570050004</v>
      </c>
      <c r="F218" s="56" t="b">
        <f t="shared" si="32"/>
        <v>0</v>
      </c>
      <c r="G218" s="141">
        <f t="shared" si="33"/>
        <v>46022</v>
      </c>
      <c r="H218" s="106">
        <f>VLOOKUP( $A218, Aop!$A$2:$P$456, 4, 0)</f>
        <v>284</v>
      </c>
      <c r="I218" s="56">
        <f t="shared" si="30"/>
        <v>2025</v>
      </c>
      <c r="J218" s="56"/>
      <c r="K218" s="56"/>
      <c r="L218" s="56"/>
      <c r="M218" s="56" t="str">
        <f t="shared" ca="1" si="34"/>
        <v/>
      </c>
      <c r="N218" s="56" t="str">
        <f t="shared" ca="1" si="35"/>
        <v/>
      </c>
    </row>
    <row r="219" spans="1:14" x14ac:dyDescent="0.2">
      <c r="A219" s="106">
        <v>223</v>
      </c>
      <c r="B219" s="106" t="str">
        <f>VLOOKUP( $A219, Aop!$A$2:$P$456, 2, 0)</f>
        <v>BUa</v>
      </c>
      <c r="C219" s="56">
        <f t="shared" si="31"/>
        <v>4</v>
      </c>
      <c r="D219" s="56" t="str">
        <f t="shared" si="28"/>
        <v>01814788</v>
      </c>
      <c r="E219" s="56" t="str">
        <f t="shared" si="29"/>
        <v>4400570050004</v>
      </c>
      <c r="F219" s="56" t="b">
        <f t="shared" si="32"/>
        <v>0</v>
      </c>
      <c r="G219" s="141">
        <f t="shared" si="33"/>
        <v>46022</v>
      </c>
      <c r="H219" s="106">
        <f>VLOOKUP( $A219, Aop!$A$2:$P$456, 4, 0)</f>
        <v>285</v>
      </c>
      <c r="I219" s="56">
        <f t="shared" si="30"/>
        <v>2025</v>
      </c>
      <c r="J219" s="56"/>
      <c r="K219" s="56"/>
      <c r="L219" s="56"/>
      <c r="M219" s="56" t="str">
        <f t="shared" ca="1" si="34"/>
        <v/>
      </c>
      <c r="N219" s="56" t="str">
        <f t="shared" ca="1" si="35"/>
        <v/>
      </c>
    </row>
    <row r="220" spans="1:14" x14ac:dyDescent="0.2">
      <c r="A220" s="106">
        <v>224</v>
      </c>
      <c r="B220" s="56" t="str">
        <f>VLOOKUP( $A220, Aop!$A$2:$P$456, 2, 0)</f>
        <v>BUa</v>
      </c>
      <c r="C220" s="56">
        <f>ID_Izvjestaj</f>
        <v>4</v>
      </c>
      <c r="D220" s="56" t="str">
        <f>Podatak_MB</f>
        <v>01814788</v>
      </c>
      <c r="E220" s="56" t="str">
        <f>Podatak_JIB</f>
        <v>4400570050004</v>
      </c>
      <c r="F220" s="56" t="b">
        <f>Konsolidovan_izvjestaj</f>
        <v>0</v>
      </c>
      <c r="G220" s="141">
        <f>Datum_Broj</f>
        <v>46022</v>
      </c>
      <c r="H220" s="56">
        <f>VLOOKUP( $A220, Aop!$A$2:$P$456, 4, 0)</f>
        <v>286</v>
      </c>
      <c r="I220" s="56">
        <f>Godina</f>
        <v>2025</v>
      </c>
      <c r="J220" s="56"/>
      <c r="K220" s="56"/>
      <c r="L220" s="56"/>
      <c r="M220" s="56" t="str">
        <f t="shared" ca="1" si="34"/>
        <v/>
      </c>
      <c r="N220" s="56">
        <f t="shared" ca="1" si="35"/>
        <v>168816</v>
      </c>
    </row>
    <row r="221" spans="1:14" x14ac:dyDescent="0.2">
      <c r="A221" s="106">
        <v>225</v>
      </c>
      <c r="B221" s="106" t="str">
        <f>VLOOKUP( $A221, Aop!$A$2:$P$456, 2, 0)</f>
        <v>BUa</v>
      </c>
      <c r="C221" s="56">
        <f t="shared" si="31"/>
        <v>4</v>
      </c>
      <c r="D221" s="56" t="str">
        <f t="shared" si="28"/>
        <v>01814788</v>
      </c>
      <c r="E221" s="56" t="str">
        <f t="shared" si="29"/>
        <v>4400570050004</v>
      </c>
      <c r="F221" s="56" t="b">
        <f t="shared" si="32"/>
        <v>0</v>
      </c>
      <c r="G221" s="141">
        <f t="shared" si="33"/>
        <v>46022</v>
      </c>
      <c r="H221" s="106">
        <f>VLOOKUP( $A221, Aop!$A$2:$P$456, 4, 0)</f>
        <v>287</v>
      </c>
      <c r="I221" s="56">
        <f t="shared" si="30"/>
        <v>2025</v>
      </c>
      <c r="J221" s="56"/>
      <c r="K221" s="56"/>
      <c r="L221" s="56"/>
      <c r="M221" s="56" t="str">
        <f t="shared" ca="1" si="34"/>
        <v/>
      </c>
      <c r="N221" s="56">
        <f t="shared" ca="1" si="35"/>
        <v>76927</v>
      </c>
    </row>
    <row r="222" spans="1:14" x14ac:dyDescent="0.2">
      <c r="A222" s="106">
        <v>226</v>
      </c>
      <c r="B222" s="106" t="str">
        <f>VLOOKUP( $A222, Aop!$A$2:$P$456, 2, 0)</f>
        <v>BUa</v>
      </c>
      <c r="C222" s="56">
        <f t="shared" si="31"/>
        <v>4</v>
      </c>
      <c r="D222" s="56" t="str">
        <f t="shared" si="28"/>
        <v>01814788</v>
      </c>
      <c r="E222" s="56" t="str">
        <f t="shared" si="29"/>
        <v>4400570050004</v>
      </c>
      <c r="F222" s="56" t="b">
        <f t="shared" si="32"/>
        <v>0</v>
      </c>
      <c r="G222" s="141">
        <f t="shared" si="33"/>
        <v>46022</v>
      </c>
      <c r="H222" s="106">
        <f>VLOOKUP( $A222, Aop!$A$2:$P$456, 4, 0)</f>
        <v>288</v>
      </c>
      <c r="I222" s="56">
        <f t="shared" si="30"/>
        <v>2025</v>
      </c>
      <c r="J222" s="56"/>
      <c r="K222" s="56"/>
      <c r="L222" s="56"/>
      <c r="M222" s="56" t="str">
        <f t="shared" ca="1" si="34"/>
        <v/>
      </c>
      <c r="N222" s="56" t="str">
        <f t="shared" ca="1" si="35"/>
        <v/>
      </c>
    </row>
    <row r="223" spans="1:14" x14ac:dyDescent="0.2">
      <c r="A223" s="106">
        <v>227</v>
      </c>
      <c r="B223" s="56" t="str">
        <f>VLOOKUP( $A223, Aop!$A$2:$P$456, 2, 0)</f>
        <v>BUa</v>
      </c>
      <c r="C223" s="56">
        <f>ID_Izvjestaj</f>
        <v>4</v>
      </c>
      <c r="D223" s="56" t="str">
        <f>Podatak_MB</f>
        <v>01814788</v>
      </c>
      <c r="E223" s="56" t="str">
        <f>Podatak_JIB</f>
        <v>4400570050004</v>
      </c>
      <c r="F223" s="56" t="b">
        <f>Konsolidovan_izvjestaj</f>
        <v>0</v>
      </c>
      <c r="G223" s="141">
        <f>Datum_Broj</f>
        <v>46022</v>
      </c>
      <c r="H223" s="56">
        <f>VLOOKUP( $A223, Aop!$A$2:$P$456, 4, 0)</f>
        <v>289</v>
      </c>
      <c r="I223" s="56">
        <f>Godina</f>
        <v>2025</v>
      </c>
      <c r="J223" s="56"/>
      <c r="K223" s="56"/>
      <c r="L223" s="56"/>
      <c r="M223" s="56" t="str">
        <f t="shared" ca="1" si="34"/>
        <v/>
      </c>
      <c r="N223" s="56" t="str">
        <f t="shared" ca="1" si="35"/>
        <v/>
      </c>
    </row>
    <row r="224" spans="1:14" x14ac:dyDescent="0.2">
      <c r="A224" s="106">
        <v>228</v>
      </c>
      <c r="B224" s="106" t="str">
        <f>VLOOKUP( $A224, Aop!$A$2:$P$456, 2, 0)</f>
        <v>BUa</v>
      </c>
      <c r="C224" s="56">
        <f t="shared" si="31"/>
        <v>4</v>
      </c>
      <c r="D224" s="56" t="str">
        <f t="shared" si="28"/>
        <v>01814788</v>
      </c>
      <c r="E224" s="56" t="str">
        <f t="shared" si="29"/>
        <v>4400570050004</v>
      </c>
      <c r="F224" s="56" t="b">
        <f t="shared" si="32"/>
        <v>0</v>
      </c>
      <c r="G224" s="141">
        <f t="shared" si="33"/>
        <v>46022</v>
      </c>
      <c r="H224" s="106">
        <f>VLOOKUP( $A224, Aop!$A$2:$P$456, 4, 0)</f>
        <v>290</v>
      </c>
      <c r="I224" s="56">
        <f t="shared" si="30"/>
        <v>2025</v>
      </c>
      <c r="J224" s="56"/>
      <c r="K224" s="56"/>
      <c r="L224" s="56"/>
      <c r="M224" s="56" t="str">
        <f t="shared" ca="1" si="34"/>
        <v/>
      </c>
      <c r="N224" s="56" t="str">
        <f t="shared" ca="1" si="35"/>
        <v/>
      </c>
    </row>
    <row r="225" spans="1:14" x14ac:dyDescent="0.2">
      <c r="A225" s="106">
        <v>229</v>
      </c>
      <c r="B225" s="106" t="str">
        <f>VLOOKUP( $A225, Aop!$A$2:$P$456, 2, 0)</f>
        <v>BUa</v>
      </c>
      <c r="C225" s="56">
        <f t="shared" si="31"/>
        <v>4</v>
      </c>
      <c r="D225" s="56" t="str">
        <f t="shared" si="28"/>
        <v>01814788</v>
      </c>
      <c r="E225" s="56" t="str">
        <f t="shared" si="29"/>
        <v>4400570050004</v>
      </c>
      <c r="F225" s="56" t="b">
        <f t="shared" si="32"/>
        <v>0</v>
      </c>
      <c r="G225" s="141">
        <f t="shared" si="33"/>
        <v>46022</v>
      </c>
      <c r="H225" s="106">
        <f>VLOOKUP( $A225, Aop!$A$2:$P$456, 4, 0)</f>
        <v>291</v>
      </c>
      <c r="I225" s="56">
        <f t="shared" si="30"/>
        <v>2025</v>
      </c>
      <c r="J225" s="56"/>
      <c r="K225" s="56"/>
      <c r="L225" s="56"/>
      <c r="M225" s="56" t="str">
        <f t="shared" ca="1" si="34"/>
        <v/>
      </c>
      <c r="N225" s="56" t="str">
        <f t="shared" ca="1" si="35"/>
        <v/>
      </c>
    </row>
    <row r="226" spans="1:14" x14ac:dyDescent="0.2">
      <c r="A226" s="106">
        <v>230</v>
      </c>
      <c r="B226" s="106" t="str">
        <f>VLOOKUP( $A226, Aop!$A$2:$P$456, 2, 0)</f>
        <v>BUa</v>
      </c>
      <c r="C226" s="56">
        <f t="shared" si="31"/>
        <v>4</v>
      </c>
      <c r="D226" s="56" t="str">
        <f t="shared" si="28"/>
        <v>01814788</v>
      </c>
      <c r="E226" s="56" t="str">
        <f t="shared" si="29"/>
        <v>4400570050004</v>
      </c>
      <c r="F226" s="56" t="b">
        <f t="shared" si="32"/>
        <v>0</v>
      </c>
      <c r="G226" s="141">
        <f t="shared" si="33"/>
        <v>46022</v>
      </c>
      <c r="H226" s="106">
        <f>VLOOKUP( $A226, Aop!$A$2:$P$456, 4, 0)</f>
        <v>292</v>
      </c>
      <c r="I226" s="56">
        <f t="shared" si="30"/>
        <v>2025</v>
      </c>
      <c r="J226" s="56"/>
      <c r="K226" s="56"/>
      <c r="L226" s="56"/>
      <c r="M226" s="56" t="str">
        <f t="shared" ca="1" si="34"/>
        <v/>
      </c>
      <c r="N226" s="56">
        <f t="shared" ca="1" si="35"/>
        <v>76927</v>
      </c>
    </row>
    <row r="227" spans="1:14" x14ac:dyDescent="0.2">
      <c r="A227" s="106">
        <v>231</v>
      </c>
      <c r="B227" s="106" t="str">
        <f>VLOOKUP( $A227, Aop!$A$2:$P$456, 2, 0)</f>
        <v>BUa</v>
      </c>
      <c r="C227" s="56">
        <f t="shared" si="31"/>
        <v>4</v>
      </c>
      <c r="D227" s="56" t="str">
        <f t="shared" si="28"/>
        <v>01814788</v>
      </c>
      <c r="E227" s="56" t="str">
        <f t="shared" si="29"/>
        <v>4400570050004</v>
      </c>
      <c r="F227" s="56" t="b">
        <f t="shared" si="32"/>
        <v>0</v>
      </c>
      <c r="G227" s="141">
        <f t="shared" si="33"/>
        <v>46022</v>
      </c>
      <c r="H227" s="106">
        <f>VLOOKUP( $A227, Aop!$A$2:$P$456, 4, 0)</f>
        <v>293</v>
      </c>
      <c r="I227" s="56">
        <f t="shared" si="30"/>
        <v>2025</v>
      </c>
      <c r="J227" s="56"/>
      <c r="K227" s="56"/>
      <c r="L227" s="56"/>
      <c r="M227" s="56" t="str">
        <f t="shared" ca="1" si="34"/>
        <v/>
      </c>
      <c r="N227" s="56" t="str">
        <f t="shared" ca="1" si="35"/>
        <v/>
      </c>
    </row>
    <row r="228" spans="1:14" x14ac:dyDescent="0.2">
      <c r="A228" s="106">
        <v>233</v>
      </c>
      <c r="B228" s="106" t="str">
        <f>VLOOKUP( $A228, Aop!$A$2:$P$456, 2, 0)</f>
        <v>BUa</v>
      </c>
      <c r="C228" s="56">
        <f t="shared" si="31"/>
        <v>4</v>
      </c>
      <c r="D228" s="56" t="str">
        <f t="shared" si="28"/>
        <v>01814788</v>
      </c>
      <c r="E228" s="56" t="str">
        <f t="shared" si="29"/>
        <v>4400570050004</v>
      </c>
      <c r="F228" s="56" t="b">
        <f t="shared" si="32"/>
        <v>0</v>
      </c>
      <c r="G228" s="141">
        <f t="shared" si="33"/>
        <v>46022</v>
      </c>
      <c r="H228" s="106">
        <f>VLOOKUP( $A228, Aop!$A$2:$P$456, 4, 0)</f>
        <v>295</v>
      </c>
      <c r="I228" s="56">
        <f t="shared" si="30"/>
        <v>2025</v>
      </c>
      <c r="J228" s="56"/>
      <c r="K228" s="56"/>
      <c r="L228" s="56"/>
      <c r="M228" s="56" t="str">
        <f t="shared" ca="1" si="34"/>
        <v/>
      </c>
      <c r="N228" s="56" t="str">
        <f t="shared" ca="1" si="35"/>
        <v/>
      </c>
    </row>
    <row r="229" spans="1:14" x14ac:dyDescent="0.2">
      <c r="A229" s="106">
        <v>234</v>
      </c>
      <c r="B229" s="106" t="str">
        <f>VLOOKUP( $A229, Aop!$A$2:$P$456, 2, 0)</f>
        <v>BUa</v>
      </c>
      <c r="C229" s="56">
        <f t="shared" si="31"/>
        <v>4</v>
      </c>
      <c r="D229" s="56" t="str">
        <f t="shared" si="28"/>
        <v>01814788</v>
      </c>
      <c r="E229" s="56" t="str">
        <f t="shared" si="29"/>
        <v>4400570050004</v>
      </c>
      <c r="F229" s="56" t="b">
        <f t="shared" si="32"/>
        <v>0</v>
      </c>
      <c r="G229" s="141">
        <f t="shared" si="33"/>
        <v>46022</v>
      </c>
      <c r="H229" s="106">
        <f>VLOOKUP( $A229, Aop!$A$2:$P$456, 4, 0)</f>
        <v>296</v>
      </c>
      <c r="I229" s="56">
        <f t="shared" si="30"/>
        <v>2025</v>
      </c>
      <c r="J229" s="56"/>
      <c r="K229" s="56"/>
      <c r="L229" s="56"/>
      <c r="M229" s="56" t="str">
        <f t="shared" ca="1" si="34"/>
        <v/>
      </c>
      <c r="N229" s="56" t="str">
        <f t="shared" ca="1" si="35"/>
        <v/>
      </c>
    </row>
    <row r="230" spans="1:14" x14ac:dyDescent="0.2">
      <c r="A230" s="106">
        <v>236</v>
      </c>
      <c r="B230" s="106" t="str">
        <f>VLOOKUP( $A230, Aop!$A$2:$P$456, 2, 0)</f>
        <v>BUa</v>
      </c>
      <c r="C230" s="56">
        <f t="shared" si="31"/>
        <v>4</v>
      </c>
      <c r="D230" s="56" t="str">
        <f t="shared" si="28"/>
        <v>01814788</v>
      </c>
      <c r="E230" s="56" t="str">
        <f t="shared" si="29"/>
        <v>4400570050004</v>
      </c>
      <c r="F230" s="56" t="b">
        <f t="shared" si="32"/>
        <v>0</v>
      </c>
      <c r="G230" s="141">
        <f t="shared" si="33"/>
        <v>46022</v>
      </c>
      <c r="H230" s="106">
        <f>VLOOKUP( $A230, Aop!$A$2:$P$456, 4, 0)</f>
        <v>298</v>
      </c>
      <c r="I230" s="56">
        <f t="shared" si="30"/>
        <v>2025</v>
      </c>
      <c r="J230" s="56"/>
      <c r="K230" s="56"/>
      <c r="L230" s="56"/>
      <c r="M230" s="56" t="str">
        <f t="shared" ca="1" si="34"/>
        <v/>
      </c>
      <c r="N230" s="56" t="str">
        <f t="shared" ca="1" si="35"/>
        <v/>
      </c>
    </row>
    <row r="231" spans="1:14" x14ac:dyDescent="0.2">
      <c r="A231" s="106">
        <v>237</v>
      </c>
      <c r="B231" s="106" t="str">
        <f>VLOOKUP( $A231, Aop!$A$2:$P$456, 2, 0)</f>
        <v>BUa</v>
      </c>
      <c r="C231" s="56">
        <f t="shared" si="31"/>
        <v>4</v>
      </c>
      <c r="D231" s="56" t="str">
        <f t="shared" si="28"/>
        <v>01814788</v>
      </c>
      <c r="E231" s="56" t="str">
        <f t="shared" si="29"/>
        <v>4400570050004</v>
      </c>
      <c r="F231" s="56" t="b">
        <f t="shared" si="32"/>
        <v>0</v>
      </c>
      <c r="G231" s="141">
        <f t="shared" si="33"/>
        <v>46022</v>
      </c>
      <c r="H231" s="106">
        <f>VLOOKUP( $A231, Aop!$A$2:$P$456, 4, 0)</f>
        <v>299</v>
      </c>
      <c r="I231" s="56">
        <f t="shared" si="30"/>
        <v>2025</v>
      </c>
      <c r="J231" s="56"/>
      <c r="K231" s="56"/>
      <c r="L231" s="56"/>
      <c r="M231" s="56" t="str">
        <f t="shared" ca="1" si="34"/>
        <v/>
      </c>
      <c r="N231" s="56">
        <f t="shared" ca="1" si="35"/>
        <v>0</v>
      </c>
    </row>
    <row r="232" spans="1:14" x14ac:dyDescent="0.2">
      <c r="A232" s="106">
        <v>238</v>
      </c>
      <c r="B232" s="106" t="str">
        <f>VLOOKUP( $A232, Aop!$A$2:$P$456, 2, 0)</f>
        <v>BUa</v>
      </c>
      <c r="C232" s="56">
        <f t="shared" si="31"/>
        <v>4</v>
      </c>
      <c r="D232" s="56" t="str">
        <f t="shared" si="28"/>
        <v>01814788</v>
      </c>
      <c r="E232" s="56" t="str">
        <f t="shared" si="29"/>
        <v>4400570050004</v>
      </c>
      <c r="F232" s="56" t="b">
        <f t="shared" si="32"/>
        <v>0</v>
      </c>
      <c r="G232" s="141">
        <f t="shared" si="33"/>
        <v>46022</v>
      </c>
      <c r="H232" s="106">
        <f>VLOOKUP( $A232, Aop!$A$2:$P$456, 4, 0)</f>
        <v>300</v>
      </c>
      <c r="I232" s="56">
        <f t="shared" si="30"/>
        <v>2025</v>
      </c>
      <c r="J232" s="56"/>
      <c r="K232" s="56"/>
      <c r="L232" s="56"/>
      <c r="M232" s="56" t="str">
        <f t="shared" ca="1" si="34"/>
        <v/>
      </c>
      <c r="N232" s="56">
        <f t="shared" ca="1" si="35"/>
        <v>168816</v>
      </c>
    </row>
    <row r="233" spans="1:14" x14ac:dyDescent="0.2">
      <c r="A233" s="106">
        <v>240</v>
      </c>
      <c r="B233" s="106" t="str">
        <f>VLOOKUP( $A233, Aop!$A$2:$P$456, 2, 0)</f>
        <v>BUa</v>
      </c>
      <c r="C233" s="56">
        <f t="shared" si="31"/>
        <v>4</v>
      </c>
      <c r="D233" s="56" t="str">
        <f t="shared" si="28"/>
        <v>01814788</v>
      </c>
      <c r="E233" s="56" t="str">
        <f t="shared" si="29"/>
        <v>4400570050004</v>
      </c>
      <c r="F233" s="56" t="b">
        <f t="shared" si="32"/>
        <v>0</v>
      </c>
      <c r="G233" s="141">
        <f t="shared" si="33"/>
        <v>46022</v>
      </c>
      <c r="H233" s="106">
        <f>VLOOKUP( $A233, Aop!$A$2:$P$456, 4, 0)</f>
        <v>302</v>
      </c>
      <c r="I233" s="56">
        <f t="shared" si="30"/>
        <v>2025</v>
      </c>
      <c r="J233" s="56"/>
      <c r="K233" s="56"/>
      <c r="L233" s="56"/>
      <c r="M233" s="56" t="str">
        <f t="shared" ca="1" si="34"/>
        <v/>
      </c>
      <c r="N233" s="56">
        <f t="shared" ca="1" si="35"/>
        <v>11422</v>
      </c>
    </row>
    <row r="234" spans="1:14" x14ac:dyDescent="0.2">
      <c r="A234" s="106">
        <v>241</v>
      </c>
      <c r="B234" s="106" t="str">
        <f>VLOOKUP( $A234, Aop!$A$2:$P$456, 2, 0)</f>
        <v>BUa</v>
      </c>
      <c r="C234" s="56">
        <f t="shared" si="31"/>
        <v>4</v>
      </c>
      <c r="D234" s="56" t="str">
        <f t="shared" si="28"/>
        <v>01814788</v>
      </c>
      <c r="E234" s="56" t="str">
        <f t="shared" si="29"/>
        <v>4400570050004</v>
      </c>
      <c r="F234" s="56" t="b">
        <f t="shared" si="32"/>
        <v>0</v>
      </c>
      <c r="G234" s="141">
        <f t="shared" si="33"/>
        <v>46022</v>
      </c>
      <c r="H234" s="106">
        <f>VLOOKUP( $A234, Aop!$A$2:$P$456, 4, 0)</f>
        <v>303</v>
      </c>
      <c r="I234" s="56">
        <f t="shared" si="30"/>
        <v>2025</v>
      </c>
      <c r="J234" s="56"/>
      <c r="K234" s="56"/>
      <c r="L234" s="56"/>
      <c r="M234" s="56" t="str">
        <f t="shared" ca="1" si="34"/>
        <v/>
      </c>
      <c r="N234" s="56" t="str">
        <f t="shared" ca="1" si="35"/>
        <v/>
      </c>
    </row>
    <row r="235" spans="1:14" x14ac:dyDescent="0.2">
      <c r="A235" s="106">
        <v>242</v>
      </c>
      <c r="B235" s="106" t="str">
        <f>VLOOKUP( $A235, Aop!$A$2:$P$456, 2, 0)</f>
        <v>BUa</v>
      </c>
      <c r="C235" s="56">
        <f t="shared" si="31"/>
        <v>4</v>
      </c>
      <c r="D235" s="56" t="str">
        <f t="shared" si="28"/>
        <v>01814788</v>
      </c>
      <c r="E235" s="56" t="str">
        <f t="shared" si="29"/>
        <v>4400570050004</v>
      </c>
      <c r="F235" s="56" t="b">
        <f t="shared" si="32"/>
        <v>0</v>
      </c>
      <c r="G235" s="141">
        <f t="shared" si="33"/>
        <v>46022</v>
      </c>
      <c r="H235" s="106">
        <f>VLOOKUP( $A235, Aop!$A$2:$P$456, 4, 0)</f>
        <v>304</v>
      </c>
      <c r="I235" s="56">
        <f t="shared" si="30"/>
        <v>2025</v>
      </c>
      <c r="J235" s="56"/>
      <c r="K235" s="56"/>
      <c r="L235" s="56"/>
      <c r="M235" s="56" t="str">
        <f t="shared" ca="1" si="34"/>
        <v/>
      </c>
      <c r="N235" s="56" t="str">
        <f t="shared" ca="1" si="35"/>
        <v/>
      </c>
    </row>
    <row r="236" spans="1:14" x14ac:dyDescent="0.2">
      <c r="A236" s="106">
        <v>243</v>
      </c>
      <c r="B236" s="106" t="str">
        <f>VLOOKUP( $A236, Aop!$A$2:$P$456, 2, 0)</f>
        <v>BUa</v>
      </c>
      <c r="C236" s="56">
        <f t="shared" si="31"/>
        <v>4</v>
      </c>
      <c r="D236" s="56" t="str">
        <f t="shared" si="28"/>
        <v>01814788</v>
      </c>
      <c r="E236" s="56" t="str">
        <f t="shared" si="29"/>
        <v>4400570050004</v>
      </c>
      <c r="F236" s="56" t="b">
        <f t="shared" si="32"/>
        <v>0</v>
      </c>
      <c r="G236" s="141">
        <f t="shared" si="33"/>
        <v>46022</v>
      </c>
      <c r="H236" s="106">
        <f>VLOOKUP( $A236, Aop!$A$2:$P$456, 4, 0)</f>
        <v>305</v>
      </c>
      <c r="I236" s="56">
        <f t="shared" si="30"/>
        <v>2025</v>
      </c>
      <c r="J236" s="56"/>
      <c r="K236" s="56"/>
      <c r="L236" s="56"/>
      <c r="M236" s="56" t="str">
        <f t="shared" ca="1" si="34"/>
        <v/>
      </c>
      <c r="N236" s="56">
        <f t="shared" ca="1" si="35"/>
        <v>37703696</v>
      </c>
    </row>
    <row r="237" spans="1:14" x14ac:dyDescent="0.2">
      <c r="A237" s="106">
        <v>244</v>
      </c>
      <c r="B237" s="106" t="str">
        <f>VLOOKUP( $A237, Aop!$A$2:$P$456, 2, 0)</f>
        <v>BUa</v>
      </c>
      <c r="C237" s="56">
        <f t="shared" si="31"/>
        <v>4</v>
      </c>
      <c r="D237" s="56" t="str">
        <f t="shared" si="28"/>
        <v>01814788</v>
      </c>
      <c r="E237" s="56" t="str">
        <f t="shared" si="29"/>
        <v>4400570050004</v>
      </c>
      <c r="F237" s="56" t="b">
        <f t="shared" si="32"/>
        <v>0</v>
      </c>
      <c r="G237" s="141">
        <f t="shared" si="33"/>
        <v>46022</v>
      </c>
      <c r="H237" s="106">
        <f>VLOOKUP( $A237, Aop!$A$2:$P$456, 4, 0)</f>
        <v>306</v>
      </c>
      <c r="I237" s="56">
        <f t="shared" si="30"/>
        <v>2025</v>
      </c>
      <c r="J237" s="56"/>
      <c r="K237" s="56"/>
      <c r="L237" s="56"/>
      <c r="M237" s="56" t="str">
        <f t="shared" ca="1" si="34"/>
        <v/>
      </c>
      <c r="N237" s="56">
        <f t="shared" ca="1" si="35"/>
        <v>37059201</v>
      </c>
    </row>
    <row r="238" spans="1:14" x14ac:dyDescent="0.2">
      <c r="A238" s="106">
        <v>245</v>
      </c>
      <c r="B238" s="106" t="str">
        <f>VLOOKUP( $A238, Aop!$A$2:$P$456, 2, 0)</f>
        <v>BUa</v>
      </c>
      <c r="C238" s="56">
        <f t="shared" si="31"/>
        <v>4</v>
      </c>
      <c r="D238" s="56" t="str">
        <f t="shared" si="28"/>
        <v>01814788</v>
      </c>
      <c r="E238" s="56" t="str">
        <f t="shared" si="29"/>
        <v>4400570050004</v>
      </c>
      <c r="F238" s="56" t="b">
        <f t="shared" si="32"/>
        <v>0</v>
      </c>
      <c r="G238" s="141">
        <f t="shared" si="33"/>
        <v>46022</v>
      </c>
      <c r="H238" s="106">
        <f>VLOOKUP( $A238, Aop!$A$2:$P$456, 4, 0)</f>
        <v>307</v>
      </c>
      <c r="I238" s="56">
        <f t="shared" si="30"/>
        <v>2025</v>
      </c>
      <c r="J238" s="56"/>
      <c r="K238" s="56"/>
      <c r="L238" s="56"/>
      <c r="M238" s="56" t="str">
        <f t="shared" ca="1" si="34"/>
        <v/>
      </c>
      <c r="N238" s="56">
        <f t="shared" ca="1" si="35"/>
        <v>644495</v>
      </c>
    </row>
    <row r="239" spans="1:14" x14ac:dyDescent="0.2">
      <c r="A239" s="106">
        <v>246</v>
      </c>
      <c r="B239" s="106" t="str">
        <f>VLOOKUP( $A239, Aop!$A$2:$P$456, 2, 0)</f>
        <v>BUa</v>
      </c>
      <c r="C239" s="56">
        <f t="shared" si="31"/>
        <v>4</v>
      </c>
      <c r="D239" s="56" t="str">
        <f t="shared" si="28"/>
        <v>01814788</v>
      </c>
      <c r="E239" s="56" t="str">
        <f t="shared" si="29"/>
        <v>4400570050004</v>
      </c>
      <c r="F239" s="56" t="b">
        <f t="shared" si="32"/>
        <v>0</v>
      </c>
      <c r="G239" s="141">
        <f t="shared" si="33"/>
        <v>46022</v>
      </c>
      <c r="H239" s="106">
        <f>VLOOKUP( $A239, Aop!$A$2:$P$456, 4, 0)</f>
        <v>308</v>
      </c>
      <c r="I239" s="56">
        <f t="shared" si="30"/>
        <v>2025</v>
      </c>
      <c r="J239" s="56"/>
      <c r="K239" s="56"/>
      <c r="L239" s="56"/>
      <c r="M239" s="56" t="str">
        <f t="shared" ca="1" si="34"/>
        <v/>
      </c>
      <c r="N239" s="56">
        <f t="shared" ca="1" si="35"/>
        <v>0</v>
      </c>
    </row>
    <row r="240" spans="1:14" x14ac:dyDescent="0.2">
      <c r="A240" s="106">
        <v>247</v>
      </c>
      <c r="B240" s="106" t="str">
        <f>VLOOKUP( $A240, Aop!$A$2:$P$456, 2, 0)</f>
        <v>BUa</v>
      </c>
      <c r="C240" s="56">
        <f t="shared" si="31"/>
        <v>4</v>
      </c>
      <c r="D240" s="56" t="str">
        <f t="shared" si="28"/>
        <v>01814788</v>
      </c>
      <c r="E240" s="56" t="str">
        <f t="shared" si="29"/>
        <v>4400570050004</v>
      </c>
      <c r="F240" s="56" t="b">
        <f t="shared" si="32"/>
        <v>0</v>
      </c>
      <c r="G240" s="141">
        <f t="shared" si="33"/>
        <v>46022</v>
      </c>
      <c r="H240" s="106">
        <f>VLOOKUP( $A240, Aop!$A$2:$P$456, 4, 0)</f>
        <v>309</v>
      </c>
      <c r="I240" s="56">
        <f t="shared" si="30"/>
        <v>2025</v>
      </c>
      <c r="J240" s="56"/>
      <c r="K240" s="56"/>
      <c r="L240" s="56"/>
      <c r="M240" s="56">
        <f t="shared" ca="1" si="34"/>
        <v>19</v>
      </c>
      <c r="N240" s="56">
        <f t="shared" ca="1" si="35"/>
        <v>218070</v>
      </c>
    </row>
    <row r="241" spans="1:14" x14ac:dyDescent="0.2">
      <c r="A241" s="106">
        <v>248</v>
      </c>
      <c r="B241" s="106" t="str">
        <f>VLOOKUP( $A241, Aop!$A$2:$P$456, 2, 0)</f>
        <v>BUa</v>
      </c>
      <c r="C241" s="56">
        <f t="shared" si="31"/>
        <v>4</v>
      </c>
      <c r="D241" s="56" t="str">
        <f t="shared" si="28"/>
        <v>01814788</v>
      </c>
      <c r="E241" s="56" t="str">
        <f t="shared" si="29"/>
        <v>4400570050004</v>
      </c>
      <c r="F241" s="56" t="b">
        <f t="shared" si="32"/>
        <v>0</v>
      </c>
      <c r="G241" s="141">
        <f t="shared" si="33"/>
        <v>46022</v>
      </c>
      <c r="H241" s="106">
        <f>VLOOKUP( $A241, Aop!$A$2:$P$456, 4, 0)</f>
        <v>310</v>
      </c>
      <c r="I241" s="56">
        <f t="shared" si="30"/>
        <v>2025</v>
      </c>
      <c r="J241" s="56"/>
      <c r="K241" s="56"/>
      <c r="L241" s="56"/>
      <c r="M241" s="56">
        <f t="shared" ca="1" si="34"/>
        <v>19</v>
      </c>
      <c r="N241" s="56">
        <f t="shared" ca="1" si="35"/>
        <v>22895</v>
      </c>
    </row>
    <row r="242" spans="1:14" x14ac:dyDescent="0.2">
      <c r="A242" s="106">
        <v>249</v>
      </c>
      <c r="B242" s="106" t="str">
        <f>VLOOKUP( $A242, Aop!$A$2:$P$456, 2, 0)</f>
        <v>BUa</v>
      </c>
      <c r="C242" s="56">
        <f t="shared" si="31"/>
        <v>4</v>
      </c>
      <c r="D242" s="56" t="str">
        <f t="shared" si="28"/>
        <v>01814788</v>
      </c>
      <c r="E242" s="56" t="str">
        <f t="shared" si="29"/>
        <v>4400570050004</v>
      </c>
      <c r="F242" s="56" t="b">
        <f t="shared" si="32"/>
        <v>0</v>
      </c>
      <c r="G242" s="141">
        <f t="shared" si="33"/>
        <v>46022</v>
      </c>
      <c r="H242" s="106">
        <f>VLOOKUP( $A242, Aop!$A$2:$P$456, 4, 0)</f>
        <v>311</v>
      </c>
      <c r="I242" s="56">
        <f t="shared" si="30"/>
        <v>2025</v>
      </c>
      <c r="J242" s="56"/>
      <c r="K242" s="56"/>
      <c r="L242" s="56"/>
      <c r="M242" s="56" t="str">
        <f t="shared" ca="1" si="34"/>
        <v/>
      </c>
      <c r="N242" s="56">
        <f t="shared" ca="1" si="35"/>
        <v>22895</v>
      </c>
    </row>
    <row r="243" spans="1:14" x14ac:dyDescent="0.2">
      <c r="A243" s="106">
        <v>250</v>
      </c>
      <c r="B243" s="106" t="str">
        <f>VLOOKUP( $A243, Aop!$A$2:$P$456, 2, 0)</f>
        <v>BUa</v>
      </c>
      <c r="C243" s="56">
        <f t="shared" si="31"/>
        <v>4</v>
      </c>
      <c r="D243" s="56" t="str">
        <f t="shared" si="28"/>
        <v>01814788</v>
      </c>
      <c r="E243" s="56" t="str">
        <f t="shared" si="29"/>
        <v>4400570050004</v>
      </c>
      <c r="F243" s="56" t="b">
        <f t="shared" si="32"/>
        <v>0</v>
      </c>
      <c r="G243" s="141">
        <f t="shared" si="33"/>
        <v>46022</v>
      </c>
      <c r="H243" s="106">
        <f>VLOOKUP( $A243, Aop!$A$2:$P$456, 4, 0)</f>
        <v>312</v>
      </c>
      <c r="I243" s="56">
        <f t="shared" si="30"/>
        <v>2025</v>
      </c>
      <c r="J243" s="56"/>
      <c r="K243" s="56"/>
      <c r="L243" s="56"/>
      <c r="M243" s="56" t="str">
        <f t="shared" ca="1" si="34"/>
        <v/>
      </c>
      <c r="N243" s="56" t="str">
        <f t="shared" ca="1" si="35"/>
        <v/>
      </c>
    </row>
    <row r="244" spans="1:14" x14ac:dyDescent="0.2">
      <c r="A244" s="106">
        <v>251</v>
      </c>
      <c r="B244" s="106" t="str">
        <f>VLOOKUP( $A244, Aop!$A$2:$P$456, 2, 0)</f>
        <v>BUa</v>
      </c>
      <c r="C244" s="56">
        <f t="shared" si="31"/>
        <v>4</v>
      </c>
      <c r="D244" s="56" t="str">
        <f t="shared" si="28"/>
        <v>01814788</v>
      </c>
      <c r="E244" s="56" t="str">
        <f t="shared" si="29"/>
        <v>4400570050004</v>
      </c>
      <c r="F244" s="56" t="b">
        <f t="shared" si="32"/>
        <v>0</v>
      </c>
      <c r="G244" s="141">
        <f t="shared" si="33"/>
        <v>46022</v>
      </c>
      <c r="H244" s="106">
        <f>VLOOKUP( $A244, Aop!$A$2:$P$456, 4, 0)</f>
        <v>313</v>
      </c>
      <c r="I244" s="56">
        <f t="shared" si="30"/>
        <v>2025</v>
      </c>
      <c r="J244" s="56"/>
      <c r="K244" s="56"/>
      <c r="L244" s="56"/>
      <c r="M244" s="56">
        <f t="shared" ca="1" si="34"/>
        <v>19</v>
      </c>
      <c r="N244" s="56">
        <f t="shared" ca="1" si="35"/>
        <v>97295</v>
      </c>
    </row>
    <row r="245" spans="1:14" x14ac:dyDescent="0.2">
      <c r="A245" s="106">
        <v>252</v>
      </c>
      <c r="B245" s="106" t="str">
        <f>VLOOKUP( $A245, Aop!$A$2:$P$456, 2, 0)</f>
        <v>BUa</v>
      </c>
      <c r="C245" s="56">
        <f t="shared" si="31"/>
        <v>4</v>
      </c>
      <c r="D245" s="56" t="str">
        <f t="shared" si="28"/>
        <v>01814788</v>
      </c>
      <c r="E245" s="56" t="str">
        <f t="shared" si="29"/>
        <v>4400570050004</v>
      </c>
      <c r="F245" s="56" t="b">
        <f t="shared" si="32"/>
        <v>0</v>
      </c>
      <c r="G245" s="141">
        <f t="shared" si="33"/>
        <v>46022</v>
      </c>
      <c r="H245" s="106">
        <f>VLOOKUP( $A245, Aop!$A$2:$P$456, 4, 0)</f>
        <v>314</v>
      </c>
      <c r="I245" s="56">
        <f t="shared" si="30"/>
        <v>2025</v>
      </c>
      <c r="J245" s="56"/>
      <c r="K245" s="56"/>
      <c r="L245" s="56"/>
      <c r="M245" s="56" t="str">
        <f t="shared" ca="1" si="34"/>
        <v/>
      </c>
      <c r="N245" s="56" t="str">
        <f t="shared" ca="1" si="35"/>
        <v/>
      </c>
    </row>
    <row r="246" spans="1:14" x14ac:dyDescent="0.2">
      <c r="A246" s="106">
        <v>253</v>
      </c>
      <c r="B246" s="106" t="str">
        <f>VLOOKUP( $A246, Aop!$A$2:$P$456, 2, 0)</f>
        <v>BUa</v>
      </c>
      <c r="C246" s="56">
        <f t="shared" si="31"/>
        <v>4</v>
      </c>
      <c r="D246" s="56" t="str">
        <f t="shared" si="28"/>
        <v>01814788</v>
      </c>
      <c r="E246" s="56" t="str">
        <f t="shared" si="29"/>
        <v>4400570050004</v>
      </c>
      <c r="F246" s="56" t="b">
        <f t="shared" si="32"/>
        <v>0</v>
      </c>
      <c r="G246" s="141">
        <f t="shared" si="33"/>
        <v>46022</v>
      </c>
      <c r="H246" s="106">
        <f>VLOOKUP( $A246, Aop!$A$2:$P$456, 4, 0)</f>
        <v>315</v>
      </c>
      <c r="I246" s="56">
        <f t="shared" si="30"/>
        <v>2025</v>
      </c>
      <c r="J246" s="56"/>
      <c r="K246" s="56"/>
      <c r="L246" s="56"/>
      <c r="M246" s="56" t="str">
        <f t="shared" ca="1" si="34"/>
        <v/>
      </c>
      <c r="N246" s="56">
        <f t="shared" ca="1" si="35"/>
        <v>97295</v>
      </c>
    </row>
    <row r="247" spans="1:14" x14ac:dyDescent="0.2">
      <c r="A247" s="106">
        <v>254</v>
      </c>
      <c r="B247" s="56" t="str">
        <f>VLOOKUP( $A247, Aop!$A$2:$P$456, 2, 0)</f>
        <v>BUa</v>
      </c>
      <c r="C247" s="56">
        <f>ID_Izvjestaj</f>
        <v>4</v>
      </c>
      <c r="D247" s="56" t="str">
        <f>Podatak_MB</f>
        <v>01814788</v>
      </c>
      <c r="E247" s="56" t="str">
        <f>Podatak_JIB</f>
        <v>4400570050004</v>
      </c>
      <c r="F247" s="56" t="b">
        <f>Konsolidovan_izvjestaj</f>
        <v>0</v>
      </c>
      <c r="G247" s="141">
        <f>Datum_Broj</f>
        <v>46022</v>
      </c>
      <c r="H247" s="56">
        <f>VLOOKUP( $A247, Aop!$A$2:$P$456, 4, 0)</f>
        <v>316</v>
      </c>
      <c r="I247" s="56">
        <f>Godina</f>
        <v>2025</v>
      </c>
      <c r="J247" s="56"/>
      <c r="K247" s="56"/>
      <c r="L247" s="56"/>
      <c r="M247" s="56" t="str">
        <f t="shared" ca="1" si="34"/>
        <v/>
      </c>
      <c r="N247" s="56">
        <f t="shared" ca="1" si="35"/>
        <v>500825</v>
      </c>
    </row>
    <row r="248" spans="1:14" x14ac:dyDescent="0.2">
      <c r="A248" s="106">
        <v>255</v>
      </c>
      <c r="B248" s="106" t="str">
        <f>VLOOKUP( $A248, Aop!$A$2:$P$456, 2, 0)</f>
        <v>BUa</v>
      </c>
      <c r="C248" s="56">
        <f t="shared" si="31"/>
        <v>4</v>
      </c>
      <c r="D248" s="56" t="str">
        <f t="shared" si="28"/>
        <v>01814788</v>
      </c>
      <c r="E248" s="56" t="str">
        <f t="shared" si="29"/>
        <v>4400570050004</v>
      </c>
      <c r="F248" s="56" t="b">
        <f t="shared" si="32"/>
        <v>0</v>
      </c>
      <c r="G248" s="141">
        <f t="shared" si="33"/>
        <v>46022</v>
      </c>
      <c r="H248" s="106">
        <f>VLOOKUP( $A248, Aop!$A$2:$P$456, 4, 0)</f>
        <v>317</v>
      </c>
      <c r="I248" s="56">
        <f t="shared" si="30"/>
        <v>2025</v>
      </c>
      <c r="J248" s="56"/>
      <c r="K248" s="56"/>
      <c r="L248" s="56"/>
      <c r="M248" s="56" t="str">
        <f t="shared" ca="1" si="34"/>
        <v/>
      </c>
      <c r="N248" s="56">
        <f t="shared" ca="1" si="35"/>
        <v>0</v>
      </c>
    </row>
    <row r="249" spans="1:14" x14ac:dyDescent="0.2">
      <c r="A249" s="106">
        <v>256</v>
      </c>
      <c r="B249" s="106" t="str">
        <f>VLOOKUP( $A249, Aop!$A$2:$P$456, 2, 0)</f>
        <v>BUa</v>
      </c>
      <c r="C249" s="56">
        <f t="shared" si="31"/>
        <v>4</v>
      </c>
      <c r="D249" s="56" t="str">
        <f t="shared" si="28"/>
        <v>01814788</v>
      </c>
      <c r="E249" s="56" t="str">
        <f t="shared" si="29"/>
        <v>4400570050004</v>
      </c>
      <c r="F249" s="56" t="b">
        <f t="shared" si="32"/>
        <v>0</v>
      </c>
      <c r="G249" s="141">
        <f t="shared" si="33"/>
        <v>46022</v>
      </c>
      <c r="H249" s="106">
        <f>VLOOKUP( $A249, Aop!$A$2:$P$456, 4, 0)</f>
        <v>318</v>
      </c>
      <c r="I249" s="56">
        <f t="shared" si="30"/>
        <v>2025</v>
      </c>
      <c r="J249" s="56"/>
      <c r="K249" s="56"/>
      <c r="L249" s="56"/>
      <c r="M249" s="56" t="str">
        <f t="shared" ca="1" si="34"/>
        <v/>
      </c>
      <c r="N249" s="56" t="str">
        <f t="shared" ca="1" si="35"/>
        <v/>
      </c>
    </row>
    <row r="250" spans="1:14" x14ac:dyDescent="0.2">
      <c r="A250" s="106">
        <v>257</v>
      </c>
      <c r="B250" s="56" t="str">
        <f>VLOOKUP( $A250, Aop!$A$2:$P$456, 2, 0)</f>
        <v>BUa</v>
      </c>
      <c r="C250" s="56">
        <f>ID_Izvjestaj</f>
        <v>4</v>
      </c>
      <c r="D250" s="56" t="str">
        <f>Podatak_MB</f>
        <v>01814788</v>
      </c>
      <c r="E250" s="56" t="str">
        <f>Podatak_JIB</f>
        <v>4400570050004</v>
      </c>
      <c r="F250" s="56" t="b">
        <f>Konsolidovan_izvjestaj</f>
        <v>0</v>
      </c>
      <c r="G250" s="141">
        <f>Datum_Broj</f>
        <v>46022</v>
      </c>
      <c r="H250" s="56">
        <f>VLOOKUP( $A250, Aop!$A$2:$P$456, 4, 0)</f>
        <v>319</v>
      </c>
      <c r="I250" s="56">
        <f>Godina</f>
        <v>2025</v>
      </c>
      <c r="J250" s="56"/>
      <c r="K250" s="56"/>
      <c r="L250" s="56"/>
      <c r="M250" s="56" t="str">
        <f t="shared" ca="1" si="34"/>
        <v/>
      </c>
      <c r="N250" s="56">
        <f t="shared" ca="1" si="35"/>
        <v>325536</v>
      </c>
    </row>
    <row r="251" spans="1:14" x14ac:dyDescent="0.2">
      <c r="A251" s="106">
        <v>258</v>
      </c>
      <c r="B251" s="106" t="str">
        <f>VLOOKUP( $A251, Aop!$A$2:$P$456, 2, 0)</f>
        <v>BUa</v>
      </c>
      <c r="C251" s="56">
        <f t="shared" si="31"/>
        <v>4</v>
      </c>
      <c r="D251" s="56" t="str">
        <f t="shared" si="28"/>
        <v>01814788</v>
      </c>
      <c r="E251" s="56" t="str">
        <f t="shared" si="29"/>
        <v>4400570050004</v>
      </c>
      <c r="F251" s="56" t="b">
        <f t="shared" si="32"/>
        <v>0</v>
      </c>
      <c r="G251" s="141">
        <f t="shared" si="33"/>
        <v>46022</v>
      </c>
      <c r="H251" s="106">
        <f>VLOOKUP( $A251, Aop!$A$2:$P$456, 4, 0)</f>
        <v>320</v>
      </c>
      <c r="I251" s="56">
        <f t="shared" si="30"/>
        <v>2025</v>
      </c>
      <c r="J251" s="56"/>
      <c r="K251" s="56"/>
      <c r="L251" s="56"/>
      <c r="M251" s="56" t="str">
        <f t="shared" ca="1" si="34"/>
        <v/>
      </c>
      <c r="N251" s="56">
        <f t="shared" ca="1" si="35"/>
        <v>175289</v>
      </c>
    </row>
    <row r="252" spans="1:14" x14ac:dyDescent="0.2">
      <c r="A252" s="106">
        <v>259</v>
      </c>
      <c r="B252" s="106" t="str">
        <f>VLOOKUP( $A252, Aop!$A$2:$P$456, 2, 0)</f>
        <v>BUa</v>
      </c>
      <c r="C252" s="56">
        <f t="shared" si="31"/>
        <v>4</v>
      </c>
      <c r="D252" s="56" t="str">
        <f t="shared" ref="D252:D309" si="36">Podatak_MB</f>
        <v>01814788</v>
      </c>
      <c r="E252" s="56" t="str">
        <f t="shared" ref="E252:E309" si="37">Podatak_JIB</f>
        <v>4400570050004</v>
      </c>
      <c r="F252" s="56" t="b">
        <f t="shared" si="32"/>
        <v>0</v>
      </c>
      <c r="G252" s="141">
        <f t="shared" si="33"/>
        <v>46022</v>
      </c>
      <c r="H252" s="106">
        <f>VLOOKUP( $A252, Aop!$A$2:$P$456, 4, 0)</f>
        <v>321</v>
      </c>
      <c r="I252" s="56">
        <f t="shared" ref="I252:I309" si="38">Godina</f>
        <v>2025</v>
      </c>
      <c r="J252" s="56"/>
      <c r="K252" s="56"/>
      <c r="L252" s="56"/>
      <c r="M252" s="56">
        <f t="shared" ca="1" si="34"/>
        <v>35</v>
      </c>
      <c r="N252" s="56">
        <f t="shared" ca="1" si="35"/>
        <v>0.13700000000000001</v>
      </c>
    </row>
    <row r="253" spans="1:14" x14ac:dyDescent="0.2">
      <c r="A253" s="106">
        <v>260</v>
      </c>
      <c r="B253" s="106" t="str">
        <f>VLOOKUP( $A253, Aop!$A$2:$P$456, 2, 0)</f>
        <v>BUa</v>
      </c>
      <c r="C253" s="56">
        <f t="shared" ref="C253:C310" si="39">ID_Izvjestaj</f>
        <v>4</v>
      </c>
      <c r="D253" s="56" t="str">
        <f t="shared" si="36"/>
        <v>01814788</v>
      </c>
      <c r="E253" s="56" t="str">
        <f t="shared" si="37"/>
        <v>4400570050004</v>
      </c>
      <c r="F253" s="56" t="b">
        <f t="shared" ref="F253:F310" si="40">Konsolidovan_izvjestaj</f>
        <v>0</v>
      </c>
      <c r="G253" s="141">
        <f t="shared" ref="G253:G310" si="41">Datum_Broj</f>
        <v>46022</v>
      </c>
      <c r="H253" s="106">
        <f>VLOOKUP( $A253, Aop!$A$2:$P$456, 4, 0)</f>
        <v>322</v>
      </c>
      <c r="I253" s="56">
        <f t="shared" si="38"/>
        <v>2025</v>
      </c>
      <c r="J253" s="56"/>
      <c r="K253" s="56"/>
      <c r="L253" s="56"/>
      <c r="M253" s="56" t="str">
        <f t="shared" ca="1" si="34"/>
        <v/>
      </c>
      <c r="N253" s="56" t="str">
        <f t="shared" ca="1" si="35"/>
        <v/>
      </c>
    </row>
    <row r="254" spans="1:14" x14ac:dyDescent="0.2">
      <c r="A254" s="106">
        <v>261</v>
      </c>
      <c r="B254" s="106" t="str">
        <f>VLOOKUP( $A254, Aop!$A$2:$P$456, 2, 0)</f>
        <v>BUa</v>
      </c>
      <c r="C254" s="56">
        <f t="shared" si="39"/>
        <v>4</v>
      </c>
      <c r="D254" s="56" t="str">
        <f t="shared" si="36"/>
        <v>01814788</v>
      </c>
      <c r="E254" s="56" t="str">
        <f t="shared" si="37"/>
        <v>4400570050004</v>
      </c>
      <c r="F254" s="56" t="b">
        <f t="shared" si="40"/>
        <v>0</v>
      </c>
      <c r="G254" s="141">
        <f t="shared" si="41"/>
        <v>46022</v>
      </c>
      <c r="H254" s="106">
        <f>VLOOKUP( $A254, Aop!$A$2:$P$456, 4, 0)</f>
        <v>323</v>
      </c>
      <c r="I254" s="56">
        <f t="shared" si="38"/>
        <v>2025</v>
      </c>
      <c r="J254" s="56"/>
      <c r="K254" s="56"/>
      <c r="L254" s="56"/>
      <c r="M254" s="56" t="str">
        <f t="shared" ca="1" si="34"/>
        <v/>
      </c>
      <c r="N254" s="56">
        <f t="shared" ca="1" si="35"/>
        <v>403</v>
      </c>
    </row>
    <row r="255" spans="1:14" x14ac:dyDescent="0.2">
      <c r="A255" s="106">
        <v>262</v>
      </c>
      <c r="B255" s="106" t="str">
        <f>VLOOKUP( $A255, Aop!$A$2:$P$456, 2, 0)</f>
        <v>BUa</v>
      </c>
      <c r="C255" s="56">
        <f t="shared" si="39"/>
        <v>4</v>
      </c>
      <c r="D255" s="56" t="str">
        <f t="shared" si="36"/>
        <v>01814788</v>
      </c>
      <c r="E255" s="56" t="str">
        <f t="shared" si="37"/>
        <v>4400570050004</v>
      </c>
      <c r="F255" s="56" t="b">
        <f t="shared" si="40"/>
        <v>0</v>
      </c>
      <c r="G255" s="141">
        <f t="shared" si="41"/>
        <v>46022</v>
      </c>
      <c r="H255" s="106">
        <f>VLOOKUP( $A255, Aop!$A$2:$P$456, 4, 0)</f>
        <v>324</v>
      </c>
      <c r="I255" s="56">
        <f t="shared" si="38"/>
        <v>2025</v>
      </c>
      <c r="J255" s="56"/>
      <c r="K255" s="56"/>
      <c r="L255" s="56"/>
      <c r="M255" s="56" t="str">
        <f t="shared" ca="1" si="34"/>
        <v/>
      </c>
      <c r="N255" s="56">
        <f t="shared" ca="1" si="35"/>
        <v>400</v>
      </c>
    </row>
    <row r="256" spans="1:14" x14ac:dyDescent="0.2">
      <c r="A256" s="106">
        <v>263</v>
      </c>
      <c r="B256" s="106" t="str">
        <f>VLOOKUP( $A256, Aop!$A$2:$P$456, 2, 0)</f>
        <v>BUb</v>
      </c>
      <c r="C256" s="56">
        <f t="shared" si="39"/>
        <v>4</v>
      </c>
      <c r="D256" s="56" t="str">
        <f t="shared" si="36"/>
        <v>01814788</v>
      </c>
      <c r="E256" s="56" t="str">
        <f t="shared" si="37"/>
        <v>4400570050004</v>
      </c>
      <c r="F256" s="56" t="b">
        <f t="shared" si="40"/>
        <v>0</v>
      </c>
      <c r="G256" s="141">
        <f t="shared" si="41"/>
        <v>46022</v>
      </c>
      <c r="H256" s="106">
        <f>VLOOKUP( $A256, Aop!$A$2:$P$456, 4, 0)</f>
        <v>400</v>
      </c>
      <c r="I256" s="56">
        <f t="shared" si="38"/>
        <v>2025</v>
      </c>
      <c r="J256" s="56"/>
      <c r="K256" s="56"/>
      <c r="L256" s="56"/>
      <c r="M256" s="56" t="str">
        <f t="shared" ca="1" si="34"/>
        <v/>
      </c>
      <c r="N256" s="56">
        <f t="shared" ca="1" si="35"/>
        <v>500825</v>
      </c>
    </row>
    <row r="257" spans="1:14" x14ac:dyDescent="0.2">
      <c r="A257" s="106">
        <v>264</v>
      </c>
      <c r="B257" s="106" t="str">
        <f>VLOOKUP( $A257, Aop!$A$2:$P$456, 2, 0)</f>
        <v>BUb</v>
      </c>
      <c r="C257" s="56">
        <f t="shared" si="39"/>
        <v>4</v>
      </c>
      <c r="D257" s="56" t="str">
        <f t="shared" si="36"/>
        <v>01814788</v>
      </c>
      <c r="E257" s="56" t="str">
        <f t="shared" si="37"/>
        <v>4400570050004</v>
      </c>
      <c r="F257" s="56" t="b">
        <f t="shared" si="40"/>
        <v>0</v>
      </c>
      <c r="G257" s="141">
        <f t="shared" si="41"/>
        <v>46022</v>
      </c>
      <c r="H257" s="106">
        <f>VLOOKUP( $A257, Aop!$A$2:$P$456, 4, 0)</f>
        <v>401</v>
      </c>
      <c r="I257" s="56">
        <f t="shared" si="38"/>
        <v>2025</v>
      </c>
      <c r="J257" s="56"/>
      <c r="K257" s="56"/>
      <c r="L257" s="56"/>
      <c r="M257" s="56" t="str">
        <f t="shared" ca="1" si="34"/>
        <v/>
      </c>
      <c r="N257" s="56">
        <f t="shared" ca="1" si="35"/>
        <v>0</v>
      </c>
    </row>
    <row r="258" spans="1:14" x14ac:dyDescent="0.2">
      <c r="A258" s="106">
        <v>265</v>
      </c>
      <c r="B258" s="106" t="str">
        <f>VLOOKUP( $A258, Aop!$A$2:$P$456, 2, 0)</f>
        <v>BUb</v>
      </c>
      <c r="C258" s="56">
        <f t="shared" si="39"/>
        <v>4</v>
      </c>
      <c r="D258" s="56" t="str">
        <f t="shared" si="36"/>
        <v>01814788</v>
      </c>
      <c r="E258" s="56" t="str">
        <f t="shared" si="37"/>
        <v>4400570050004</v>
      </c>
      <c r="F258" s="56" t="b">
        <f t="shared" si="40"/>
        <v>0</v>
      </c>
      <c r="G258" s="141">
        <f t="shared" si="41"/>
        <v>46022</v>
      </c>
      <c r="H258" s="106">
        <f>VLOOKUP( $A258, Aop!$A$2:$P$456, 4, 0)</f>
        <v>402</v>
      </c>
      <c r="I258" s="56">
        <f t="shared" si="38"/>
        <v>2025</v>
      </c>
      <c r="J258" s="56"/>
      <c r="K258" s="56"/>
      <c r="L258" s="56"/>
      <c r="M258" s="56" t="str">
        <f t="shared" ca="1" si="34"/>
        <v/>
      </c>
      <c r="N258" s="56" t="str">
        <f t="shared" ca="1" si="35"/>
        <v/>
      </c>
    </row>
    <row r="259" spans="1:14" x14ac:dyDescent="0.2">
      <c r="A259" s="106">
        <v>266</v>
      </c>
      <c r="B259" s="106" t="str">
        <f>VLOOKUP( $A259, Aop!$A$2:$P$456, 2, 0)</f>
        <v>BUb</v>
      </c>
      <c r="C259" s="56">
        <f t="shared" si="39"/>
        <v>4</v>
      </c>
      <c r="D259" s="56" t="str">
        <f t="shared" si="36"/>
        <v>01814788</v>
      </c>
      <c r="E259" s="56" t="str">
        <f t="shared" si="37"/>
        <v>4400570050004</v>
      </c>
      <c r="F259" s="56" t="b">
        <f t="shared" si="40"/>
        <v>0</v>
      </c>
      <c r="G259" s="141">
        <f t="shared" si="41"/>
        <v>46022</v>
      </c>
      <c r="H259" s="106">
        <f>VLOOKUP( $A259, Aop!$A$2:$P$456, 4, 0)</f>
        <v>403</v>
      </c>
      <c r="I259" s="56">
        <f t="shared" si="38"/>
        <v>2025</v>
      </c>
      <c r="J259" s="56"/>
      <c r="K259" s="56"/>
      <c r="L259" s="56"/>
      <c r="M259" s="56" t="str">
        <f t="shared" ref="M259:M322" ca="1" si="42">IF( VLOOKUP( $H259, INDIRECT( "Lookup_" &amp; $B259), IF( LEFT( $B259, 2) = "BS", S$2, S$1), 0) = "", "", VLOOKUP( $H259, INDIRECT( "Lookup_" &amp; $B259), IF( LEFT( $B259, 2) = "BS", S$2, S$1), 0))</f>
        <v/>
      </c>
      <c r="N259" s="56" t="str">
        <f t="shared" ref="N259:N322" ca="1" si="43">IF( VLOOKUP( $H259, INDIRECT( "Lookup_" &amp; $B259), IF( LEFT( $B259, 2) = "BS", T$2, T$1), 0) = "", "", VLOOKUP( $H259, INDIRECT( "Lookup_" &amp; $B259), IF( LEFT( $B259, 2) = "BS", T$2, T$1), 0))</f>
        <v/>
      </c>
    </row>
    <row r="260" spans="1:14" x14ac:dyDescent="0.2">
      <c r="A260" s="106">
        <v>267</v>
      </c>
      <c r="B260" s="106" t="str">
        <f>VLOOKUP( $A260, Aop!$A$2:$P$456, 2, 0)</f>
        <v>BUb</v>
      </c>
      <c r="C260" s="56">
        <f t="shared" si="39"/>
        <v>4</v>
      </c>
      <c r="D260" s="56" t="str">
        <f t="shared" si="36"/>
        <v>01814788</v>
      </c>
      <c r="E260" s="56" t="str">
        <f t="shared" si="37"/>
        <v>4400570050004</v>
      </c>
      <c r="F260" s="56" t="b">
        <f t="shared" si="40"/>
        <v>0</v>
      </c>
      <c r="G260" s="141">
        <f t="shared" si="41"/>
        <v>46022</v>
      </c>
      <c r="H260" s="106">
        <f>VLOOKUP( $A260, Aop!$A$2:$P$456, 4, 0)</f>
        <v>404</v>
      </c>
      <c r="I260" s="56">
        <f t="shared" si="38"/>
        <v>2025</v>
      </c>
      <c r="J260" s="56"/>
      <c r="K260" s="56"/>
      <c r="L260" s="56"/>
      <c r="M260" s="56" t="str">
        <f t="shared" ca="1" si="42"/>
        <v/>
      </c>
      <c r="N260" s="56" t="str">
        <f t="shared" ca="1" si="43"/>
        <v/>
      </c>
    </row>
    <row r="261" spans="1:14" x14ac:dyDescent="0.2">
      <c r="A261" s="106">
        <v>269</v>
      </c>
      <c r="B261" s="106" t="str">
        <f>VLOOKUP( $A261, Aop!$A$2:$P$456, 2, 0)</f>
        <v>BUb</v>
      </c>
      <c r="C261" s="56">
        <f t="shared" si="39"/>
        <v>4</v>
      </c>
      <c r="D261" s="56" t="str">
        <f t="shared" si="36"/>
        <v>01814788</v>
      </c>
      <c r="E261" s="56" t="str">
        <f t="shared" si="37"/>
        <v>4400570050004</v>
      </c>
      <c r="F261" s="56" t="b">
        <f t="shared" si="40"/>
        <v>0</v>
      </c>
      <c r="G261" s="141">
        <f t="shared" si="41"/>
        <v>46022</v>
      </c>
      <c r="H261" s="106">
        <f>VLOOKUP( $A261, Aop!$A$2:$P$456, 4, 0)</f>
        <v>406</v>
      </c>
      <c r="I261" s="56">
        <f t="shared" si="38"/>
        <v>2025</v>
      </c>
      <c r="J261" s="56"/>
      <c r="K261" s="56"/>
      <c r="L261" s="56"/>
      <c r="M261" s="56" t="str">
        <f t="shared" ca="1" si="42"/>
        <v/>
      </c>
      <c r="N261" s="56" t="str">
        <f t="shared" ca="1" si="43"/>
        <v/>
      </c>
    </row>
    <row r="262" spans="1:14" x14ac:dyDescent="0.2">
      <c r="A262" s="106">
        <v>270</v>
      </c>
      <c r="B262" s="106" t="str">
        <f>VLOOKUP( $A262, Aop!$A$2:$P$456, 2, 0)</f>
        <v>BUb</v>
      </c>
      <c r="C262" s="56">
        <f t="shared" si="39"/>
        <v>4</v>
      </c>
      <c r="D262" s="56" t="str">
        <f t="shared" si="36"/>
        <v>01814788</v>
      </c>
      <c r="E262" s="56" t="str">
        <f t="shared" si="37"/>
        <v>4400570050004</v>
      </c>
      <c r="F262" s="56" t="b">
        <f t="shared" si="40"/>
        <v>0</v>
      </c>
      <c r="G262" s="141">
        <f t="shared" si="41"/>
        <v>46022</v>
      </c>
      <c r="H262" s="106">
        <f>VLOOKUP( $A262, Aop!$A$2:$P$456, 4, 0)</f>
        <v>407</v>
      </c>
      <c r="I262" s="56">
        <f t="shared" si="38"/>
        <v>2025</v>
      </c>
      <c r="J262" s="56"/>
      <c r="K262" s="56"/>
      <c r="L262" s="56"/>
      <c r="M262" s="56" t="str">
        <f t="shared" ca="1" si="42"/>
        <v/>
      </c>
      <c r="N262" s="56" t="str">
        <f t="shared" ca="1" si="43"/>
        <v/>
      </c>
    </row>
    <row r="263" spans="1:14" x14ac:dyDescent="0.2">
      <c r="A263" s="106">
        <v>272</v>
      </c>
      <c r="B263" s="106" t="str">
        <f>VLOOKUP( $A263, Aop!$A$2:$P$456, 2, 0)</f>
        <v>BUb</v>
      </c>
      <c r="C263" s="56">
        <f t="shared" si="39"/>
        <v>4</v>
      </c>
      <c r="D263" s="56" t="str">
        <f t="shared" si="36"/>
        <v>01814788</v>
      </c>
      <c r="E263" s="56" t="str">
        <f t="shared" si="37"/>
        <v>4400570050004</v>
      </c>
      <c r="F263" s="56" t="b">
        <f t="shared" si="40"/>
        <v>0</v>
      </c>
      <c r="G263" s="141">
        <f t="shared" si="41"/>
        <v>46022</v>
      </c>
      <c r="H263" s="106">
        <f>VLOOKUP( $A263, Aop!$A$2:$P$456, 4, 0)</f>
        <v>409</v>
      </c>
      <c r="I263" s="56">
        <f t="shared" si="38"/>
        <v>2025</v>
      </c>
      <c r="J263" s="56"/>
      <c r="K263" s="56"/>
      <c r="L263" s="56"/>
      <c r="M263" s="56" t="str">
        <f t="shared" ca="1" si="42"/>
        <v/>
      </c>
      <c r="N263" s="56">
        <f t="shared" ca="1" si="43"/>
        <v>-2011268</v>
      </c>
    </row>
    <row r="264" spans="1:14" x14ac:dyDescent="0.2">
      <c r="A264" s="106">
        <v>273</v>
      </c>
      <c r="B264" s="106" t="str">
        <f>VLOOKUP( $A264, Aop!$A$2:$P$456, 2, 0)</f>
        <v>BUb</v>
      </c>
      <c r="C264" s="56">
        <f t="shared" si="39"/>
        <v>4</v>
      </c>
      <c r="D264" s="56" t="str">
        <f t="shared" si="36"/>
        <v>01814788</v>
      </c>
      <c r="E264" s="56" t="str">
        <f t="shared" si="37"/>
        <v>4400570050004</v>
      </c>
      <c r="F264" s="56" t="b">
        <f t="shared" si="40"/>
        <v>0</v>
      </c>
      <c r="G264" s="141">
        <f t="shared" si="41"/>
        <v>46022</v>
      </c>
      <c r="H264" s="106">
        <f>VLOOKUP( $A264, Aop!$A$2:$P$456, 4, 0)</f>
        <v>410</v>
      </c>
      <c r="I264" s="56">
        <f t="shared" si="38"/>
        <v>2025</v>
      </c>
      <c r="J264" s="56"/>
      <c r="K264" s="56"/>
      <c r="L264" s="56"/>
      <c r="M264" s="56" t="str">
        <f t="shared" ca="1" si="42"/>
        <v/>
      </c>
      <c r="N264" s="56" t="str">
        <f t="shared" ca="1" si="43"/>
        <v/>
      </c>
    </row>
    <row r="265" spans="1:14" x14ac:dyDescent="0.2">
      <c r="A265" s="106">
        <v>274</v>
      </c>
      <c r="B265" s="106" t="str">
        <f>VLOOKUP( $A265, Aop!$A$2:$P$456, 2, 0)</f>
        <v>BUb</v>
      </c>
      <c r="C265" s="56">
        <f t="shared" si="39"/>
        <v>4</v>
      </c>
      <c r="D265" s="56" t="str">
        <f t="shared" si="36"/>
        <v>01814788</v>
      </c>
      <c r="E265" s="56" t="str">
        <f t="shared" si="37"/>
        <v>4400570050004</v>
      </c>
      <c r="F265" s="56" t="b">
        <f t="shared" si="40"/>
        <v>0</v>
      </c>
      <c r="G265" s="141">
        <f t="shared" si="41"/>
        <v>46022</v>
      </c>
      <c r="H265" s="106">
        <f>VLOOKUP( $A265, Aop!$A$2:$P$456, 4, 0)</f>
        <v>411</v>
      </c>
      <c r="I265" s="56">
        <f t="shared" si="38"/>
        <v>2025</v>
      </c>
      <c r="J265" s="56"/>
      <c r="K265" s="56"/>
      <c r="L265" s="56"/>
      <c r="M265" s="56" t="str">
        <f t="shared" ca="1" si="42"/>
        <v/>
      </c>
      <c r="N265" s="56" t="str">
        <f t="shared" ca="1" si="43"/>
        <v/>
      </c>
    </row>
    <row r="266" spans="1:14" x14ac:dyDescent="0.2">
      <c r="A266" s="106">
        <v>275</v>
      </c>
      <c r="B266" s="106" t="str">
        <f>VLOOKUP( $A266, Aop!$A$2:$P$456, 2, 0)</f>
        <v>BUb</v>
      </c>
      <c r="C266" s="56">
        <f t="shared" si="39"/>
        <v>4</v>
      </c>
      <c r="D266" s="56" t="str">
        <f t="shared" si="36"/>
        <v>01814788</v>
      </c>
      <c r="E266" s="56" t="str">
        <f t="shared" si="37"/>
        <v>4400570050004</v>
      </c>
      <c r="F266" s="56" t="b">
        <f t="shared" si="40"/>
        <v>0</v>
      </c>
      <c r="G266" s="141">
        <f t="shared" si="41"/>
        <v>46022</v>
      </c>
      <c r="H266" s="106">
        <f>VLOOKUP( $A266, Aop!$A$2:$P$456, 4, 0)</f>
        <v>412</v>
      </c>
      <c r="I266" s="56">
        <f t="shared" si="38"/>
        <v>2025</v>
      </c>
      <c r="J266" s="56"/>
      <c r="K266" s="56"/>
      <c r="L266" s="56"/>
      <c r="M266" s="56" t="str">
        <f t="shared" ca="1" si="42"/>
        <v/>
      </c>
      <c r="N266" s="56" t="str">
        <f t="shared" ca="1" si="43"/>
        <v/>
      </c>
    </row>
    <row r="267" spans="1:14" x14ac:dyDescent="0.2">
      <c r="A267" s="106">
        <v>276</v>
      </c>
      <c r="B267" s="106" t="str">
        <f>VLOOKUP( $A267, Aop!$A$2:$P$456, 2, 0)</f>
        <v>BUb</v>
      </c>
      <c r="C267" s="56">
        <f t="shared" si="39"/>
        <v>4</v>
      </c>
      <c r="D267" s="56" t="str">
        <f t="shared" si="36"/>
        <v>01814788</v>
      </c>
      <c r="E267" s="56" t="str">
        <f t="shared" si="37"/>
        <v>4400570050004</v>
      </c>
      <c r="F267" s="56" t="b">
        <f t="shared" si="40"/>
        <v>0</v>
      </c>
      <c r="G267" s="141">
        <f t="shared" si="41"/>
        <v>46022</v>
      </c>
      <c r="H267" s="106">
        <f>VLOOKUP( $A267, Aop!$A$2:$P$456, 4, 0)</f>
        <v>413</v>
      </c>
      <c r="I267" s="56">
        <f t="shared" si="38"/>
        <v>2025</v>
      </c>
      <c r="J267" s="56"/>
      <c r="K267" s="56"/>
      <c r="L267" s="56"/>
      <c r="M267" s="56" t="str">
        <f t="shared" ca="1" si="42"/>
        <v/>
      </c>
      <c r="N267" s="56" t="str">
        <f t="shared" ca="1" si="43"/>
        <v/>
      </c>
    </row>
    <row r="268" spans="1:14" x14ac:dyDescent="0.2">
      <c r="A268" s="106">
        <v>277</v>
      </c>
      <c r="B268" s="106" t="str">
        <f>VLOOKUP( $A268, Aop!$A$2:$P$456, 2, 0)</f>
        <v>BUb</v>
      </c>
      <c r="C268" s="56">
        <f t="shared" si="39"/>
        <v>4</v>
      </c>
      <c r="D268" s="56" t="str">
        <f t="shared" si="36"/>
        <v>01814788</v>
      </c>
      <c r="E268" s="56" t="str">
        <f t="shared" si="37"/>
        <v>4400570050004</v>
      </c>
      <c r="F268" s="56" t="b">
        <f t="shared" si="40"/>
        <v>0</v>
      </c>
      <c r="G268" s="141">
        <f t="shared" si="41"/>
        <v>46022</v>
      </c>
      <c r="H268" s="106">
        <f>VLOOKUP( $A268, Aop!$A$2:$P$456, 4, 0)</f>
        <v>414</v>
      </c>
      <c r="I268" s="56">
        <f t="shared" si="38"/>
        <v>2025</v>
      </c>
      <c r="J268" s="56"/>
      <c r="K268" s="56"/>
      <c r="L268" s="56"/>
      <c r="M268" s="56" t="str">
        <f t="shared" ca="1" si="42"/>
        <v/>
      </c>
      <c r="N268" s="56" t="str">
        <f t="shared" ca="1" si="43"/>
        <v/>
      </c>
    </row>
    <row r="269" spans="1:14" x14ac:dyDescent="0.2">
      <c r="A269" s="106">
        <v>278</v>
      </c>
      <c r="B269" s="106" t="str">
        <f>VLOOKUP( $A269, Aop!$A$2:$P$456, 2, 0)</f>
        <v>BUb</v>
      </c>
      <c r="C269" s="56">
        <f t="shared" si="39"/>
        <v>4</v>
      </c>
      <c r="D269" s="56" t="str">
        <f t="shared" si="36"/>
        <v>01814788</v>
      </c>
      <c r="E269" s="56" t="str">
        <f t="shared" si="37"/>
        <v>4400570050004</v>
      </c>
      <c r="F269" s="56" t="b">
        <f t="shared" si="40"/>
        <v>0</v>
      </c>
      <c r="G269" s="141">
        <f t="shared" si="41"/>
        <v>46022</v>
      </c>
      <c r="H269" s="106">
        <f>VLOOKUP( $A269, Aop!$A$2:$P$456, 4, 0)</f>
        <v>415</v>
      </c>
      <c r="I269" s="56">
        <f t="shared" si="38"/>
        <v>2025</v>
      </c>
      <c r="J269" s="56"/>
      <c r="K269" s="56"/>
      <c r="L269" s="56"/>
      <c r="M269" s="56" t="str">
        <f t="shared" ca="1" si="42"/>
        <v/>
      </c>
      <c r="N269" s="56">
        <f t="shared" ca="1" si="43"/>
        <v>2011268</v>
      </c>
    </row>
    <row r="270" spans="1:14" x14ac:dyDescent="0.2">
      <c r="A270" s="106">
        <v>279</v>
      </c>
      <c r="B270" s="106" t="str">
        <f>VLOOKUP( $A270, Aop!$A$2:$P$456, 2, 0)</f>
        <v>BUb</v>
      </c>
      <c r="C270" s="56">
        <f t="shared" si="39"/>
        <v>4</v>
      </c>
      <c r="D270" s="56" t="str">
        <f t="shared" si="36"/>
        <v>01814788</v>
      </c>
      <c r="E270" s="56" t="str">
        <f t="shared" si="37"/>
        <v>4400570050004</v>
      </c>
      <c r="F270" s="56" t="b">
        <f t="shared" si="40"/>
        <v>0</v>
      </c>
      <c r="G270" s="141">
        <f t="shared" si="41"/>
        <v>46022</v>
      </c>
      <c r="H270" s="106">
        <f>VLOOKUP( $A270, Aop!$A$2:$P$456, 4, 0)</f>
        <v>0</v>
      </c>
      <c r="I270" s="56">
        <f t="shared" si="38"/>
        <v>2025</v>
      </c>
      <c r="J270" s="56"/>
      <c r="K270" s="56"/>
      <c r="L270" s="56"/>
      <c r="M270" s="56" t="str">
        <f t="shared" ca="1" si="42"/>
        <v/>
      </c>
      <c r="N270" s="56" t="str">
        <f t="shared" ca="1" si="43"/>
        <v/>
      </c>
    </row>
    <row r="271" spans="1:14" x14ac:dyDescent="0.2">
      <c r="A271" s="106">
        <v>280</v>
      </c>
      <c r="B271" s="106" t="str">
        <f>VLOOKUP( $A271, Aop!$A$2:$P$456, 2, 0)</f>
        <v>BUb</v>
      </c>
      <c r="C271" s="56">
        <f t="shared" si="39"/>
        <v>4</v>
      </c>
      <c r="D271" s="56" t="str">
        <f t="shared" si="36"/>
        <v>01814788</v>
      </c>
      <c r="E271" s="56" t="str">
        <f t="shared" si="37"/>
        <v>4400570050004</v>
      </c>
      <c r="F271" s="56" t="b">
        <f t="shared" si="40"/>
        <v>0</v>
      </c>
      <c r="G271" s="141">
        <f t="shared" si="41"/>
        <v>46022</v>
      </c>
      <c r="H271" s="106">
        <f>VLOOKUP( $A271, Aop!$A$2:$P$456, 4, 0)</f>
        <v>416</v>
      </c>
      <c r="I271" s="56">
        <f t="shared" si="38"/>
        <v>2025</v>
      </c>
      <c r="J271" s="56"/>
      <c r="K271" s="56"/>
      <c r="L271" s="56"/>
      <c r="M271" s="56" t="str">
        <f t="shared" ca="1" si="42"/>
        <v/>
      </c>
      <c r="N271" s="56">
        <f t="shared" ca="1" si="43"/>
        <v>2512093</v>
      </c>
    </row>
    <row r="272" spans="1:14" x14ac:dyDescent="0.2">
      <c r="A272" s="106">
        <v>281</v>
      </c>
      <c r="B272" s="106" t="str">
        <f>VLOOKUP( $A272, Aop!$A$2:$P$456, 2, 0)</f>
        <v>BUb</v>
      </c>
      <c r="C272" s="56">
        <f t="shared" si="39"/>
        <v>4</v>
      </c>
      <c r="D272" s="56" t="str">
        <f t="shared" si="36"/>
        <v>01814788</v>
      </c>
      <c r="E272" s="56" t="str">
        <f t="shared" si="37"/>
        <v>4400570050004</v>
      </c>
      <c r="F272" s="56" t="b">
        <f t="shared" si="40"/>
        <v>0</v>
      </c>
      <c r="G272" s="141">
        <f t="shared" si="41"/>
        <v>46022</v>
      </c>
      <c r="H272" s="106">
        <f>VLOOKUP( $A272, Aop!$A$2:$P$456, 4, 0)</f>
        <v>0</v>
      </c>
      <c r="I272" s="56">
        <f t="shared" si="38"/>
        <v>2025</v>
      </c>
      <c r="J272" s="56"/>
      <c r="K272" s="56"/>
      <c r="L272" s="56"/>
      <c r="M272" s="56" t="str">
        <f t="shared" ca="1" si="42"/>
        <v/>
      </c>
      <c r="N272" s="56" t="str">
        <f t="shared" ca="1" si="43"/>
        <v/>
      </c>
    </row>
    <row r="273" spans="1:14" x14ac:dyDescent="0.2">
      <c r="A273" s="106">
        <v>282</v>
      </c>
      <c r="B273" s="56" t="str">
        <f>VLOOKUP( $A273, Aop!$A$2:$P$456, 2, 0)</f>
        <v>BUb</v>
      </c>
      <c r="C273" s="56">
        <f>ID_Izvjestaj</f>
        <v>4</v>
      </c>
      <c r="D273" s="56" t="str">
        <f>Podatak_MB</f>
        <v>01814788</v>
      </c>
      <c r="E273" s="56" t="str">
        <f>Podatak_JIB</f>
        <v>4400570050004</v>
      </c>
      <c r="F273" s="56" t="b">
        <f>Konsolidovan_izvjestaj</f>
        <v>0</v>
      </c>
      <c r="G273" s="141">
        <f>Datum_Broj</f>
        <v>46022</v>
      </c>
      <c r="H273" s="56">
        <f>VLOOKUP( $A273, Aop!$A$2:$P$456, 4, 0)</f>
        <v>417</v>
      </c>
      <c r="I273" s="56">
        <f>Godina</f>
        <v>2025</v>
      </c>
      <c r="J273" s="56"/>
      <c r="K273" s="56"/>
      <c r="L273" s="56"/>
      <c r="M273" s="56" t="str">
        <f t="shared" ca="1" si="42"/>
        <v/>
      </c>
      <c r="N273" s="56" t="str">
        <f t="shared" ca="1" si="43"/>
        <v/>
      </c>
    </row>
    <row r="274" spans="1:14" x14ac:dyDescent="0.2">
      <c r="A274" s="106">
        <v>283</v>
      </c>
      <c r="B274" s="106" t="str">
        <f>VLOOKUP( $A274, Aop!$A$2:$P$456, 2, 0)</f>
        <v>BUb</v>
      </c>
      <c r="C274" s="56">
        <f t="shared" si="39"/>
        <v>4</v>
      </c>
      <c r="D274" s="56" t="str">
        <f t="shared" si="36"/>
        <v>01814788</v>
      </c>
      <c r="E274" s="56" t="str">
        <f t="shared" si="37"/>
        <v>4400570050004</v>
      </c>
      <c r="F274" s="56" t="b">
        <f t="shared" si="40"/>
        <v>0</v>
      </c>
      <c r="G274" s="141">
        <f t="shared" si="41"/>
        <v>46022</v>
      </c>
      <c r="H274" s="106">
        <f>VLOOKUP( $A274, Aop!$A$2:$P$456, 4, 0)</f>
        <v>418</v>
      </c>
      <c r="I274" s="56">
        <f t="shared" si="38"/>
        <v>2025</v>
      </c>
      <c r="J274" s="56"/>
      <c r="K274" s="56"/>
      <c r="L274" s="56"/>
      <c r="M274" s="56" t="str">
        <f t="shared" ca="1" si="42"/>
        <v/>
      </c>
      <c r="N274" s="56" t="str">
        <f t="shared" ca="1" si="43"/>
        <v/>
      </c>
    </row>
    <row r="275" spans="1:14" x14ac:dyDescent="0.2">
      <c r="A275" s="106">
        <v>285</v>
      </c>
      <c r="B275" s="106" t="str">
        <f>VLOOKUP( $A275, Aop!$A$2:$P$456, 2, 0)</f>
        <v>BTG</v>
      </c>
      <c r="C275" s="56">
        <f t="shared" si="39"/>
        <v>4</v>
      </c>
      <c r="D275" s="56" t="str">
        <f t="shared" si="36"/>
        <v>01814788</v>
      </c>
      <c r="E275" s="56" t="str">
        <f t="shared" si="37"/>
        <v>4400570050004</v>
      </c>
      <c r="F275" s="56" t="b">
        <f t="shared" si="40"/>
        <v>0</v>
      </c>
      <c r="G275" s="141">
        <f t="shared" si="41"/>
        <v>46022</v>
      </c>
      <c r="H275" s="106">
        <f>VLOOKUP( $A275, Aop!$A$2:$P$456, 4, 0)</f>
        <v>502</v>
      </c>
      <c r="I275" s="56">
        <f t="shared" si="38"/>
        <v>2025</v>
      </c>
      <c r="J275" s="56"/>
      <c r="K275" s="56"/>
      <c r="L275" s="56"/>
      <c r="M275" s="56" t="str">
        <f t="shared" ca="1" si="42"/>
        <v/>
      </c>
      <c r="N275" s="56">
        <f t="shared" ca="1" si="43"/>
        <v>40230753</v>
      </c>
    </row>
    <row r="276" spans="1:14" x14ac:dyDescent="0.2">
      <c r="A276" s="106">
        <v>286</v>
      </c>
      <c r="B276" s="106" t="str">
        <f>VLOOKUP( $A276, Aop!$A$2:$P$456, 2, 0)</f>
        <v>BTG</v>
      </c>
      <c r="C276" s="56">
        <f t="shared" si="39"/>
        <v>4</v>
      </c>
      <c r="D276" s="56" t="str">
        <f t="shared" si="36"/>
        <v>01814788</v>
      </c>
      <c r="E276" s="56" t="str">
        <f t="shared" si="37"/>
        <v>4400570050004</v>
      </c>
      <c r="F276" s="56" t="b">
        <f t="shared" si="40"/>
        <v>0</v>
      </c>
      <c r="G276" s="141">
        <f t="shared" si="41"/>
        <v>46022</v>
      </c>
      <c r="H276" s="106">
        <f>VLOOKUP( $A276, Aop!$A$2:$P$456, 4, 0)</f>
        <v>503</v>
      </c>
      <c r="I276" s="56">
        <f t="shared" si="38"/>
        <v>2025</v>
      </c>
      <c r="J276" s="56"/>
      <c r="K276" s="56"/>
      <c r="L276" s="56"/>
      <c r="M276" s="56" t="str">
        <f t="shared" ca="1" si="42"/>
        <v/>
      </c>
      <c r="N276" s="56" t="str">
        <f t="shared" ca="1" si="43"/>
        <v/>
      </c>
    </row>
    <row r="277" spans="1:14" x14ac:dyDescent="0.2">
      <c r="A277" s="106">
        <v>287</v>
      </c>
      <c r="B277" s="106" t="str">
        <f>VLOOKUP( $A277, Aop!$A$2:$P$456, 2, 0)</f>
        <v>BTG</v>
      </c>
      <c r="C277" s="56">
        <f t="shared" si="39"/>
        <v>4</v>
      </c>
      <c r="D277" s="56" t="str">
        <f t="shared" si="36"/>
        <v>01814788</v>
      </c>
      <c r="E277" s="56" t="str">
        <f t="shared" si="37"/>
        <v>4400570050004</v>
      </c>
      <c r="F277" s="56" t="b">
        <f t="shared" si="40"/>
        <v>0</v>
      </c>
      <c r="G277" s="141">
        <f t="shared" si="41"/>
        <v>46022</v>
      </c>
      <c r="H277" s="106">
        <f>VLOOKUP( $A277, Aop!$A$2:$P$456, 4, 0)</f>
        <v>504</v>
      </c>
      <c r="I277" s="56">
        <f t="shared" si="38"/>
        <v>2025</v>
      </c>
      <c r="J277" s="56"/>
      <c r="K277" s="56"/>
      <c r="L277" s="56"/>
      <c r="M277" s="56" t="str">
        <f t="shared" ca="1" si="42"/>
        <v/>
      </c>
      <c r="N277" s="56" t="str">
        <f t="shared" ca="1" si="43"/>
        <v/>
      </c>
    </row>
    <row r="278" spans="1:14" x14ac:dyDescent="0.2">
      <c r="A278" s="106">
        <v>288</v>
      </c>
      <c r="B278" s="106" t="str">
        <f>VLOOKUP( $A278, Aop!$A$2:$P$456, 2, 0)</f>
        <v>BTG</v>
      </c>
      <c r="C278" s="56">
        <f t="shared" si="39"/>
        <v>4</v>
      </c>
      <c r="D278" s="56" t="str">
        <f t="shared" si="36"/>
        <v>01814788</v>
      </c>
      <c r="E278" s="56" t="str">
        <f t="shared" si="37"/>
        <v>4400570050004</v>
      </c>
      <c r="F278" s="56" t="b">
        <f t="shared" si="40"/>
        <v>0</v>
      </c>
      <c r="G278" s="141">
        <f t="shared" si="41"/>
        <v>46022</v>
      </c>
      <c r="H278" s="106">
        <f>VLOOKUP( $A278, Aop!$A$2:$P$456, 4, 0)</f>
        <v>505</v>
      </c>
      <c r="I278" s="56">
        <f t="shared" si="38"/>
        <v>2025</v>
      </c>
      <c r="J278" s="56"/>
      <c r="K278" s="56"/>
      <c r="L278" s="56"/>
      <c r="M278" s="56" t="str">
        <f t="shared" ca="1" si="42"/>
        <v/>
      </c>
      <c r="N278" s="56">
        <f t="shared" ca="1" si="43"/>
        <v>283008</v>
      </c>
    </row>
    <row r="279" spans="1:14" x14ac:dyDescent="0.2">
      <c r="A279" s="106">
        <v>289</v>
      </c>
      <c r="B279" s="106" t="str">
        <f>VLOOKUP( $A279, Aop!$A$2:$P$456, 2, 0)</f>
        <v>BTG</v>
      </c>
      <c r="C279" s="56">
        <f t="shared" si="39"/>
        <v>4</v>
      </c>
      <c r="D279" s="56" t="str">
        <f t="shared" si="36"/>
        <v>01814788</v>
      </c>
      <c r="E279" s="56" t="str">
        <f t="shared" si="37"/>
        <v>4400570050004</v>
      </c>
      <c r="F279" s="56" t="b">
        <f t="shared" si="40"/>
        <v>0</v>
      </c>
      <c r="G279" s="141">
        <f t="shared" si="41"/>
        <v>46022</v>
      </c>
      <c r="H279" s="106">
        <f>VLOOKUP( $A279, Aop!$A$2:$P$456, 4, 0)</f>
        <v>506</v>
      </c>
      <c r="I279" s="56">
        <f t="shared" si="38"/>
        <v>2025</v>
      </c>
      <c r="J279" s="56"/>
      <c r="K279" s="56"/>
      <c r="L279" s="56"/>
      <c r="M279" s="56" t="str">
        <f t="shared" ca="1" si="42"/>
        <v/>
      </c>
      <c r="N279" s="56">
        <f t="shared" ca="1" si="43"/>
        <v>35851699</v>
      </c>
    </row>
    <row r="280" spans="1:14" x14ac:dyDescent="0.2">
      <c r="A280" s="106">
        <v>290</v>
      </c>
      <c r="B280" s="106" t="str">
        <f>VLOOKUP( $A280, Aop!$A$2:$P$456, 2, 0)</f>
        <v>BTG</v>
      </c>
      <c r="C280" s="56">
        <f t="shared" si="39"/>
        <v>4</v>
      </c>
      <c r="D280" s="56" t="str">
        <f t="shared" si="36"/>
        <v>01814788</v>
      </c>
      <c r="E280" s="56" t="str">
        <f t="shared" si="37"/>
        <v>4400570050004</v>
      </c>
      <c r="F280" s="56" t="b">
        <f t="shared" si="40"/>
        <v>0</v>
      </c>
      <c r="G280" s="141">
        <f t="shared" si="41"/>
        <v>46022</v>
      </c>
      <c r="H280" s="106">
        <f>VLOOKUP( $A280, Aop!$A$2:$P$456, 4, 0)</f>
        <v>507</v>
      </c>
      <c r="I280" s="56">
        <f t="shared" si="38"/>
        <v>2025</v>
      </c>
      <c r="J280" s="56"/>
      <c r="K280" s="56"/>
      <c r="L280" s="56"/>
      <c r="M280" s="56" t="str">
        <f t="shared" ca="1" si="42"/>
        <v/>
      </c>
      <c r="N280" s="56">
        <f t="shared" ca="1" si="43"/>
        <v>17379908</v>
      </c>
    </row>
    <row r="281" spans="1:14" x14ac:dyDescent="0.2">
      <c r="A281" s="106">
        <v>291</v>
      </c>
      <c r="B281" s="106" t="str">
        <f>VLOOKUP( $A281, Aop!$A$2:$P$456, 2, 0)</f>
        <v>BTG</v>
      </c>
      <c r="C281" s="56">
        <f t="shared" si="39"/>
        <v>4</v>
      </c>
      <c r="D281" s="56" t="str">
        <f t="shared" si="36"/>
        <v>01814788</v>
      </c>
      <c r="E281" s="56" t="str">
        <f t="shared" si="37"/>
        <v>4400570050004</v>
      </c>
      <c r="F281" s="56" t="b">
        <f t="shared" si="40"/>
        <v>0</v>
      </c>
      <c r="G281" s="141">
        <f t="shared" si="41"/>
        <v>46022</v>
      </c>
      <c r="H281" s="106">
        <f>VLOOKUP( $A281, Aop!$A$2:$P$456, 4, 0)</f>
        <v>508</v>
      </c>
      <c r="I281" s="56">
        <f t="shared" si="38"/>
        <v>2025</v>
      </c>
      <c r="J281" s="56"/>
      <c r="K281" s="56"/>
      <c r="L281" s="56"/>
      <c r="M281" s="56" t="str">
        <f t="shared" ca="1" si="42"/>
        <v/>
      </c>
      <c r="N281" s="56">
        <f t="shared" ca="1" si="43"/>
        <v>158770</v>
      </c>
    </row>
    <row r="282" spans="1:14" x14ac:dyDescent="0.2">
      <c r="A282" s="106">
        <v>292</v>
      </c>
      <c r="B282" s="106" t="str">
        <f>VLOOKUP( $A282, Aop!$A$2:$P$456, 2, 0)</f>
        <v>BTG</v>
      </c>
      <c r="C282" s="56">
        <f t="shared" si="39"/>
        <v>4</v>
      </c>
      <c r="D282" s="56" t="str">
        <f t="shared" si="36"/>
        <v>01814788</v>
      </c>
      <c r="E282" s="56" t="str">
        <f t="shared" si="37"/>
        <v>4400570050004</v>
      </c>
      <c r="F282" s="56" t="b">
        <f t="shared" si="40"/>
        <v>0</v>
      </c>
      <c r="G282" s="141">
        <f t="shared" si="41"/>
        <v>46022</v>
      </c>
      <c r="H282" s="106">
        <f>VLOOKUP( $A282, Aop!$A$2:$P$456, 4, 0)</f>
        <v>509</v>
      </c>
      <c r="I282" s="56">
        <f t="shared" si="38"/>
        <v>2025</v>
      </c>
      <c r="J282" s="56"/>
      <c r="K282" s="56"/>
      <c r="L282" s="56"/>
      <c r="M282" s="56" t="str">
        <f t="shared" ca="1" si="42"/>
        <v/>
      </c>
      <c r="N282" s="56">
        <f t="shared" ca="1" si="43"/>
        <v>299302</v>
      </c>
    </row>
    <row r="283" spans="1:14" x14ac:dyDescent="0.2">
      <c r="A283" s="106">
        <v>293</v>
      </c>
      <c r="B283" s="106" t="str">
        <f>VLOOKUP( $A283, Aop!$A$2:$P$456, 2, 0)</f>
        <v>BTG</v>
      </c>
      <c r="C283" s="56">
        <f t="shared" si="39"/>
        <v>4</v>
      </c>
      <c r="D283" s="56" t="str">
        <f t="shared" si="36"/>
        <v>01814788</v>
      </c>
      <c r="E283" s="56" t="str">
        <f t="shared" si="37"/>
        <v>4400570050004</v>
      </c>
      <c r="F283" s="56" t="b">
        <f t="shared" si="40"/>
        <v>0</v>
      </c>
      <c r="G283" s="141">
        <f t="shared" si="41"/>
        <v>46022</v>
      </c>
      <c r="H283" s="106">
        <f>VLOOKUP( $A283, Aop!$A$2:$P$456, 4, 0)</f>
        <v>510</v>
      </c>
      <c r="I283" s="56">
        <f t="shared" si="38"/>
        <v>2025</v>
      </c>
      <c r="J283" s="56"/>
      <c r="K283" s="56"/>
      <c r="L283" s="56"/>
      <c r="M283" s="56" t="str">
        <f t="shared" ca="1" si="42"/>
        <v/>
      </c>
      <c r="N283" s="56">
        <f t="shared" ca="1" si="43"/>
        <v>14493362</v>
      </c>
    </row>
    <row r="284" spans="1:14" x14ac:dyDescent="0.2">
      <c r="A284" s="106">
        <v>294</v>
      </c>
      <c r="B284" s="106" t="str">
        <f>VLOOKUP( $A284, Aop!$A$2:$P$456, 2, 0)</f>
        <v>BTG</v>
      </c>
      <c r="C284" s="56">
        <f t="shared" si="39"/>
        <v>4</v>
      </c>
      <c r="D284" s="56" t="str">
        <f t="shared" si="36"/>
        <v>01814788</v>
      </c>
      <c r="E284" s="56" t="str">
        <f t="shared" si="37"/>
        <v>4400570050004</v>
      </c>
      <c r="F284" s="56" t="b">
        <f t="shared" si="40"/>
        <v>0</v>
      </c>
      <c r="G284" s="141">
        <f t="shared" si="41"/>
        <v>46022</v>
      </c>
      <c r="H284" s="106">
        <f>VLOOKUP( $A284, Aop!$A$2:$P$456, 4, 0)</f>
        <v>511</v>
      </c>
      <c r="I284" s="56">
        <f t="shared" si="38"/>
        <v>2025</v>
      </c>
      <c r="J284" s="56"/>
      <c r="K284" s="56"/>
      <c r="L284" s="56"/>
      <c r="M284" s="56" t="str">
        <f t="shared" ca="1" si="42"/>
        <v/>
      </c>
      <c r="N284" s="56">
        <f t="shared" ca="1" si="43"/>
        <v>68932</v>
      </c>
    </row>
    <row r="285" spans="1:14" x14ac:dyDescent="0.2">
      <c r="A285" s="106">
        <v>295</v>
      </c>
      <c r="B285" s="106" t="str">
        <f>VLOOKUP( $A285, Aop!$A$2:$P$456, 2, 0)</f>
        <v>BTG</v>
      </c>
      <c r="C285" s="56">
        <f t="shared" si="39"/>
        <v>4</v>
      </c>
      <c r="D285" s="56" t="str">
        <f t="shared" si="36"/>
        <v>01814788</v>
      </c>
      <c r="E285" s="56" t="str">
        <f t="shared" si="37"/>
        <v>4400570050004</v>
      </c>
      <c r="F285" s="56" t="b">
        <f t="shared" si="40"/>
        <v>0</v>
      </c>
      <c r="G285" s="141">
        <f t="shared" si="41"/>
        <v>46022</v>
      </c>
      <c r="H285" s="106">
        <f>VLOOKUP( $A285, Aop!$A$2:$P$456, 4, 0)</f>
        <v>512</v>
      </c>
      <c r="I285" s="56">
        <f t="shared" si="38"/>
        <v>2025</v>
      </c>
      <c r="J285" s="56"/>
      <c r="K285" s="56"/>
      <c r="L285" s="56"/>
      <c r="M285" s="56" t="str">
        <f t="shared" ca="1" si="42"/>
        <v/>
      </c>
      <c r="N285" s="56">
        <f t="shared" ca="1" si="43"/>
        <v>3451425</v>
      </c>
    </row>
    <row r="286" spans="1:14" x14ac:dyDescent="0.2">
      <c r="A286" s="106">
        <v>296</v>
      </c>
      <c r="B286" s="106" t="str">
        <f>VLOOKUP( $A286, Aop!$A$2:$P$456, 2, 0)</f>
        <v>BTG</v>
      </c>
      <c r="C286" s="56">
        <f t="shared" si="39"/>
        <v>4</v>
      </c>
      <c r="D286" s="56" t="str">
        <f t="shared" si="36"/>
        <v>01814788</v>
      </c>
      <c r="E286" s="56" t="str">
        <f t="shared" si="37"/>
        <v>4400570050004</v>
      </c>
      <c r="F286" s="56" t="b">
        <f t="shared" si="40"/>
        <v>0</v>
      </c>
      <c r="G286" s="141">
        <f t="shared" si="41"/>
        <v>46022</v>
      </c>
      <c r="H286" s="106">
        <f>VLOOKUP( $A286, Aop!$A$2:$P$456, 4, 0)</f>
        <v>513</v>
      </c>
      <c r="I286" s="56">
        <f t="shared" si="38"/>
        <v>2025</v>
      </c>
      <c r="J286" s="56"/>
      <c r="K286" s="56"/>
      <c r="L286" s="56"/>
      <c r="M286" s="56" t="str">
        <f t="shared" ca="1" si="42"/>
        <v/>
      </c>
      <c r="N286" s="56">
        <f t="shared" ca="1" si="43"/>
        <v>4662062</v>
      </c>
    </row>
    <row r="287" spans="1:14" x14ac:dyDescent="0.2">
      <c r="A287" s="106">
        <v>297</v>
      </c>
      <c r="B287" s="106" t="str">
        <f>VLOOKUP( $A287, Aop!$A$2:$P$456, 2, 0)</f>
        <v>BTG</v>
      </c>
      <c r="C287" s="56">
        <f t="shared" si="39"/>
        <v>4</v>
      </c>
      <c r="D287" s="56" t="str">
        <f t="shared" si="36"/>
        <v>01814788</v>
      </c>
      <c r="E287" s="56" t="str">
        <f t="shared" si="37"/>
        <v>4400570050004</v>
      </c>
      <c r="F287" s="56" t="b">
        <f t="shared" si="40"/>
        <v>0</v>
      </c>
      <c r="G287" s="141">
        <f t="shared" si="41"/>
        <v>46022</v>
      </c>
      <c r="H287" s="106">
        <f>VLOOKUP( $A287, Aop!$A$2:$P$456, 4, 0)</f>
        <v>514</v>
      </c>
      <c r="I287" s="56">
        <f t="shared" si="38"/>
        <v>2025</v>
      </c>
      <c r="J287" s="56"/>
      <c r="K287" s="56"/>
      <c r="L287" s="56"/>
      <c r="M287" s="56" t="str">
        <f t="shared" ca="1" si="42"/>
        <v/>
      </c>
      <c r="N287" s="56">
        <f t="shared" ca="1" si="43"/>
        <v>0</v>
      </c>
    </row>
    <row r="288" spans="1:14" x14ac:dyDescent="0.2">
      <c r="A288" s="106">
        <v>298</v>
      </c>
      <c r="B288" s="106" t="str">
        <f>VLOOKUP( $A288, Aop!$A$2:$P$456, 2, 0)</f>
        <v>BTG</v>
      </c>
      <c r="C288" s="56">
        <f t="shared" si="39"/>
        <v>4</v>
      </c>
      <c r="D288" s="56" t="str">
        <f t="shared" si="36"/>
        <v>01814788</v>
      </c>
      <c r="E288" s="56" t="str">
        <f t="shared" si="37"/>
        <v>4400570050004</v>
      </c>
      <c r="F288" s="56" t="b">
        <f t="shared" si="40"/>
        <v>0</v>
      </c>
      <c r="G288" s="141">
        <f t="shared" si="41"/>
        <v>46022</v>
      </c>
      <c r="H288" s="106">
        <f>VLOOKUP( $A288, Aop!$A$2:$P$456, 4, 0)</f>
        <v>515</v>
      </c>
      <c r="I288" s="56">
        <f t="shared" si="38"/>
        <v>2025</v>
      </c>
      <c r="J288" s="56"/>
      <c r="K288" s="56"/>
      <c r="L288" s="56"/>
      <c r="M288" s="56" t="str">
        <f t="shared" ca="1" si="42"/>
        <v/>
      </c>
      <c r="N288" s="56">
        <f t="shared" ca="1" si="43"/>
        <v>15069</v>
      </c>
    </row>
    <row r="289" spans="1:14" x14ac:dyDescent="0.2">
      <c r="A289" s="106">
        <v>300</v>
      </c>
      <c r="B289" s="106" t="str">
        <f>VLOOKUP( $A289, Aop!$A$2:$P$456, 2, 0)</f>
        <v>BTG</v>
      </c>
      <c r="C289" s="56">
        <f t="shared" si="39"/>
        <v>4</v>
      </c>
      <c r="D289" s="56" t="str">
        <f t="shared" si="36"/>
        <v>01814788</v>
      </c>
      <c r="E289" s="56" t="str">
        <f t="shared" si="37"/>
        <v>4400570050004</v>
      </c>
      <c r="F289" s="56" t="b">
        <f t="shared" si="40"/>
        <v>0</v>
      </c>
      <c r="G289" s="141">
        <f t="shared" si="41"/>
        <v>46022</v>
      </c>
      <c r="H289" s="106">
        <f>VLOOKUP( $A289, Aop!$A$2:$P$456, 4, 0)</f>
        <v>517</v>
      </c>
      <c r="I289" s="56">
        <f t="shared" si="38"/>
        <v>2025</v>
      </c>
      <c r="J289" s="56"/>
      <c r="K289" s="56"/>
      <c r="L289" s="56"/>
      <c r="M289" s="56" t="str">
        <f t="shared" ca="1" si="42"/>
        <v/>
      </c>
      <c r="N289" s="56" t="str">
        <f t="shared" ca="1" si="43"/>
        <v/>
      </c>
    </row>
    <row r="290" spans="1:14" x14ac:dyDescent="0.2">
      <c r="A290" s="106">
        <v>301</v>
      </c>
      <c r="B290" s="106" t="str">
        <f>VLOOKUP( $A290, Aop!$A$2:$P$456, 2, 0)</f>
        <v>BTG</v>
      </c>
      <c r="C290" s="56">
        <f t="shared" si="39"/>
        <v>4</v>
      </c>
      <c r="D290" s="56" t="str">
        <f t="shared" si="36"/>
        <v>01814788</v>
      </c>
      <c r="E290" s="56" t="str">
        <f t="shared" si="37"/>
        <v>4400570050004</v>
      </c>
      <c r="F290" s="56" t="b">
        <f t="shared" si="40"/>
        <v>0</v>
      </c>
      <c r="G290" s="141">
        <f t="shared" si="41"/>
        <v>46022</v>
      </c>
      <c r="H290" s="106">
        <f>VLOOKUP( $A290, Aop!$A$2:$P$456, 4, 0)</f>
        <v>518</v>
      </c>
      <c r="I290" s="56">
        <f t="shared" si="38"/>
        <v>2025</v>
      </c>
      <c r="J290" s="56"/>
      <c r="K290" s="56"/>
      <c r="L290" s="56"/>
      <c r="M290" s="56" t="str">
        <f t="shared" ca="1" si="42"/>
        <v/>
      </c>
      <c r="N290" s="56" t="str">
        <f t="shared" ca="1" si="43"/>
        <v/>
      </c>
    </row>
    <row r="291" spans="1:14" x14ac:dyDescent="0.2">
      <c r="A291" s="106">
        <v>302</v>
      </c>
      <c r="B291" s="106" t="str">
        <f>VLOOKUP( $A291, Aop!$A$2:$P$456, 2, 0)</f>
        <v>BTG</v>
      </c>
      <c r="C291" s="56">
        <f t="shared" si="39"/>
        <v>4</v>
      </c>
      <c r="D291" s="56" t="str">
        <f t="shared" si="36"/>
        <v>01814788</v>
      </c>
      <c r="E291" s="56" t="str">
        <f t="shared" si="37"/>
        <v>4400570050004</v>
      </c>
      <c r="F291" s="56" t="b">
        <f t="shared" si="40"/>
        <v>0</v>
      </c>
      <c r="G291" s="141">
        <f t="shared" si="41"/>
        <v>46022</v>
      </c>
      <c r="H291" s="106">
        <f>VLOOKUP( $A291, Aop!$A$2:$P$456, 4, 0)</f>
        <v>519</v>
      </c>
      <c r="I291" s="56">
        <f t="shared" si="38"/>
        <v>2025</v>
      </c>
      <c r="J291" s="56"/>
      <c r="K291" s="56"/>
      <c r="L291" s="56"/>
      <c r="M291" s="56" t="str">
        <f t="shared" ca="1" si="42"/>
        <v/>
      </c>
      <c r="N291" s="56" t="str">
        <f t="shared" ca="1" si="43"/>
        <v/>
      </c>
    </row>
    <row r="292" spans="1:14" x14ac:dyDescent="0.2">
      <c r="A292" s="106">
        <v>303</v>
      </c>
      <c r="B292" s="106" t="str">
        <f>VLOOKUP( $A292, Aop!$A$2:$P$456, 2, 0)</f>
        <v>BTG</v>
      </c>
      <c r="C292" s="56">
        <f t="shared" si="39"/>
        <v>4</v>
      </c>
      <c r="D292" s="56" t="str">
        <f t="shared" si="36"/>
        <v>01814788</v>
      </c>
      <c r="E292" s="56" t="str">
        <f t="shared" si="37"/>
        <v>4400570050004</v>
      </c>
      <c r="F292" s="56" t="b">
        <f t="shared" si="40"/>
        <v>0</v>
      </c>
      <c r="G292" s="141">
        <f t="shared" si="41"/>
        <v>46022</v>
      </c>
      <c r="H292" s="106">
        <f>VLOOKUP( $A292, Aop!$A$2:$P$456, 4, 0)</f>
        <v>520</v>
      </c>
      <c r="I292" s="56">
        <f t="shared" si="38"/>
        <v>2025</v>
      </c>
      <c r="J292" s="56"/>
      <c r="K292" s="56"/>
      <c r="L292" s="56"/>
      <c r="M292" s="56" t="str">
        <f t="shared" ca="1" si="42"/>
        <v/>
      </c>
      <c r="N292" s="56" t="str">
        <f t="shared" ca="1" si="43"/>
        <v/>
      </c>
    </row>
    <row r="293" spans="1:14" x14ac:dyDescent="0.2">
      <c r="A293" s="106">
        <v>304</v>
      </c>
      <c r="B293" s="106" t="str">
        <f>VLOOKUP( $A293, Aop!$A$2:$P$456, 2, 0)</f>
        <v>BTG</v>
      </c>
      <c r="C293" s="56">
        <f t="shared" si="39"/>
        <v>4</v>
      </c>
      <c r="D293" s="56" t="str">
        <f t="shared" si="36"/>
        <v>01814788</v>
      </c>
      <c r="E293" s="56" t="str">
        <f t="shared" si="37"/>
        <v>4400570050004</v>
      </c>
      <c r="F293" s="56" t="b">
        <f t="shared" si="40"/>
        <v>0</v>
      </c>
      <c r="G293" s="141">
        <f t="shared" si="41"/>
        <v>46022</v>
      </c>
      <c r="H293" s="106">
        <f>VLOOKUP( $A293, Aop!$A$2:$P$456, 4, 0)</f>
        <v>521</v>
      </c>
      <c r="I293" s="56">
        <f t="shared" si="38"/>
        <v>2025</v>
      </c>
      <c r="J293" s="56"/>
      <c r="K293" s="56"/>
      <c r="L293" s="56"/>
      <c r="M293" s="56" t="str">
        <f t="shared" ca="1" si="42"/>
        <v/>
      </c>
      <c r="N293" s="56" t="str">
        <f t="shared" ca="1" si="43"/>
        <v/>
      </c>
    </row>
    <row r="294" spans="1:14" x14ac:dyDescent="0.2">
      <c r="A294" s="106">
        <v>305</v>
      </c>
      <c r="B294" s="106" t="str">
        <f>VLOOKUP( $A294, Aop!$A$2:$P$456, 2, 0)</f>
        <v>BTG</v>
      </c>
      <c r="C294" s="56">
        <f t="shared" si="39"/>
        <v>4</v>
      </c>
      <c r="D294" s="56" t="str">
        <f t="shared" si="36"/>
        <v>01814788</v>
      </c>
      <c r="E294" s="56" t="str">
        <f t="shared" si="37"/>
        <v>4400570050004</v>
      </c>
      <c r="F294" s="56" t="b">
        <f t="shared" si="40"/>
        <v>0</v>
      </c>
      <c r="G294" s="141">
        <f t="shared" si="41"/>
        <v>46022</v>
      </c>
      <c r="H294" s="106">
        <f>VLOOKUP( $A294, Aop!$A$2:$P$456, 4, 0)</f>
        <v>522</v>
      </c>
      <c r="I294" s="56">
        <f t="shared" si="38"/>
        <v>2025</v>
      </c>
      <c r="J294" s="56"/>
      <c r="K294" s="56"/>
      <c r="L294" s="56"/>
      <c r="M294" s="56" t="str">
        <f t="shared" ca="1" si="42"/>
        <v/>
      </c>
      <c r="N294" s="56" t="str">
        <f t="shared" ca="1" si="43"/>
        <v/>
      </c>
    </row>
    <row r="295" spans="1:14" x14ac:dyDescent="0.2">
      <c r="A295" s="106">
        <v>306</v>
      </c>
      <c r="B295" s="106" t="str">
        <f>VLOOKUP( $A295, Aop!$A$2:$P$456, 2, 0)</f>
        <v>BTG</v>
      </c>
      <c r="C295" s="56">
        <f t="shared" si="39"/>
        <v>4</v>
      </c>
      <c r="D295" s="56" t="str">
        <f t="shared" si="36"/>
        <v>01814788</v>
      </c>
      <c r="E295" s="56" t="str">
        <f t="shared" si="37"/>
        <v>4400570050004</v>
      </c>
      <c r="F295" s="56" t="b">
        <f t="shared" si="40"/>
        <v>0</v>
      </c>
      <c r="G295" s="141">
        <f t="shared" si="41"/>
        <v>46022</v>
      </c>
      <c r="H295" s="106">
        <f>VLOOKUP( $A295, Aop!$A$2:$P$456, 4, 0)</f>
        <v>523</v>
      </c>
      <c r="I295" s="56">
        <f t="shared" si="38"/>
        <v>2025</v>
      </c>
      <c r="J295" s="56"/>
      <c r="K295" s="56"/>
      <c r="L295" s="56"/>
      <c r="M295" s="56" t="str">
        <f t="shared" ca="1" si="42"/>
        <v/>
      </c>
      <c r="N295" s="56" t="str">
        <f t="shared" ca="1" si="43"/>
        <v/>
      </c>
    </row>
    <row r="296" spans="1:14" x14ac:dyDescent="0.2">
      <c r="A296" s="106">
        <v>307</v>
      </c>
      <c r="B296" s="106" t="str">
        <f>VLOOKUP( $A296, Aop!$A$2:$P$456, 2, 0)</f>
        <v>BTG</v>
      </c>
      <c r="C296" s="56">
        <f t="shared" si="39"/>
        <v>4</v>
      </c>
      <c r="D296" s="56" t="str">
        <f t="shared" si="36"/>
        <v>01814788</v>
      </c>
      <c r="E296" s="56" t="str">
        <f t="shared" si="37"/>
        <v>4400570050004</v>
      </c>
      <c r="F296" s="56" t="b">
        <f t="shared" si="40"/>
        <v>0</v>
      </c>
      <c r="G296" s="141">
        <f t="shared" si="41"/>
        <v>46022</v>
      </c>
      <c r="H296" s="106">
        <f>VLOOKUP( $A296, Aop!$A$2:$P$456, 4, 0)</f>
        <v>524</v>
      </c>
      <c r="I296" s="56">
        <f t="shared" si="38"/>
        <v>2025</v>
      </c>
      <c r="J296" s="56"/>
      <c r="K296" s="56"/>
      <c r="L296" s="56"/>
      <c r="M296" s="56" t="str">
        <f t="shared" ca="1" si="42"/>
        <v/>
      </c>
      <c r="N296" s="56" t="str">
        <f t="shared" ca="1" si="43"/>
        <v/>
      </c>
    </row>
    <row r="297" spans="1:14" x14ac:dyDescent="0.2">
      <c r="A297" s="106">
        <v>308</v>
      </c>
      <c r="B297" s="106" t="str">
        <f>VLOOKUP( $A297, Aop!$A$2:$P$456, 2, 0)</f>
        <v>BTG</v>
      </c>
      <c r="C297" s="56">
        <f t="shared" si="39"/>
        <v>4</v>
      </c>
      <c r="D297" s="56" t="str">
        <f t="shared" si="36"/>
        <v>01814788</v>
      </c>
      <c r="E297" s="56" t="str">
        <f t="shared" si="37"/>
        <v>4400570050004</v>
      </c>
      <c r="F297" s="56" t="b">
        <f t="shared" si="40"/>
        <v>0</v>
      </c>
      <c r="G297" s="141">
        <f t="shared" si="41"/>
        <v>46022</v>
      </c>
      <c r="H297" s="106">
        <f>VLOOKUP( $A297, Aop!$A$2:$P$456, 4, 0)</f>
        <v>525</v>
      </c>
      <c r="I297" s="56">
        <f t="shared" si="38"/>
        <v>2025</v>
      </c>
      <c r="J297" s="56"/>
      <c r="K297" s="56"/>
      <c r="L297" s="56"/>
      <c r="M297" s="56" t="str">
        <f t="shared" ca="1" si="42"/>
        <v/>
      </c>
      <c r="N297" s="56" t="str">
        <f t="shared" ca="1" si="43"/>
        <v/>
      </c>
    </row>
    <row r="298" spans="1:14" x14ac:dyDescent="0.2">
      <c r="A298" s="106">
        <v>309</v>
      </c>
      <c r="B298" s="106" t="str">
        <f>VLOOKUP( $A298, Aop!$A$2:$P$456, 2, 0)</f>
        <v>BTG</v>
      </c>
      <c r="C298" s="56">
        <f t="shared" si="39"/>
        <v>4</v>
      </c>
      <c r="D298" s="56" t="str">
        <f t="shared" si="36"/>
        <v>01814788</v>
      </c>
      <c r="E298" s="56" t="str">
        <f t="shared" si="37"/>
        <v>4400570050004</v>
      </c>
      <c r="F298" s="56" t="b">
        <f t="shared" si="40"/>
        <v>0</v>
      </c>
      <c r="G298" s="141">
        <f t="shared" si="41"/>
        <v>46022</v>
      </c>
      <c r="H298" s="106">
        <f>VLOOKUP( $A298, Aop!$A$2:$P$456, 4, 0)</f>
        <v>526</v>
      </c>
      <c r="I298" s="56">
        <f t="shared" si="38"/>
        <v>2025</v>
      </c>
      <c r="J298" s="56"/>
      <c r="K298" s="56"/>
      <c r="L298" s="56"/>
      <c r="M298" s="56" t="str">
        <f t="shared" ca="1" si="42"/>
        <v/>
      </c>
      <c r="N298" s="56" t="str">
        <f t="shared" ca="1" si="43"/>
        <v/>
      </c>
    </row>
    <row r="299" spans="1:14" x14ac:dyDescent="0.2">
      <c r="A299" s="106">
        <v>310</v>
      </c>
      <c r="B299" s="106" t="str">
        <f>VLOOKUP( $A299, Aop!$A$2:$P$456, 2, 0)</f>
        <v>BTG</v>
      </c>
      <c r="C299" s="56">
        <f t="shared" si="39"/>
        <v>4</v>
      </c>
      <c r="D299" s="56" t="str">
        <f t="shared" si="36"/>
        <v>01814788</v>
      </c>
      <c r="E299" s="56" t="str">
        <f t="shared" si="37"/>
        <v>4400570050004</v>
      </c>
      <c r="F299" s="56" t="b">
        <f t="shared" si="40"/>
        <v>0</v>
      </c>
      <c r="G299" s="141">
        <f t="shared" si="41"/>
        <v>46022</v>
      </c>
      <c r="H299" s="106">
        <f>VLOOKUP( $A299, Aop!$A$2:$P$456, 4, 0)</f>
        <v>527</v>
      </c>
      <c r="I299" s="56">
        <f t="shared" si="38"/>
        <v>2025</v>
      </c>
      <c r="J299" s="56"/>
      <c r="K299" s="56"/>
      <c r="L299" s="56"/>
      <c r="M299" s="56" t="str">
        <f t="shared" ca="1" si="42"/>
        <v/>
      </c>
      <c r="N299" s="56">
        <f t="shared" ca="1" si="43"/>
        <v>15069</v>
      </c>
    </row>
    <row r="300" spans="1:14" x14ac:dyDescent="0.2">
      <c r="A300" s="106">
        <v>311</v>
      </c>
      <c r="B300" s="106" t="str">
        <f>VLOOKUP( $A300, Aop!$A$2:$P$456, 2, 0)</f>
        <v>BTG</v>
      </c>
      <c r="C300" s="56">
        <f t="shared" si="39"/>
        <v>4</v>
      </c>
      <c r="D300" s="56" t="str">
        <f t="shared" si="36"/>
        <v>01814788</v>
      </c>
      <c r="E300" s="56" t="str">
        <f t="shared" si="37"/>
        <v>4400570050004</v>
      </c>
      <c r="F300" s="56" t="b">
        <f t="shared" si="40"/>
        <v>0</v>
      </c>
      <c r="G300" s="141">
        <f t="shared" si="41"/>
        <v>46022</v>
      </c>
      <c r="H300" s="106">
        <f>VLOOKUP( $A300, Aop!$A$2:$P$456, 4, 0)</f>
        <v>528</v>
      </c>
      <c r="I300" s="56">
        <f t="shared" si="38"/>
        <v>2025</v>
      </c>
      <c r="J300" s="56"/>
      <c r="K300" s="56"/>
      <c r="L300" s="56"/>
      <c r="M300" s="56" t="str">
        <f t="shared" ca="1" si="42"/>
        <v/>
      </c>
      <c r="N300" s="56">
        <f t="shared" ca="1" si="43"/>
        <v>0</v>
      </c>
    </row>
    <row r="301" spans="1:14" x14ac:dyDescent="0.2">
      <c r="A301" s="106">
        <v>312</v>
      </c>
      <c r="B301" s="106" t="str">
        <f>VLOOKUP( $A301, Aop!$A$2:$P$456, 2, 0)</f>
        <v>BTG</v>
      </c>
      <c r="C301" s="56">
        <f t="shared" si="39"/>
        <v>4</v>
      </c>
      <c r="D301" s="56" t="str">
        <f t="shared" si="36"/>
        <v>01814788</v>
      </c>
      <c r="E301" s="56" t="str">
        <f t="shared" si="37"/>
        <v>4400570050004</v>
      </c>
      <c r="F301" s="56" t="b">
        <f t="shared" si="40"/>
        <v>0</v>
      </c>
      <c r="G301" s="141">
        <f t="shared" si="41"/>
        <v>46022</v>
      </c>
      <c r="H301" s="106">
        <f>VLOOKUP( $A301, Aop!$A$2:$P$456, 4, 0)</f>
        <v>529</v>
      </c>
      <c r="I301" s="56">
        <f t="shared" si="38"/>
        <v>2025</v>
      </c>
      <c r="J301" s="56"/>
      <c r="K301" s="56"/>
      <c r="L301" s="56"/>
      <c r="M301" s="56" t="str">
        <f t="shared" ca="1" si="42"/>
        <v/>
      </c>
      <c r="N301" s="56" t="str">
        <f t="shared" ca="1" si="43"/>
        <v/>
      </c>
    </row>
    <row r="302" spans="1:14" x14ac:dyDescent="0.2">
      <c r="A302" s="106">
        <v>313</v>
      </c>
      <c r="B302" s="106" t="str">
        <f>VLOOKUP( $A302, Aop!$A$2:$P$456, 2, 0)</f>
        <v>BTG</v>
      </c>
      <c r="C302" s="56">
        <f t="shared" si="39"/>
        <v>4</v>
      </c>
      <c r="D302" s="56" t="str">
        <f t="shared" si="36"/>
        <v>01814788</v>
      </c>
      <c r="E302" s="56" t="str">
        <f t="shared" si="37"/>
        <v>4400570050004</v>
      </c>
      <c r="F302" s="56" t="b">
        <f t="shared" si="40"/>
        <v>0</v>
      </c>
      <c r="G302" s="141">
        <f t="shared" si="41"/>
        <v>46022</v>
      </c>
      <c r="H302" s="106">
        <f>VLOOKUP( $A302, Aop!$A$2:$P$456, 4, 0)</f>
        <v>530</v>
      </c>
      <c r="I302" s="56">
        <f t="shared" si="38"/>
        <v>2025</v>
      </c>
      <c r="J302" s="56"/>
      <c r="K302" s="56"/>
      <c r="L302" s="56"/>
      <c r="M302" s="56" t="str">
        <f t="shared" ca="1" si="42"/>
        <v/>
      </c>
      <c r="N302" s="56" t="str">
        <f t="shared" ca="1" si="43"/>
        <v/>
      </c>
    </row>
    <row r="303" spans="1:14" x14ac:dyDescent="0.2">
      <c r="A303" s="106">
        <v>314</v>
      </c>
      <c r="B303" s="106" t="str">
        <f>VLOOKUP( $A303, Aop!$A$2:$P$456, 2, 0)</f>
        <v>BTG</v>
      </c>
      <c r="C303" s="56">
        <f t="shared" si="39"/>
        <v>4</v>
      </c>
      <c r="D303" s="56" t="str">
        <f t="shared" si="36"/>
        <v>01814788</v>
      </c>
      <c r="E303" s="56" t="str">
        <f t="shared" si="37"/>
        <v>4400570050004</v>
      </c>
      <c r="F303" s="56" t="b">
        <f t="shared" si="40"/>
        <v>0</v>
      </c>
      <c r="G303" s="141">
        <f t="shared" si="41"/>
        <v>46022</v>
      </c>
      <c r="H303" s="106">
        <f>VLOOKUP( $A303, Aop!$A$2:$P$456, 4, 0)</f>
        <v>531</v>
      </c>
      <c r="I303" s="56">
        <f t="shared" si="38"/>
        <v>2025</v>
      </c>
      <c r="J303" s="56"/>
      <c r="K303" s="56"/>
      <c r="L303" s="56"/>
      <c r="M303" s="56" t="str">
        <f t="shared" ca="1" si="42"/>
        <v/>
      </c>
      <c r="N303" s="56">
        <f t="shared" ca="1" si="43"/>
        <v>2341965</v>
      </c>
    </row>
    <row r="304" spans="1:14" x14ac:dyDescent="0.2">
      <c r="A304" s="106">
        <v>315</v>
      </c>
      <c r="B304" s="106" t="str">
        <f>VLOOKUP( $A304, Aop!$A$2:$P$456, 2, 0)</f>
        <v>BTG</v>
      </c>
      <c r="C304" s="56">
        <f t="shared" si="39"/>
        <v>4</v>
      </c>
      <c r="D304" s="56" t="str">
        <f t="shared" si="36"/>
        <v>01814788</v>
      </c>
      <c r="E304" s="56" t="str">
        <f t="shared" si="37"/>
        <v>4400570050004</v>
      </c>
      <c r="F304" s="56" t="b">
        <f t="shared" si="40"/>
        <v>0</v>
      </c>
      <c r="G304" s="141">
        <f t="shared" si="41"/>
        <v>46022</v>
      </c>
      <c r="H304" s="106">
        <f>VLOOKUP( $A304, Aop!$A$2:$P$456, 4, 0)</f>
        <v>532</v>
      </c>
      <c r="I304" s="56">
        <f t="shared" si="38"/>
        <v>2025</v>
      </c>
      <c r="J304" s="56"/>
      <c r="K304" s="56"/>
      <c r="L304" s="56"/>
      <c r="M304" s="56" t="str">
        <f t="shared" ca="1" si="42"/>
        <v/>
      </c>
      <c r="N304" s="56" t="str">
        <f t="shared" ca="1" si="43"/>
        <v/>
      </c>
    </row>
    <row r="305" spans="1:14" x14ac:dyDescent="0.2">
      <c r="A305" s="106">
        <v>316</v>
      </c>
      <c r="B305" s="106" t="str">
        <f>VLOOKUP( $A305, Aop!$A$2:$P$456, 2, 0)</f>
        <v>BTG</v>
      </c>
      <c r="C305" s="56">
        <f t="shared" si="39"/>
        <v>4</v>
      </c>
      <c r="D305" s="56" t="str">
        <f t="shared" si="36"/>
        <v>01814788</v>
      </c>
      <c r="E305" s="56" t="str">
        <f t="shared" si="37"/>
        <v>4400570050004</v>
      </c>
      <c r="F305" s="56" t="b">
        <f t="shared" si="40"/>
        <v>0</v>
      </c>
      <c r="G305" s="141">
        <f t="shared" si="41"/>
        <v>46022</v>
      </c>
      <c r="H305" s="106">
        <f>VLOOKUP( $A305, Aop!$A$2:$P$456, 4, 0)</f>
        <v>533</v>
      </c>
      <c r="I305" s="56">
        <f t="shared" si="38"/>
        <v>2025</v>
      </c>
      <c r="J305" s="56"/>
      <c r="K305" s="56"/>
      <c r="L305" s="56"/>
      <c r="M305" s="56" t="str">
        <f t="shared" ca="1" si="42"/>
        <v/>
      </c>
      <c r="N305" s="56">
        <f t="shared" ca="1" si="43"/>
        <v>2341965</v>
      </c>
    </row>
    <row r="306" spans="1:14" x14ac:dyDescent="0.2">
      <c r="A306" s="106">
        <v>317</v>
      </c>
      <c r="B306" s="106" t="str">
        <f>VLOOKUP( $A306, Aop!$A$2:$P$456, 2, 0)</f>
        <v>BTG</v>
      </c>
      <c r="C306" s="56">
        <f t="shared" si="39"/>
        <v>4</v>
      </c>
      <c r="D306" s="56" t="str">
        <f t="shared" si="36"/>
        <v>01814788</v>
      </c>
      <c r="E306" s="56" t="str">
        <f t="shared" si="37"/>
        <v>4400570050004</v>
      </c>
      <c r="F306" s="56" t="b">
        <f t="shared" si="40"/>
        <v>0</v>
      </c>
      <c r="G306" s="141">
        <f t="shared" si="41"/>
        <v>46022</v>
      </c>
      <c r="H306" s="106">
        <f>VLOOKUP( $A306, Aop!$A$2:$P$456, 4, 0)</f>
        <v>534</v>
      </c>
      <c r="I306" s="56">
        <f t="shared" si="38"/>
        <v>2025</v>
      </c>
      <c r="J306" s="56"/>
      <c r="K306" s="56"/>
      <c r="L306" s="56"/>
      <c r="M306" s="56" t="str">
        <f t="shared" ca="1" si="42"/>
        <v/>
      </c>
      <c r="N306" s="56" t="str">
        <f t="shared" ca="1" si="43"/>
        <v/>
      </c>
    </row>
    <row r="307" spans="1:14" x14ac:dyDescent="0.2">
      <c r="A307" s="106">
        <v>318</v>
      </c>
      <c r="B307" s="106" t="str">
        <f>VLOOKUP( $A307, Aop!$A$2:$P$456, 2, 0)</f>
        <v>BTG</v>
      </c>
      <c r="C307" s="56">
        <f t="shared" si="39"/>
        <v>4</v>
      </c>
      <c r="D307" s="56" t="str">
        <f t="shared" si="36"/>
        <v>01814788</v>
      </c>
      <c r="E307" s="56" t="str">
        <f t="shared" si="37"/>
        <v>4400570050004</v>
      </c>
      <c r="F307" s="56" t="b">
        <f t="shared" si="40"/>
        <v>0</v>
      </c>
      <c r="G307" s="141">
        <f t="shared" si="41"/>
        <v>46022</v>
      </c>
      <c r="H307" s="106">
        <f>VLOOKUP( $A307, Aop!$A$2:$P$456, 4, 0)</f>
        <v>535</v>
      </c>
      <c r="I307" s="56">
        <f t="shared" si="38"/>
        <v>2025</v>
      </c>
      <c r="J307" s="56"/>
      <c r="K307" s="56"/>
      <c r="L307" s="56"/>
      <c r="M307" s="56" t="str">
        <f t="shared" ca="1" si="42"/>
        <v/>
      </c>
      <c r="N307" s="56" t="str">
        <f t="shared" ca="1" si="43"/>
        <v/>
      </c>
    </row>
    <row r="308" spans="1:14" x14ac:dyDescent="0.2">
      <c r="A308" s="106">
        <v>319</v>
      </c>
      <c r="B308" s="106" t="str">
        <f>VLOOKUP( $A308, Aop!$A$2:$P$456, 2, 0)</f>
        <v>BTG</v>
      </c>
      <c r="C308" s="56">
        <f t="shared" si="39"/>
        <v>4</v>
      </c>
      <c r="D308" s="56" t="str">
        <f t="shared" si="36"/>
        <v>01814788</v>
      </c>
      <c r="E308" s="56" t="str">
        <f t="shared" si="37"/>
        <v>4400570050004</v>
      </c>
      <c r="F308" s="56" t="b">
        <f t="shared" si="40"/>
        <v>0</v>
      </c>
      <c r="G308" s="141">
        <f t="shared" si="41"/>
        <v>46022</v>
      </c>
      <c r="H308" s="106">
        <f>VLOOKUP( $A308, Aop!$A$2:$P$456, 4, 0)</f>
        <v>536</v>
      </c>
      <c r="I308" s="56">
        <f t="shared" si="38"/>
        <v>2025</v>
      </c>
      <c r="J308" s="56"/>
      <c r="K308" s="56"/>
      <c r="L308" s="56"/>
      <c r="M308" s="56" t="str">
        <f t="shared" ca="1" si="42"/>
        <v/>
      </c>
      <c r="N308" s="56" t="str">
        <f t="shared" ca="1" si="43"/>
        <v/>
      </c>
    </row>
    <row r="309" spans="1:14" x14ac:dyDescent="0.2">
      <c r="A309" s="106">
        <v>320</v>
      </c>
      <c r="B309" s="106" t="str">
        <f>VLOOKUP( $A309, Aop!$A$2:$P$456, 2, 0)</f>
        <v>BTG</v>
      </c>
      <c r="C309" s="56">
        <f t="shared" si="39"/>
        <v>4</v>
      </c>
      <c r="D309" s="56" t="str">
        <f t="shared" si="36"/>
        <v>01814788</v>
      </c>
      <c r="E309" s="56" t="str">
        <f t="shared" si="37"/>
        <v>4400570050004</v>
      </c>
      <c r="F309" s="56" t="b">
        <f t="shared" si="40"/>
        <v>0</v>
      </c>
      <c r="G309" s="141">
        <f t="shared" si="41"/>
        <v>46022</v>
      </c>
      <c r="H309" s="106">
        <f>VLOOKUP( $A309, Aop!$A$2:$P$456, 4, 0)</f>
        <v>537</v>
      </c>
      <c r="I309" s="56">
        <f t="shared" si="38"/>
        <v>2025</v>
      </c>
      <c r="J309" s="56"/>
      <c r="K309" s="56"/>
      <c r="L309" s="56"/>
      <c r="M309" s="56" t="str">
        <f t="shared" ca="1" si="42"/>
        <v/>
      </c>
      <c r="N309" s="56" t="str">
        <f t="shared" ca="1" si="43"/>
        <v/>
      </c>
    </row>
    <row r="310" spans="1:14" x14ac:dyDescent="0.2">
      <c r="A310" s="106">
        <v>321</v>
      </c>
      <c r="B310" s="106" t="str">
        <f>VLOOKUP( $A310, Aop!$A$2:$P$456, 2, 0)</f>
        <v>BTG</v>
      </c>
      <c r="C310" s="56">
        <f t="shared" si="39"/>
        <v>4</v>
      </c>
      <c r="D310" s="56" t="str">
        <f t="shared" ref="D310:D355" si="44">Podatak_MB</f>
        <v>01814788</v>
      </c>
      <c r="E310" s="56" t="str">
        <f t="shared" ref="E310:E355" si="45">Podatak_JIB</f>
        <v>4400570050004</v>
      </c>
      <c r="F310" s="56" t="b">
        <f t="shared" si="40"/>
        <v>0</v>
      </c>
      <c r="G310" s="141">
        <f t="shared" si="41"/>
        <v>46022</v>
      </c>
      <c r="H310" s="106">
        <f>VLOOKUP( $A310, Aop!$A$2:$P$456, 4, 0)</f>
        <v>538</v>
      </c>
      <c r="I310" s="56">
        <f t="shared" ref="I310:I355" si="46">Godina</f>
        <v>2025</v>
      </c>
      <c r="J310" s="56"/>
      <c r="K310" s="56"/>
      <c r="L310" s="56"/>
      <c r="M310" s="56" t="str">
        <f t="shared" ca="1" si="42"/>
        <v/>
      </c>
      <c r="N310" s="56" t="str">
        <f t="shared" ca="1" si="43"/>
        <v/>
      </c>
    </row>
    <row r="311" spans="1:14" x14ac:dyDescent="0.2">
      <c r="A311" s="106">
        <v>322</v>
      </c>
      <c r="B311" s="106" t="str">
        <f>VLOOKUP( $A311, Aop!$A$2:$P$456, 2, 0)</f>
        <v>BTG</v>
      </c>
      <c r="C311" s="56">
        <f t="shared" ref="C311:C355" si="47">ID_Izvjestaj</f>
        <v>4</v>
      </c>
      <c r="D311" s="56" t="str">
        <f t="shared" si="44"/>
        <v>01814788</v>
      </c>
      <c r="E311" s="56" t="str">
        <f t="shared" si="45"/>
        <v>4400570050004</v>
      </c>
      <c r="F311" s="56" t="b">
        <f t="shared" ref="F311:F355" si="48">Konsolidovan_izvjestaj</f>
        <v>0</v>
      </c>
      <c r="G311" s="141">
        <f t="shared" ref="G311:G355" si="49">Datum_Broj</f>
        <v>46022</v>
      </c>
      <c r="H311" s="106">
        <f>VLOOKUP( $A311, Aop!$A$2:$P$456, 4, 0)</f>
        <v>539</v>
      </c>
      <c r="I311" s="56">
        <f t="shared" si="46"/>
        <v>2025</v>
      </c>
      <c r="J311" s="56"/>
      <c r="K311" s="56"/>
      <c r="L311" s="56"/>
      <c r="M311" s="56" t="str">
        <f t="shared" ca="1" si="42"/>
        <v/>
      </c>
      <c r="N311" s="56" t="str">
        <f t="shared" ca="1" si="43"/>
        <v/>
      </c>
    </row>
    <row r="312" spans="1:14" x14ac:dyDescent="0.2">
      <c r="A312" s="106">
        <v>323</v>
      </c>
      <c r="B312" s="106" t="str">
        <f>VLOOKUP( $A312, Aop!$A$2:$P$456, 2, 0)</f>
        <v>BTG</v>
      </c>
      <c r="C312" s="56">
        <f t="shared" si="47"/>
        <v>4</v>
      </c>
      <c r="D312" s="56" t="str">
        <f t="shared" si="44"/>
        <v>01814788</v>
      </c>
      <c r="E312" s="56" t="str">
        <f t="shared" si="45"/>
        <v>4400570050004</v>
      </c>
      <c r="F312" s="56" t="b">
        <f t="shared" si="48"/>
        <v>0</v>
      </c>
      <c r="G312" s="141">
        <f t="shared" si="49"/>
        <v>46022</v>
      </c>
      <c r="H312" s="106">
        <f>VLOOKUP( $A312, Aop!$A$2:$P$456, 4, 0)</f>
        <v>540</v>
      </c>
      <c r="I312" s="56">
        <f t="shared" si="46"/>
        <v>2025</v>
      </c>
      <c r="J312" s="56"/>
      <c r="K312" s="56"/>
      <c r="L312" s="56"/>
      <c r="M312" s="56" t="str">
        <f t="shared" ca="1" si="42"/>
        <v/>
      </c>
      <c r="N312" s="56" t="str">
        <f t="shared" ca="1" si="43"/>
        <v/>
      </c>
    </row>
    <row r="313" spans="1:14" x14ac:dyDescent="0.2">
      <c r="A313" s="106">
        <v>324</v>
      </c>
      <c r="B313" s="106" t="str">
        <f>VLOOKUP( $A313, Aop!$A$2:$P$456, 2, 0)</f>
        <v>BTG</v>
      </c>
      <c r="C313" s="56">
        <f t="shared" si="47"/>
        <v>4</v>
      </c>
      <c r="D313" s="56" t="str">
        <f t="shared" si="44"/>
        <v>01814788</v>
      </c>
      <c r="E313" s="56" t="str">
        <f t="shared" si="45"/>
        <v>4400570050004</v>
      </c>
      <c r="F313" s="56" t="b">
        <f t="shared" si="48"/>
        <v>0</v>
      </c>
      <c r="G313" s="141">
        <f t="shared" si="49"/>
        <v>46022</v>
      </c>
      <c r="H313" s="106">
        <f>VLOOKUP( $A313, Aop!$A$2:$P$456, 4, 0)</f>
        <v>541</v>
      </c>
      <c r="I313" s="56">
        <f t="shared" si="46"/>
        <v>2025</v>
      </c>
      <c r="J313" s="56"/>
      <c r="K313" s="56"/>
      <c r="L313" s="56"/>
      <c r="M313" s="56" t="str">
        <f t="shared" ca="1" si="42"/>
        <v/>
      </c>
      <c r="N313" s="56" t="str">
        <f t="shared" ca="1" si="43"/>
        <v/>
      </c>
    </row>
    <row r="314" spans="1:14" x14ac:dyDescent="0.2">
      <c r="A314" s="106">
        <v>325</v>
      </c>
      <c r="B314" s="106" t="str">
        <f>VLOOKUP( $A314, Aop!$A$2:$P$456, 2, 0)</f>
        <v>BTG</v>
      </c>
      <c r="C314" s="56">
        <f t="shared" si="47"/>
        <v>4</v>
      </c>
      <c r="D314" s="56" t="str">
        <f t="shared" si="44"/>
        <v>01814788</v>
      </c>
      <c r="E314" s="56" t="str">
        <f t="shared" si="45"/>
        <v>4400570050004</v>
      </c>
      <c r="F314" s="56" t="b">
        <f t="shared" si="48"/>
        <v>0</v>
      </c>
      <c r="G314" s="141">
        <f t="shared" si="49"/>
        <v>46022</v>
      </c>
      <c r="H314" s="106">
        <f>VLOOKUP( $A314, Aop!$A$2:$P$456, 4, 0)</f>
        <v>542</v>
      </c>
      <c r="I314" s="56">
        <f t="shared" si="46"/>
        <v>2025</v>
      </c>
      <c r="J314" s="56"/>
      <c r="K314" s="56"/>
      <c r="L314" s="56"/>
      <c r="M314" s="56" t="str">
        <f t="shared" ca="1" si="42"/>
        <v/>
      </c>
      <c r="N314" s="56">
        <f t="shared" ca="1" si="43"/>
        <v>0</v>
      </c>
    </row>
    <row r="315" spans="1:14" x14ac:dyDescent="0.2">
      <c r="A315" s="106">
        <v>326</v>
      </c>
      <c r="B315" s="106" t="str">
        <f>VLOOKUP( $A315, Aop!$A$2:$P$456, 2, 0)</f>
        <v>BTG</v>
      </c>
      <c r="C315" s="56">
        <f t="shared" si="47"/>
        <v>4</v>
      </c>
      <c r="D315" s="56" t="str">
        <f t="shared" si="44"/>
        <v>01814788</v>
      </c>
      <c r="E315" s="56" t="str">
        <f t="shared" si="45"/>
        <v>4400570050004</v>
      </c>
      <c r="F315" s="56" t="b">
        <f t="shared" si="48"/>
        <v>0</v>
      </c>
      <c r="G315" s="141">
        <f t="shared" si="49"/>
        <v>46022</v>
      </c>
      <c r="H315" s="106">
        <f>VLOOKUP( $A315, Aop!$A$2:$P$456, 4, 0)</f>
        <v>543</v>
      </c>
      <c r="I315" s="56">
        <f t="shared" si="46"/>
        <v>2025</v>
      </c>
      <c r="J315" s="56"/>
      <c r="K315" s="56"/>
      <c r="L315" s="56"/>
      <c r="M315" s="56" t="str">
        <f t="shared" ca="1" si="42"/>
        <v/>
      </c>
      <c r="N315" s="56">
        <f t="shared" ca="1" si="43"/>
        <v>2326896</v>
      </c>
    </row>
    <row r="316" spans="1:14" x14ac:dyDescent="0.2">
      <c r="A316" s="106">
        <v>327</v>
      </c>
      <c r="B316" s="106" t="str">
        <f>VLOOKUP( $A316, Aop!$A$2:$P$456, 2, 0)</f>
        <v>BTG</v>
      </c>
      <c r="C316" s="56">
        <f t="shared" si="47"/>
        <v>4</v>
      </c>
      <c r="D316" s="56" t="str">
        <f t="shared" si="44"/>
        <v>01814788</v>
      </c>
      <c r="E316" s="56" t="str">
        <f t="shared" si="45"/>
        <v>4400570050004</v>
      </c>
      <c r="F316" s="56" t="b">
        <f t="shared" si="48"/>
        <v>0</v>
      </c>
      <c r="G316" s="141">
        <f t="shared" si="49"/>
        <v>46022</v>
      </c>
      <c r="H316" s="106">
        <f>VLOOKUP( $A316, Aop!$A$2:$P$456, 4, 0)</f>
        <v>544</v>
      </c>
      <c r="I316" s="56">
        <f t="shared" si="46"/>
        <v>2025</v>
      </c>
      <c r="J316" s="56"/>
      <c r="K316" s="56"/>
      <c r="L316" s="56"/>
      <c r="M316" s="56" t="str">
        <f t="shared" ca="1" si="42"/>
        <v/>
      </c>
      <c r="N316" s="56">
        <f t="shared" ca="1" si="43"/>
        <v>82960</v>
      </c>
    </row>
    <row r="317" spans="1:14" x14ac:dyDescent="0.2">
      <c r="A317" s="106">
        <v>328</v>
      </c>
      <c r="B317" s="106" t="str">
        <f>VLOOKUP( $A317, Aop!$A$2:$P$456, 2, 0)</f>
        <v>BTG</v>
      </c>
      <c r="C317" s="56">
        <f t="shared" si="47"/>
        <v>4</v>
      </c>
      <c r="D317" s="56" t="str">
        <f t="shared" si="44"/>
        <v>01814788</v>
      </c>
      <c r="E317" s="56" t="str">
        <f t="shared" si="45"/>
        <v>4400570050004</v>
      </c>
      <c r="F317" s="56" t="b">
        <f t="shared" si="48"/>
        <v>0</v>
      </c>
      <c r="G317" s="141">
        <f t="shared" si="49"/>
        <v>46022</v>
      </c>
      <c r="H317" s="106">
        <f>VLOOKUP( $A317, Aop!$A$2:$P$456, 4, 0)</f>
        <v>545</v>
      </c>
      <c r="I317" s="56">
        <f t="shared" si="46"/>
        <v>2025</v>
      </c>
      <c r="J317" s="56"/>
      <c r="K317" s="56"/>
      <c r="L317" s="56"/>
      <c r="M317" s="56" t="str">
        <f t="shared" ca="1" si="42"/>
        <v/>
      </c>
      <c r="N317" s="56" t="str">
        <f t="shared" ca="1" si="43"/>
        <v/>
      </c>
    </row>
    <row r="318" spans="1:14" x14ac:dyDescent="0.2">
      <c r="A318" s="106">
        <v>329</v>
      </c>
      <c r="B318" s="106" t="str">
        <f>VLOOKUP( $A318, Aop!$A$2:$P$456, 2, 0)</f>
        <v>BTG</v>
      </c>
      <c r="C318" s="56">
        <f t="shared" si="47"/>
        <v>4</v>
      </c>
      <c r="D318" s="56" t="str">
        <f t="shared" si="44"/>
        <v>01814788</v>
      </c>
      <c r="E318" s="56" t="str">
        <f t="shared" si="45"/>
        <v>4400570050004</v>
      </c>
      <c r="F318" s="56" t="b">
        <f t="shared" si="48"/>
        <v>0</v>
      </c>
      <c r="G318" s="141">
        <f t="shared" si="49"/>
        <v>46022</v>
      </c>
      <c r="H318" s="106">
        <f>VLOOKUP( $A318, Aop!$A$2:$P$456, 4, 0)</f>
        <v>546</v>
      </c>
      <c r="I318" s="56">
        <f t="shared" si="46"/>
        <v>2025</v>
      </c>
      <c r="J318" s="56"/>
      <c r="K318" s="56"/>
      <c r="L318" s="56"/>
      <c r="M318" s="56" t="str">
        <f t="shared" ca="1" si="42"/>
        <v/>
      </c>
      <c r="N318" s="56" t="str">
        <f t="shared" ca="1" si="43"/>
        <v/>
      </c>
    </row>
    <row r="319" spans="1:14" x14ac:dyDescent="0.2">
      <c r="A319" s="106">
        <v>330</v>
      </c>
      <c r="B319" s="106" t="str">
        <f>VLOOKUP( $A319, Aop!$A$2:$P$456, 2, 0)</f>
        <v>BTG</v>
      </c>
      <c r="C319" s="56">
        <f t="shared" si="47"/>
        <v>4</v>
      </c>
      <c r="D319" s="56" t="str">
        <f t="shared" si="44"/>
        <v>01814788</v>
      </c>
      <c r="E319" s="56" t="str">
        <f t="shared" si="45"/>
        <v>4400570050004</v>
      </c>
      <c r="F319" s="56" t="b">
        <f t="shared" si="48"/>
        <v>0</v>
      </c>
      <c r="G319" s="141">
        <f t="shared" si="49"/>
        <v>46022</v>
      </c>
      <c r="H319" s="106">
        <f>VLOOKUP( $A319, Aop!$A$2:$P$456, 4, 0)</f>
        <v>547</v>
      </c>
      <c r="I319" s="56">
        <f t="shared" si="46"/>
        <v>2025</v>
      </c>
      <c r="J319" s="56"/>
      <c r="K319" s="56"/>
      <c r="L319" s="56"/>
      <c r="M319" s="56" t="str">
        <f t="shared" ca="1" si="42"/>
        <v/>
      </c>
      <c r="N319" s="56">
        <f t="shared" ca="1" si="43"/>
        <v>82960</v>
      </c>
    </row>
    <row r="320" spans="1:14" x14ac:dyDescent="0.2">
      <c r="A320" s="106">
        <v>331</v>
      </c>
      <c r="B320" s="106" t="str">
        <f>VLOOKUP( $A320, Aop!$A$2:$P$456, 2, 0)</f>
        <v>BTG</v>
      </c>
      <c r="C320" s="56">
        <f t="shared" si="47"/>
        <v>4</v>
      </c>
      <c r="D320" s="56" t="str">
        <f t="shared" si="44"/>
        <v>01814788</v>
      </c>
      <c r="E320" s="56" t="str">
        <f t="shared" si="45"/>
        <v>4400570050004</v>
      </c>
      <c r="F320" s="56" t="b">
        <f t="shared" si="48"/>
        <v>0</v>
      </c>
      <c r="G320" s="141">
        <f t="shared" si="49"/>
        <v>46022</v>
      </c>
      <c r="H320" s="106">
        <f>VLOOKUP( $A320, Aop!$A$2:$P$456, 4, 0)</f>
        <v>548</v>
      </c>
      <c r="I320" s="56">
        <f t="shared" si="46"/>
        <v>2025</v>
      </c>
      <c r="J320" s="56"/>
      <c r="K320" s="56"/>
      <c r="L320" s="56"/>
      <c r="M320" s="56" t="str">
        <f t="shared" ca="1" si="42"/>
        <v/>
      </c>
      <c r="N320" s="56" t="str">
        <f t="shared" ca="1" si="43"/>
        <v/>
      </c>
    </row>
    <row r="321" spans="1:14" x14ac:dyDescent="0.2">
      <c r="A321" s="106">
        <v>332</v>
      </c>
      <c r="B321" s="106" t="str">
        <f>VLOOKUP( $A321, Aop!$A$2:$P$456, 2, 0)</f>
        <v>BTG</v>
      </c>
      <c r="C321" s="56">
        <f t="shared" si="47"/>
        <v>4</v>
      </c>
      <c r="D321" s="56" t="str">
        <f t="shared" si="44"/>
        <v>01814788</v>
      </c>
      <c r="E321" s="56" t="str">
        <f t="shared" si="45"/>
        <v>4400570050004</v>
      </c>
      <c r="F321" s="56" t="b">
        <f t="shared" si="48"/>
        <v>0</v>
      </c>
      <c r="G321" s="141">
        <f t="shared" si="49"/>
        <v>46022</v>
      </c>
      <c r="H321" s="106">
        <f>VLOOKUP( $A321, Aop!$A$2:$P$456, 4, 0)</f>
        <v>549</v>
      </c>
      <c r="I321" s="56">
        <f t="shared" si="46"/>
        <v>2025</v>
      </c>
      <c r="J321" s="56"/>
      <c r="K321" s="56"/>
      <c r="L321" s="56"/>
      <c r="M321" s="56" t="str">
        <f t="shared" ca="1" si="42"/>
        <v/>
      </c>
      <c r="N321" s="56" t="str">
        <f t="shared" ca="1" si="43"/>
        <v/>
      </c>
    </row>
    <row r="322" spans="1:14" x14ac:dyDescent="0.2">
      <c r="A322" s="106">
        <v>333</v>
      </c>
      <c r="B322" s="106" t="str">
        <f>VLOOKUP( $A322, Aop!$A$2:$P$456, 2, 0)</f>
        <v>BTG</v>
      </c>
      <c r="C322" s="56">
        <f t="shared" si="47"/>
        <v>4</v>
      </c>
      <c r="D322" s="56" t="str">
        <f t="shared" si="44"/>
        <v>01814788</v>
      </c>
      <c r="E322" s="56" t="str">
        <f t="shared" si="45"/>
        <v>4400570050004</v>
      </c>
      <c r="F322" s="56" t="b">
        <f t="shared" si="48"/>
        <v>0</v>
      </c>
      <c r="G322" s="141">
        <f t="shared" si="49"/>
        <v>46022</v>
      </c>
      <c r="H322" s="106">
        <f>VLOOKUP( $A322, Aop!$A$2:$P$456, 4, 0)</f>
        <v>550</v>
      </c>
      <c r="I322" s="56">
        <f t="shared" si="46"/>
        <v>2025</v>
      </c>
      <c r="J322" s="56"/>
      <c r="K322" s="56"/>
      <c r="L322" s="56"/>
      <c r="M322" s="56" t="str">
        <f t="shared" ca="1" si="42"/>
        <v/>
      </c>
      <c r="N322" s="56" t="str">
        <f t="shared" ca="1" si="43"/>
        <v/>
      </c>
    </row>
    <row r="323" spans="1:14" x14ac:dyDescent="0.2">
      <c r="A323" s="106">
        <v>334</v>
      </c>
      <c r="B323" s="106" t="str">
        <f>VLOOKUP( $A323, Aop!$A$2:$P$456, 2, 0)</f>
        <v>BTG</v>
      </c>
      <c r="C323" s="56">
        <f t="shared" si="47"/>
        <v>4</v>
      </c>
      <c r="D323" s="56" t="str">
        <f t="shared" si="44"/>
        <v>01814788</v>
      </c>
      <c r="E323" s="56" t="str">
        <f t="shared" si="45"/>
        <v>4400570050004</v>
      </c>
      <c r="F323" s="56" t="b">
        <f t="shared" si="48"/>
        <v>0</v>
      </c>
      <c r="G323" s="141">
        <f t="shared" si="49"/>
        <v>46022</v>
      </c>
      <c r="H323" s="106">
        <f>VLOOKUP( $A323, Aop!$A$2:$P$456, 4, 0)</f>
        <v>551</v>
      </c>
      <c r="I323" s="56">
        <f t="shared" si="46"/>
        <v>2025</v>
      </c>
      <c r="J323" s="56"/>
      <c r="K323" s="56"/>
      <c r="L323" s="56"/>
      <c r="M323" s="56" t="str">
        <f t="shared" ref="M323:M380" ca="1" si="50">IF( VLOOKUP( $H323, INDIRECT( "Lookup_" &amp; $B323), IF( LEFT( $B323, 2) = "BS", S$2, S$1), 0) = "", "", VLOOKUP( $H323, INDIRECT( "Lookup_" &amp; $B323), IF( LEFT( $B323, 2) = "BS", S$2, S$1), 0))</f>
        <v/>
      </c>
      <c r="N323" s="56">
        <f t="shared" ref="N323:N380" ca="1" si="51">IF( VLOOKUP( $H323, INDIRECT( "Lookup_" &amp; $B323), IF( LEFT( $B323, 2) = "BS", T$2, T$1), 0) = "", "", VLOOKUP( $H323, INDIRECT( "Lookup_" &amp; $B323), IF( LEFT( $B323, 2) = "BS", T$2, T$1), 0))</f>
        <v>2984229</v>
      </c>
    </row>
    <row r="324" spans="1:14" x14ac:dyDescent="0.2">
      <c r="A324" s="106">
        <v>335</v>
      </c>
      <c r="B324" s="106" t="str">
        <f>VLOOKUP( $A324, Aop!$A$2:$P$456, 2, 0)</f>
        <v>BTG</v>
      </c>
      <c r="C324" s="56">
        <f t="shared" si="47"/>
        <v>4</v>
      </c>
      <c r="D324" s="56" t="str">
        <f t="shared" si="44"/>
        <v>01814788</v>
      </c>
      <c r="E324" s="56" t="str">
        <f t="shared" si="45"/>
        <v>4400570050004</v>
      </c>
      <c r="F324" s="56" t="b">
        <f t="shared" si="48"/>
        <v>0</v>
      </c>
      <c r="G324" s="141">
        <f t="shared" si="49"/>
        <v>46022</v>
      </c>
      <c r="H324" s="106">
        <f>VLOOKUP( $A324, Aop!$A$2:$P$456, 4, 0)</f>
        <v>552</v>
      </c>
      <c r="I324" s="56">
        <f t="shared" si="46"/>
        <v>2025</v>
      </c>
      <c r="J324" s="56"/>
      <c r="K324" s="56"/>
      <c r="L324" s="56"/>
      <c r="M324" s="56" t="str">
        <f t="shared" ca="1" si="50"/>
        <v/>
      </c>
      <c r="N324" s="56" t="str">
        <f t="shared" ca="1" si="51"/>
        <v/>
      </c>
    </row>
    <row r="325" spans="1:14" x14ac:dyDescent="0.2">
      <c r="A325" s="106">
        <v>336</v>
      </c>
      <c r="B325" s="106" t="str">
        <f>VLOOKUP( $A325, Aop!$A$2:$P$456, 2, 0)</f>
        <v>BTG</v>
      </c>
      <c r="C325" s="56">
        <f t="shared" si="47"/>
        <v>4</v>
      </c>
      <c r="D325" s="56" t="str">
        <f t="shared" si="44"/>
        <v>01814788</v>
      </c>
      <c r="E325" s="56" t="str">
        <f t="shared" si="45"/>
        <v>4400570050004</v>
      </c>
      <c r="F325" s="56" t="b">
        <f t="shared" si="48"/>
        <v>0</v>
      </c>
      <c r="G325" s="141">
        <f t="shared" si="49"/>
        <v>46022</v>
      </c>
      <c r="H325" s="106">
        <f>VLOOKUP( $A325, Aop!$A$2:$P$456, 4, 0)</f>
        <v>553</v>
      </c>
      <c r="I325" s="56">
        <f t="shared" si="46"/>
        <v>2025</v>
      </c>
      <c r="J325" s="56"/>
      <c r="K325" s="56"/>
      <c r="L325" s="56"/>
      <c r="M325" s="56" t="str">
        <f t="shared" ca="1" si="50"/>
        <v/>
      </c>
      <c r="N325" s="56">
        <f t="shared" ca="1" si="51"/>
        <v>1532378</v>
      </c>
    </row>
    <row r="326" spans="1:14" x14ac:dyDescent="0.2">
      <c r="A326" s="106">
        <v>337</v>
      </c>
      <c r="B326" s="106" t="str">
        <f>VLOOKUP( $A326, Aop!$A$2:$P$456, 2, 0)</f>
        <v>BTG</v>
      </c>
      <c r="C326" s="56">
        <f t="shared" si="47"/>
        <v>4</v>
      </c>
      <c r="D326" s="56" t="str">
        <f t="shared" si="44"/>
        <v>01814788</v>
      </c>
      <c r="E326" s="56" t="str">
        <f t="shared" si="45"/>
        <v>4400570050004</v>
      </c>
      <c r="F326" s="56" t="b">
        <f t="shared" si="48"/>
        <v>0</v>
      </c>
      <c r="G326" s="141">
        <f t="shared" si="49"/>
        <v>46022</v>
      </c>
      <c r="H326" s="106">
        <f>VLOOKUP( $A326, Aop!$A$2:$P$456, 4, 0)</f>
        <v>554</v>
      </c>
      <c r="I326" s="56">
        <f t="shared" si="46"/>
        <v>2025</v>
      </c>
      <c r="J326" s="56"/>
      <c r="K326" s="56"/>
      <c r="L326" s="56"/>
      <c r="M326" s="56" t="str">
        <f t="shared" ca="1" si="50"/>
        <v/>
      </c>
      <c r="N326" s="56" t="str">
        <f t="shared" ca="1" si="51"/>
        <v/>
      </c>
    </row>
    <row r="327" spans="1:14" x14ac:dyDescent="0.2">
      <c r="A327" s="106">
        <v>338</v>
      </c>
      <c r="B327" s="106" t="str">
        <f>VLOOKUP( $A327, Aop!$A$2:$P$456, 2, 0)</f>
        <v>BTG</v>
      </c>
      <c r="C327" s="56">
        <f t="shared" si="47"/>
        <v>4</v>
      </c>
      <c r="D327" s="56" t="str">
        <f t="shared" si="44"/>
        <v>01814788</v>
      </c>
      <c r="E327" s="56" t="str">
        <f t="shared" si="45"/>
        <v>4400570050004</v>
      </c>
      <c r="F327" s="56" t="b">
        <f t="shared" si="48"/>
        <v>0</v>
      </c>
      <c r="G327" s="141">
        <f t="shared" si="49"/>
        <v>46022</v>
      </c>
      <c r="H327" s="106">
        <f>VLOOKUP( $A327, Aop!$A$2:$P$456, 4, 0)</f>
        <v>555</v>
      </c>
      <c r="I327" s="56">
        <f t="shared" si="46"/>
        <v>2025</v>
      </c>
      <c r="J327" s="56"/>
      <c r="K327" s="56"/>
      <c r="L327" s="56"/>
      <c r="M327" s="56" t="str">
        <f t="shared" ca="1" si="50"/>
        <v/>
      </c>
      <c r="N327" s="56">
        <f t="shared" ca="1" si="51"/>
        <v>39192</v>
      </c>
    </row>
    <row r="328" spans="1:14" x14ac:dyDescent="0.2">
      <c r="A328" s="106">
        <v>339</v>
      </c>
      <c r="B328" s="106" t="str">
        <f>VLOOKUP( $A328, Aop!$A$2:$P$456, 2, 0)</f>
        <v>BTG</v>
      </c>
      <c r="C328" s="56">
        <f t="shared" si="47"/>
        <v>4</v>
      </c>
      <c r="D328" s="56" t="str">
        <f t="shared" si="44"/>
        <v>01814788</v>
      </c>
      <c r="E328" s="56" t="str">
        <f t="shared" si="45"/>
        <v>4400570050004</v>
      </c>
      <c r="F328" s="56" t="b">
        <f t="shared" si="48"/>
        <v>0</v>
      </c>
      <c r="G328" s="141">
        <f t="shared" si="49"/>
        <v>46022</v>
      </c>
      <c r="H328" s="106">
        <f>VLOOKUP( $A328, Aop!$A$2:$P$456, 4, 0)</f>
        <v>556</v>
      </c>
      <c r="I328" s="56">
        <f t="shared" si="46"/>
        <v>2025</v>
      </c>
      <c r="J328" s="56"/>
      <c r="K328" s="56"/>
      <c r="L328" s="56"/>
      <c r="M328" s="56" t="str">
        <f t="shared" ca="1" si="50"/>
        <v/>
      </c>
      <c r="N328" s="56">
        <f t="shared" ca="1" si="51"/>
        <v>1412659</v>
      </c>
    </row>
    <row r="329" spans="1:14" x14ac:dyDescent="0.2">
      <c r="A329" s="106">
        <v>340</v>
      </c>
      <c r="B329" s="106" t="str">
        <f>VLOOKUP( $A329, Aop!$A$2:$P$456, 2, 0)</f>
        <v>BTG</v>
      </c>
      <c r="C329" s="56">
        <f t="shared" si="47"/>
        <v>4</v>
      </c>
      <c r="D329" s="56" t="str">
        <f t="shared" si="44"/>
        <v>01814788</v>
      </c>
      <c r="E329" s="56" t="str">
        <f t="shared" si="45"/>
        <v>4400570050004</v>
      </c>
      <c r="F329" s="56" t="b">
        <f t="shared" si="48"/>
        <v>0</v>
      </c>
      <c r="G329" s="141">
        <f t="shared" si="49"/>
        <v>46022</v>
      </c>
      <c r="H329" s="106">
        <f>VLOOKUP( $A329, Aop!$A$2:$P$456, 4, 0)</f>
        <v>557</v>
      </c>
      <c r="I329" s="56">
        <f t="shared" si="46"/>
        <v>2025</v>
      </c>
      <c r="J329" s="56"/>
      <c r="K329" s="56"/>
      <c r="L329" s="56"/>
      <c r="M329" s="56" t="str">
        <f t="shared" ca="1" si="50"/>
        <v/>
      </c>
      <c r="N329" s="56" t="str">
        <f t="shared" ca="1" si="51"/>
        <v/>
      </c>
    </row>
    <row r="330" spans="1:14" x14ac:dyDescent="0.2">
      <c r="A330" s="106">
        <v>341</v>
      </c>
      <c r="B330" s="106" t="str">
        <f>VLOOKUP( $A330, Aop!$A$2:$P$456, 2, 0)</f>
        <v>BTG</v>
      </c>
      <c r="C330" s="56">
        <f t="shared" si="47"/>
        <v>4</v>
      </c>
      <c r="D330" s="56" t="str">
        <f t="shared" si="44"/>
        <v>01814788</v>
      </c>
      <c r="E330" s="56" t="str">
        <f t="shared" si="45"/>
        <v>4400570050004</v>
      </c>
      <c r="F330" s="56" t="b">
        <f t="shared" si="48"/>
        <v>0</v>
      </c>
      <c r="G330" s="141">
        <f t="shared" si="49"/>
        <v>46022</v>
      </c>
      <c r="H330" s="106">
        <f>VLOOKUP( $A330, Aop!$A$2:$P$456, 4, 0)</f>
        <v>558</v>
      </c>
      <c r="I330" s="56">
        <f t="shared" si="46"/>
        <v>2025</v>
      </c>
      <c r="J330" s="56"/>
      <c r="K330" s="56"/>
      <c r="L330" s="56"/>
      <c r="M330" s="56" t="str">
        <f t="shared" ca="1" si="50"/>
        <v/>
      </c>
      <c r="N330" s="56" t="str">
        <f t="shared" ca="1" si="51"/>
        <v/>
      </c>
    </row>
    <row r="331" spans="1:14" x14ac:dyDescent="0.2">
      <c r="A331" s="106">
        <v>342</v>
      </c>
      <c r="B331" s="106" t="str">
        <f>VLOOKUP( $A331, Aop!$A$2:$P$456, 2, 0)</f>
        <v>BTG</v>
      </c>
      <c r="C331" s="56">
        <f t="shared" si="47"/>
        <v>4</v>
      </c>
      <c r="D331" s="56" t="str">
        <f t="shared" si="44"/>
        <v>01814788</v>
      </c>
      <c r="E331" s="56" t="str">
        <f t="shared" si="45"/>
        <v>4400570050004</v>
      </c>
      <c r="F331" s="56" t="b">
        <f t="shared" si="48"/>
        <v>0</v>
      </c>
      <c r="G331" s="141">
        <f t="shared" si="49"/>
        <v>46022</v>
      </c>
      <c r="H331" s="106">
        <f>VLOOKUP( $A331, Aop!$A$2:$P$456, 4, 0)</f>
        <v>559</v>
      </c>
      <c r="I331" s="56">
        <f t="shared" si="46"/>
        <v>2025</v>
      </c>
      <c r="J331" s="56"/>
      <c r="K331" s="56"/>
      <c r="L331" s="56"/>
      <c r="M331" s="56" t="str">
        <f t="shared" ca="1" si="50"/>
        <v/>
      </c>
      <c r="N331" s="56">
        <f t="shared" ca="1" si="51"/>
        <v>0</v>
      </c>
    </row>
    <row r="332" spans="1:14" x14ac:dyDescent="0.2">
      <c r="A332" s="106">
        <v>343</v>
      </c>
      <c r="B332" s="106" t="str">
        <f>VLOOKUP( $A332, Aop!$A$2:$P$456, 2, 0)</f>
        <v>BTG</v>
      </c>
      <c r="C332" s="56">
        <f t="shared" si="47"/>
        <v>4</v>
      </c>
      <c r="D332" s="56" t="str">
        <f t="shared" si="44"/>
        <v>01814788</v>
      </c>
      <c r="E332" s="56" t="str">
        <f t="shared" si="45"/>
        <v>4400570050004</v>
      </c>
      <c r="F332" s="56" t="b">
        <f t="shared" si="48"/>
        <v>0</v>
      </c>
      <c r="G332" s="141">
        <f t="shared" si="49"/>
        <v>46022</v>
      </c>
      <c r="H332" s="106">
        <f>VLOOKUP( $A332, Aop!$A$2:$P$456, 4, 0)</f>
        <v>560</v>
      </c>
      <c r="I332" s="56">
        <f t="shared" si="46"/>
        <v>2025</v>
      </c>
      <c r="J332" s="56"/>
      <c r="K332" s="56"/>
      <c r="L332" s="56"/>
      <c r="M332" s="56" t="str">
        <f t="shared" ca="1" si="50"/>
        <v/>
      </c>
      <c r="N332" s="56">
        <f t="shared" ca="1" si="51"/>
        <v>2901269</v>
      </c>
    </row>
    <row r="333" spans="1:14" x14ac:dyDescent="0.2">
      <c r="A333" s="106">
        <v>344</v>
      </c>
      <c r="B333" s="106" t="str">
        <f>VLOOKUP( $A333, Aop!$A$2:$P$456, 2, 0)</f>
        <v>BTG</v>
      </c>
      <c r="C333" s="56">
        <f t="shared" si="47"/>
        <v>4</v>
      </c>
      <c r="D333" s="56" t="str">
        <f t="shared" si="44"/>
        <v>01814788</v>
      </c>
      <c r="E333" s="56" t="str">
        <f t="shared" si="45"/>
        <v>4400570050004</v>
      </c>
      <c r="F333" s="56" t="b">
        <f t="shared" si="48"/>
        <v>0</v>
      </c>
      <c r="G333" s="141">
        <f t="shared" si="49"/>
        <v>46022</v>
      </c>
      <c r="H333" s="106">
        <f>VLOOKUP( $A333, Aop!$A$2:$P$456, 4, 0)</f>
        <v>561</v>
      </c>
      <c r="I333" s="56">
        <f t="shared" si="46"/>
        <v>2025</v>
      </c>
      <c r="J333" s="56"/>
      <c r="K333" s="56"/>
      <c r="L333" s="56"/>
      <c r="M333" s="56" t="str">
        <f t="shared" ca="1" si="50"/>
        <v/>
      </c>
      <c r="N333" s="56">
        <f t="shared" ca="1" si="51"/>
        <v>40611790</v>
      </c>
    </row>
    <row r="334" spans="1:14" x14ac:dyDescent="0.2">
      <c r="A334" s="106">
        <v>345</v>
      </c>
      <c r="B334" s="106" t="str">
        <f>VLOOKUP( $A334, Aop!$A$2:$P$456, 2, 0)</f>
        <v>BTG</v>
      </c>
      <c r="C334" s="56">
        <f t="shared" si="47"/>
        <v>4</v>
      </c>
      <c r="D334" s="56" t="str">
        <f t="shared" si="44"/>
        <v>01814788</v>
      </c>
      <c r="E334" s="56" t="str">
        <f t="shared" si="45"/>
        <v>4400570050004</v>
      </c>
      <c r="F334" s="56" t="b">
        <f t="shared" si="48"/>
        <v>0</v>
      </c>
      <c r="G334" s="141">
        <f t="shared" si="49"/>
        <v>46022</v>
      </c>
      <c r="H334" s="106">
        <f>VLOOKUP( $A334, Aop!$A$2:$P$456, 4, 0)</f>
        <v>562</v>
      </c>
      <c r="I334" s="56">
        <f t="shared" si="46"/>
        <v>2025</v>
      </c>
      <c r="J334" s="56"/>
      <c r="K334" s="56"/>
      <c r="L334" s="56"/>
      <c r="M334" s="56" t="str">
        <f t="shared" ca="1" si="50"/>
        <v/>
      </c>
      <c r="N334" s="56">
        <f t="shared" ca="1" si="51"/>
        <v>41177893</v>
      </c>
    </row>
    <row r="335" spans="1:14" x14ac:dyDescent="0.2">
      <c r="A335" s="106">
        <v>346</v>
      </c>
      <c r="B335" s="106" t="str">
        <f>VLOOKUP( $A335, Aop!$A$2:$P$456, 2, 0)</f>
        <v>BTG</v>
      </c>
      <c r="C335" s="56">
        <f t="shared" si="47"/>
        <v>4</v>
      </c>
      <c r="D335" s="56" t="str">
        <f t="shared" si="44"/>
        <v>01814788</v>
      </c>
      <c r="E335" s="56" t="str">
        <f t="shared" si="45"/>
        <v>4400570050004</v>
      </c>
      <c r="F335" s="56" t="b">
        <f t="shared" si="48"/>
        <v>0</v>
      </c>
      <c r="G335" s="141">
        <f t="shared" si="49"/>
        <v>46022</v>
      </c>
      <c r="H335" s="106">
        <f>VLOOKUP( $A335, Aop!$A$2:$P$456, 4, 0)</f>
        <v>563</v>
      </c>
      <c r="I335" s="56">
        <f t="shared" si="46"/>
        <v>2025</v>
      </c>
      <c r="J335" s="56"/>
      <c r="K335" s="56"/>
      <c r="L335" s="56"/>
      <c r="M335" s="56" t="str">
        <f t="shared" ca="1" si="50"/>
        <v/>
      </c>
      <c r="N335" s="56">
        <f t="shared" ca="1" si="51"/>
        <v>0</v>
      </c>
    </row>
    <row r="336" spans="1:14" x14ac:dyDescent="0.2">
      <c r="A336" s="106">
        <v>347</v>
      </c>
      <c r="B336" s="106" t="str">
        <f>VLOOKUP( $A336, Aop!$A$2:$P$456, 2, 0)</f>
        <v>BTG</v>
      </c>
      <c r="C336" s="56">
        <f t="shared" si="47"/>
        <v>4</v>
      </c>
      <c r="D336" s="56" t="str">
        <f t="shared" si="44"/>
        <v>01814788</v>
      </c>
      <c r="E336" s="56" t="str">
        <f t="shared" si="45"/>
        <v>4400570050004</v>
      </c>
      <c r="F336" s="56" t="b">
        <f t="shared" si="48"/>
        <v>0</v>
      </c>
      <c r="G336" s="141">
        <f t="shared" si="49"/>
        <v>46022</v>
      </c>
      <c r="H336" s="106">
        <f>VLOOKUP( $A336, Aop!$A$2:$P$456, 4, 0)</f>
        <v>564</v>
      </c>
      <c r="I336" s="56">
        <f t="shared" si="46"/>
        <v>2025</v>
      </c>
      <c r="J336" s="56"/>
      <c r="K336" s="56"/>
      <c r="L336" s="56"/>
      <c r="M336" s="56" t="str">
        <f t="shared" ca="1" si="50"/>
        <v/>
      </c>
      <c r="N336" s="56">
        <f t="shared" ca="1" si="51"/>
        <v>566103</v>
      </c>
    </row>
    <row r="337" spans="1:14" x14ac:dyDescent="0.2">
      <c r="A337" s="106">
        <v>348</v>
      </c>
      <c r="B337" s="106" t="str">
        <f>VLOOKUP( $A337, Aop!$A$2:$P$456, 2, 0)</f>
        <v>BTG</v>
      </c>
      <c r="C337" s="56">
        <f t="shared" si="47"/>
        <v>4</v>
      </c>
      <c r="D337" s="56" t="str">
        <f t="shared" si="44"/>
        <v>01814788</v>
      </c>
      <c r="E337" s="56" t="str">
        <f t="shared" si="45"/>
        <v>4400570050004</v>
      </c>
      <c r="F337" s="56" t="b">
        <f t="shared" si="48"/>
        <v>0</v>
      </c>
      <c r="G337" s="141">
        <f t="shared" si="49"/>
        <v>46022</v>
      </c>
      <c r="H337" s="106">
        <f>VLOOKUP( $A337, Aop!$A$2:$P$456, 4, 0)</f>
        <v>565</v>
      </c>
      <c r="I337" s="56">
        <f t="shared" si="46"/>
        <v>2025</v>
      </c>
      <c r="J337" s="56"/>
      <c r="K337" s="56"/>
      <c r="L337" s="56"/>
      <c r="M337" s="56" t="str">
        <f t="shared" ca="1" si="50"/>
        <v/>
      </c>
      <c r="N337" s="56">
        <f t="shared" ca="1" si="51"/>
        <v>1667277</v>
      </c>
    </row>
    <row r="338" spans="1:14" x14ac:dyDescent="0.2">
      <c r="A338" s="106">
        <v>349</v>
      </c>
      <c r="B338" s="106" t="str">
        <f>VLOOKUP( $A338, Aop!$A$2:$P$456, 2, 0)</f>
        <v>BTG</v>
      </c>
      <c r="C338" s="56">
        <f t="shared" si="47"/>
        <v>4</v>
      </c>
      <c r="D338" s="56" t="str">
        <f t="shared" si="44"/>
        <v>01814788</v>
      </c>
      <c r="E338" s="56" t="str">
        <f t="shared" si="45"/>
        <v>4400570050004</v>
      </c>
      <c r="F338" s="56" t="b">
        <f t="shared" si="48"/>
        <v>0</v>
      </c>
      <c r="G338" s="141">
        <f t="shared" si="49"/>
        <v>46022</v>
      </c>
      <c r="H338" s="106">
        <f>VLOOKUP( $A338, Aop!$A$2:$P$456, 4, 0)</f>
        <v>566</v>
      </c>
      <c r="I338" s="56">
        <f t="shared" si="46"/>
        <v>2025</v>
      </c>
      <c r="J338" s="56"/>
      <c r="K338" s="56"/>
      <c r="L338" s="56"/>
      <c r="M338" s="56" t="str">
        <f t="shared" ca="1" si="50"/>
        <v/>
      </c>
      <c r="N338" s="56" t="str">
        <f t="shared" ca="1" si="51"/>
        <v/>
      </c>
    </row>
    <row r="339" spans="1:14" x14ac:dyDescent="0.2">
      <c r="A339" s="106">
        <v>350</v>
      </c>
      <c r="B339" s="106" t="str">
        <f>VLOOKUP( $A339, Aop!$A$2:$P$456, 2, 0)</f>
        <v>BTG</v>
      </c>
      <c r="C339" s="56">
        <f t="shared" si="47"/>
        <v>4</v>
      </c>
      <c r="D339" s="56" t="str">
        <f t="shared" si="44"/>
        <v>01814788</v>
      </c>
      <c r="E339" s="56" t="str">
        <f t="shared" si="45"/>
        <v>4400570050004</v>
      </c>
      <c r="F339" s="56" t="b">
        <f t="shared" si="48"/>
        <v>0</v>
      </c>
      <c r="G339" s="141">
        <f t="shared" si="49"/>
        <v>46022</v>
      </c>
      <c r="H339" s="106">
        <f>VLOOKUP( $A339, Aop!$A$2:$P$456, 4, 0)</f>
        <v>567</v>
      </c>
      <c r="I339" s="56">
        <f t="shared" si="46"/>
        <v>2025</v>
      </c>
      <c r="J339" s="56"/>
      <c r="K339" s="56"/>
      <c r="L339" s="56"/>
      <c r="M339" s="56" t="str">
        <f t="shared" ca="1" si="50"/>
        <v/>
      </c>
      <c r="N339" s="56" t="str">
        <f t="shared" ca="1" si="51"/>
        <v/>
      </c>
    </row>
    <row r="340" spans="1:14" x14ac:dyDescent="0.2">
      <c r="A340" s="106">
        <v>351</v>
      </c>
      <c r="B340" s="106" t="str">
        <f>VLOOKUP( $A340, Aop!$A$2:$P$456, 2, 0)</f>
        <v>BTG</v>
      </c>
      <c r="C340" s="56">
        <f t="shared" si="47"/>
        <v>4</v>
      </c>
      <c r="D340" s="56" t="str">
        <f t="shared" si="44"/>
        <v>01814788</v>
      </c>
      <c r="E340" s="56" t="str">
        <f t="shared" si="45"/>
        <v>4400570050004</v>
      </c>
      <c r="F340" s="56" t="b">
        <f t="shared" si="48"/>
        <v>0</v>
      </c>
      <c r="G340" s="141">
        <f t="shared" si="49"/>
        <v>46022</v>
      </c>
      <c r="H340" s="106">
        <f>VLOOKUP( $A340, Aop!$A$2:$P$456, 4, 0)</f>
        <v>568</v>
      </c>
      <c r="I340" s="56">
        <f t="shared" si="46"/>
        <v>2025</v>
      </c>
      <c r="J340" s="56"/>
      <c r="K340" s="56"/>
      <c r="L340" s="56"/>
      <c r="M340" s="56" t="str">
        <f t="shared" ca="1" si="50"/>
        <v/>
      </c>
      <c r="N340" s="56">
        <f t="shared" ca="1" si="51"/>
        <v>1101174</v>
      </c>
    </row>
    <row r="341" spans="1:14" x14ac:dyDescent="0.2">
      <c r="A341" s="106">
        <v>352</v>
      </c>
      <c r="B341" s="56" t="str">
        <f>VLOOKUP( $A341, Aop!$A$2:$P$456, 2, 0)</f>
        <v>Aneks</v>
      </c>
      <c r="C341" s="56">
        <f>ID_Izvjestaj</f>
        <v>4</v>
      </c>
      <c r="D341" s="56" t="str">
        <f>Podatak_MB</f>
        <v>01814788</v>
      </c>
      <c r="E341" s="56" t="str">
        <f>Podatak_JIB</f>
        <v>4400570050004</v>
      </c>
      <c r="F341" s="56" t="b">
        <f>Konsolidovan_izvjestaj</f>
        <v>0</v>
      </c>
      <c r="G341" s="141">
        <f>Datum_Broj</f>
        <v>46022</v>
      </c>
      <c r="H341" s="56">
        <f>VLOOKUP( $A341, Aop!$A$2:$P$456, 4, 0)</f>
        <v>601</v>
      </c>
      <c r="I341" s="56">
        <f>Godina</f>
        <v>2025</v>
      </c>
      <c r="J341" s="56"/>
      <c r="K341" s="56"/>
      <c r="L341" s="56"/>
      <c r="M341" s="56" t="str">
        <f t="shared" ca="1" si="50"/>
        <v/>
      </c>
      <c r="N341" s="56" t="str">
        <f t="shared" ca="1" si="51"/>
        <v/>
      </c>
    </row>
    <row r="342" spans="1:14" x14ac:dyDescent="0.2">
      <c r="A342" s="106">
        <v>353</v>
      </c>
      <c r="B342" s="106" t="str">
        <f>VLOOKUP( $A342, Aop!$A$2:$P$456, 2, 0)</f>
        <v>Aneks</v>
      </c>
      <c r="C342" s="56">
        <f t="shared" si="47"/>
        <v>4</v>
      </c>
      <c r="D342" s="56" t="str">
        <f t="shared" si="44"/>
        <v>01814788</v>
      </c>
      <c r="E342" s="56" t="str">
        <f t="shared" si="45"/>
        <v>4400570050004</v>
      </c>
      <c r="F342" s="56" t="b">
        <f t="shared" si="48"/>
        <v>0</v>
      </c>
      <c r="G342" s="141">
        <f t="shared" si="49"/>
        <v>46022</v>
      </c>
      <c r="H342" s="106">
        <f>VLOOKUP( $A342, Aop!$A$2:$P$456, 4, 0)</f>
        <v>602</v>
      </c>
      <c r="I342" s="56">
        <f t="shared" si="46"/>
        <v>2025</v>
      </c>
      <c r="J342" s="56"/>
      <c r="K342" s="56"/>
      <c r="L342" s="56"/>
      <c r="M342" s="56">
        <f t="shared" ca="1" si="50"/>
        <v>40580850</v>
      </c>
      <c r="N342" s="56">
        <f t="shared" ca="1" si="51"/>
        <v>39985003</v>
      </c>
    </row>
    <row r="343" spans="1:14" x14ac:dyDescent="0.2">
      <c r="A343" s="106">
        <v>354</v>
      </c>
      <c r="B343" s="106" t="str">
        <f>VLOOKUP( $A343, Aop!$A$2:$P$456, 2, 0)</f>
        <v>Aneks</v>
      </c>
      <c r="C343" s="56">
        <f t="shared" si="47"/>
        <v>4</v>
      </c>
      <c r="D343" s="56" t="str">
        <f t="shared" si="44"/>
        <v>01814788</v>
      </c>
      <c r="E343" s="56" t="str">
        <f t="shared" si="45"/>
        <v>4400570050004</v>
      </c>
      <c r="F343" s="56" t="b">
        <f t="shared" si="48"/>
        <v>0</v>
      </c>
      <c r="G343" s="141">
        <f t="shared" si="49"/>
        <v>46022</v>
      </c>
      <c r="H343" s="106">
        <f>VLOOKUP( $A343, Aop!$A$2:$P$456, 4, 0)</f>
        <v>603</v>
      </c>
      <c r="I343" s="56">
        <f t="shared" si="46"/>
        <v>2025</v>
      </c>
      <c r="J343" s="56"/>
      <c r="K343" s="56"/>
      <c r="L343" s="56"/>
      <c r="M343" s="56">
        <f t="shared" ca="1" si="50"/>
        <v>500</v>
      </c>
      <c r="N343" s="56">
        <f t="shared" ca="1" si="51"/>
        <v>1480</v>
      </c>
    </row>
    <row r="344" spans="1:14" x14ac:dyDescent="0.2">
      <c r="A344" s="106">
        <v>355</v>
      </c>
      <c r="B344" s="106" t="str">
        <f>VLOOKUP( $A344, Aop!$A$2:$P$456, 2, 0)</f>
        <v>Aneks</v>
      </c>
      <c r="C344" s="56">
        <f t="shared" si="47"/>
        <v>4</v>
      </c>
      <c r="D344" s="56" t="str">
        <f t="shared" si="44"/>
        <v>01814788</v>
      </c>
      <c r="E344" s="56" t="str">
        <f t="shared" si="45"/>
        <v>4400570050004</v>
      </c>
      <c r="F344" s="56" t="b">
        <f t="shared" si="48"/>
        <v>0</v>
      </c>
      <c r="G344" s="141">
        <f t="shared" si="49"/>
        <v>46022</v>
      </c>
      <c r="H344" s="106">
        <f>VLOOKUP( $A344, Aop!$A$2:$P$456, 4, 0)</f>
        <v>604</v>
      </c>
      <c r="I344" s="56">
        <f t="shared" si="46"/>
        <v>2025</v>
      </c>
      <c r="J344" s="56"/>
      <c r="K344" s="56"/>
      <c r="L344" s="56"/>
      <c r="M344" s="56" t="str">
        <f t="shared" ca="1" si="50"/>
        <v/>
      </c>
      <c r="N344" s="56" t="str">
        <f t="shared" ca="1" si="51"/>
        <v/>
      </c>
    </row>
    <row r="345" spans="1:14" x14ac:dyDescent="0.2">
      <c r="A345" s="106">
        <v>356</v>
      </c>
      <c r="B345" s="106" t="str">
        <f>VLOOKUP( $A345, Aop!$A$2:$P$456, 2, 0)</f>
        <v>Aneks</v>
      </c>
      <c r="C345" s="56">
        <f t="shared" si="47"/>
        <v>4</v>
      </c>
      <c r="D345" s="56" t="str">
        <f t="shared" si="44"/>
        <v>01814788</v>
      </c>
      <c r="E345" s="56" t="str">
        <f t="shared" si="45"/>
        <v>4400570050004</v>
      </c>
      <c r="F345" s="56" t="b">
        <f t="shared" si="48"/>
        <v>0</v>
      </c>
      <c r="G345" s="141">
        <f t="shared" si="49"/>
        <v>46022</v>
      </c>
      <c r="H345" s="106">
        <f>VLOOKUP( $A345, Aop!$A$2:$P$456, 4, 0)</f>
        <v>605</v>
      </c>
      <c r="I345" s="56">
        <f t="shared" si="46"/>
        <v>2025</v>
      </c>
      <c r="J345" s="56"/>
      <c r="K345" s="56"/>
      <c r="L345" s="56"/>
      <c r="M345" s="56">
        <f t="shared" ca="1" si="50"/>
        <v>13985698</v>
      </c>
      <c r="N345" s="56">
        <f t="shared" ca="1" si="51"/>
        <v>19343721</v>
      </c>
    </row>
    <row r="346" spans="1:14" x14ac:dyDescent="0.2">
      <c r="A346" s="106">
        <v>357</v>
      </c>
      <c r="B346" s="106" t="str">
        <f>VLOOKUP( $A346, Aop!$A$2:$P$456, 2, 0)</f>
        <v>Aneks</v>
      </c>
      <c r="C346" s="56">
        <f t="shared" si="47"/>
        <v>4</v>
      </c>
      <c r="D346" s="56" t="str">
        <f t="shared" si="44"/>
        <v>01814788</v>
      </c>
      <c r="E346" s="56" t="str">
        <f t="shared" si="45"/>
        <v>4400570050004</v>
      </c>
      <c r="F346" s="56" t="b">
        <f t="shared" si="48"/>
        <v>0</v>
      </c>
      <c r="G346" s="141">
        <f t="shared" si="49"/>
        <v>46022</v>
      </c>
      <c r="H346" s="106">
        <f>VLOOKUP( $A346, Aop!$A$2:$P$456, 4, 0)</f>
        <v>606</v>
      </c>
      <c r="I346" s="56">
        <f t="shared" si="46"/>
        <v>2025</v>
      </c>
      <c r="J346" s="56"/>
      <c r="K346" s="56"/>
      <c r="L346" s="56"/>
      <c r="M346" s="56">
        <f t="shared" ca="1" si="50"/>
        <v>311998</v>
      </c>
      <c r="N346" s="56">
        <f t="shared" ca="1" si="51"/>
        <v>186131</v>
      </c>
    </row>
    <row r="347" spans="1:14" x14ac:dyDescent="0.2">
      <c r="A347" s="106">
        <v>358</v>
      </c>
      <c r="B347" s="106" t="str">
        <f>VLOOKUP( $A347, Aop!$A$2:$P$456, 2, 0)</f>
        <v>Aneks</v>
      </c>
      <c r="C347" s="56">
        <f t="shared" si="47"/>
        <v>4</v>
      </c>
      <c r="D347" s="56" t="str">
        <f t="shared" si="44"/>
        <v>01814788</v>
      </c>
      <c r="E347" s="56" t="str">
        <f t="shared" si="45"/>
        <v>4400570050004</v>
      </c>
      <c r="F347" s="56" t="b">
        <f t="shared" si="48"/>
        <v>0</v>
      </c>
      <c r="G347" s="141">
        <f t="shared" si="49"/>
        <v>46022</v>
      </c>
      <c r="H347" s="106">
        <f>VLOOKUP( $A347, Aop!$A$2:$P$456, 4, 0)</f>
        <v>607</v>
      </c>
      <c r="I347" s="56">
        <f t="shared" si="46"/>
        <v>2025</v>
      </c>
      <c r="J347" s="56"/>
      <c r="K347" s="56"/>
      <c r="L347" s="56"/>
      <c r="M347" s="56" t="str">
        <f t="shared" ca="1" si="50"/>
        <v/>
      </c>
      <c r="N347" s="56" t="str">
        <f t="shared" ca="1" si="51"/>
        <v/>
      </c>
    </row>
    <row r="348" spans="1:14" x14ac:dyDescent="0.2">
      <c r="A348" s="106">
        <v>359</v>
      </c>
      <c r="B348" s="106" t="str">
        <f>VLOOKUP( $A348, Aop!$A$2:$P$456, 2, 0)</f>
        <v>Aneks</v>
      </c>
      <c r="C348" s="56">
        <f t="shared" si="47"/>
        <v>4</v>
      </c>
      <c r="D348" s="56" t="str">
        <f t="shared" si="44"/>
        <v>01814788</v>
      </c>
      <c r="E348" s="56" t="str">
        <f t="shared" si="45"/>
        <v>4400570050004</v>
      </c>
      <c r="F348" s="56" t="b">
        <f t="shared" si="48"/>
        <v>0</v>
      </c>
      <c r="G348" s="141">
        <f t="shared" si="49"/>
        <v>46022</v>
      </c>
      <c r="H348" s="106">
        <f>VLOOKUP( $A348, Aop!$A$2:$P$456, 4, 0)</f>
        <v>608</v>
      </c>
      <c r="I348" s="56">
        <f t="shared" si="46"/>
        <v>2025</v>
      </c>
      <c r="J348" s="56"/>
      <c r="K348" s="56"/>
      <c r="L348" s="56"/>
      <c r="M348" s="56">
        <f t="shared" ca="1" si="50"/>
        <v>86618</v>
      </c>
      <c r="N348" s="56">
        <f t="shared" ca="1" si="51"/>
        <v>12250</v>
      </c>
    </row>
    <row r="349" spans="1:14" x14ac:dyDescent="0.2">
      <c r="A349" s="106">
        <v>360</v>
      </c>
      <c r="B349" s="106" t="str">
        <f>VLOOKUP( $A349, Aop!$A$2:$P$456, 2, 0)</f>
        <v>Aneks</v>
      </c>
      <c r="C349" s="56">
        <f t="shared" si="47"/>
        <v>4</v>
      </c>
      <c r="D349" s="56" t="str">
        <f t="shared" si="44"/>
        <v>01814788</v>
      </c>
      <c r="E349" s="56" t="str">
        <f t="shared" si="45"/>
        <v>4400570050004</v>
      </c>
      <c r="F349" s="56" t="b">
        <f t="shared" si="48"/>
        <v>0</v>
      </c>
      <c r="G349" s="141">
        <f t="shared" si="49"/>
        <v>46022</v>
      </c>
      <c r="H349" s="106">
        <f>VLOOKUP( $A349, Aop!$A$2:$P$456, 4, 0)</f>
        <v>609</v>
      </c>
      <c r="I349" s="56">
        <f t="shared" si="46"/>
        <v>2025</v>
      </c>
      <c r="J349" s="56"/>
      <c r="K349" s="56"/>
      <c r="L349" s="56"/>
      <c r="M349" s="56" t="str">
        <f t="shared" ca="1" si="50"/>
        <v/>
      </c>
      <c r="N349" s="56" t="str">
        <f t="shared" ca="1" si="51"/>
        <v/>
      </c>
    </row>
    <row r="350" spans="1:14" x14ac:dyDescent="0.2">
      <c r="A350" s="106">
        <v>361</v>
      </c>
      <c r="B350" s="106" t="str">
        <f>VLOOKUP( $A350, Aop!$A$2:$P$456, 2, 0)</f>
        <v>Aneks</v>
      </c>
      <c r="C350" s="56">
        <f t="shared" si="47"/>
        <v>4</v>
      </c>
      <c r="D350" s="56" t="str">
        <f t="shared" si="44"/>
        <v>01814788</v>
      </c>
      <c r="E350" s="56" t="str">
        <f t="shared" si="45"/>
        <v>4400570050004</v>
      </c>
      <c r="F350" s="56" t="b">
        <f t="shared" si="48"/>
        <v>0</v>
      </c>
      <c r="G350" s="141">
        <f t="shared" si="49"/>
        <v>46022</v>
      </c>
      <c r="H350" s="106">
        <f>VLOOKUP( $A350, Aop!$A$2:$P$456, 4, 0)</f>
        <v>610</v>
      </c>
      <c r="I350" s="56">
        <f t="shared" si="46"/>
        <v>2025</v>
      </c>
      <c r="J350" s="56"/>
      <c r="K350" s="56"/>
      <c r="L350" s="56"/>
      <c r="M350" s="56" t="str">
        <f t="shared" ca="1" si="50"/>
        <v/>
      </c>
      <c r="N350" s="56" t="str">
        <f t="shared" ca="1" si="51"/>
        <v/>
      </c>
    </row>
    <row r="351" spans="1:14" x14ac:dyDescent="0.2">
      <c r="A351" s="106">
        <v>362</v>
      </c>
      <c r="B351" s="106" t="str">
        <f>VLOOKUP( $A351, Aop!$A$2:$P$456, 2, 0)</f>
        <v>Aneks</v>
      </c>
      <c r="C351" s="56">
        <f t="shared" si="47"/>
        <v>4</v>
      </c>
      <c r="D351" s="56" t="str">
        <f t="shared" si="44"/>
        <v>01814788</v>
      </c>
      <c r="E351" s="56" t="str">
        <f t="shared" si="45"/>
        <v>4400570050004</v>
      </c>
      <c r="F351" s="56" t="b">
        <f t="shared" si="48"/>
        <v>0</v>
      </c>
      <c r="G351" s="141">
        <f t="shared" si="49"/>
        <v>46022</v>
      </c>
      <c r="H351" s="106">
        <f>VLOOKUP( $A351, Aop!$A$2:$P$456, 4, 0)</f>
        <v>611</v>
      </c>
      <c r="I351" s="56">
        <f t="shared" si="46"/>
        <v>2025</v>
      </c>
      <c r="J351" s="56"/>
      <c r="K351" s="56"/>
      <c r="L351" s="56"/>
      <c r="M351" s="56" t="str">
        <f t="shared" ca="1" si="50"/>
        <v/>
      </c>
      <c r="N351" s="56" t="str">
        <f t="shared" ca="1" si="51"/>
        <v/>
      </c>
    </row>
    <row r="352" spans="1:14" x14ac:dyDescent="0.2">
      <c r="A352" s="106">
        <v>363</v>
      </c>
      <c r="B352" s="106" t="str">
        <f>VLOOKUP( $A352, Aop!$A$2:$P$456, 2, 0)</f>
        <v>Aneks</v>
      </c>
      <c r="C352" s="56">
        <f t="shared" si="47"/>
        <v>4</v>
      </c>
      <c r="D352" s="56" t="str">
        <f t="shared" si="44"/>
        <v>01814788</v>
      </c>
      <c r="E352" s="56" t="str">
        <f t="shared" si="45"/>
        <v>4400570050004</v>
      </c>
      <c r="F352" s="56" t="b">
        <f t="shared" si="48"/>
        <v>0</v>
      </c>
      <c r="G352" s="141">
        <f t="shared" si="49"/>
        <v>46022</v>
      </c>
      <c r="H352" s="106">
        <f>VLOOKUP( $A352, Aop!$A$2:$P$456, 4, 0)</f>
        <v>612</v>
      </c>
      <c r="I352" s="56">
        <f t="shared" si="46"/>
        <v>2025</v>
      </c>
      <c r="J352" s="56"/>
      <c r="K352" s="56"/>
      <c r="L352" s="56"/>
      <c r="M352" s="56" t="str">
        <f t="shared" ca="1" si="50"/>
        <v/>
      </c>
      <c r="N352" s="56" t="str">
        <f t="shared" ca="1" si="51"/>
        <v/>
      </c>
    </row>
    <row r="353" spans="1:14" x14ac:dyDescent="0.2">
      <c r="A353" s="106">
        <v>364</v>
      </c>
      <c r="B353" s="106" t="str">
        <f>VLOOKUP( $A353, Aop!$A$2:$P$456, 2, 0)</f>
        <v>Aneks</v>
      </c>
      <c r="C353" s="56">
        <f t="shared" si="47"/>
        <v>4</v>
      </c>
      <c r="D353" s="56" t="str">
        <f t="shared" si="44"/>
        <v>01814788</v>
      </c>
      <c r="E353" s="56" t="str">
        <f t="shared" si="45"/>
        <v>4400570050004</v>
      </c>
      <c r="F353" s="56" t="b">
        <f t="shared" si="48"/>
        <v>0</v>
      </c>
      <c r="G353" s="141">
        <f t="shared" si="49"/>
        <v>46022</v>
      </c>
      <c r="H353" s="106">
        <f>VLOOKUP( $A353, Aop!$A$2:$P$456, 4, 0)</f>
        <v>613</v>
      </c>
      <c r="I353" s="56">
        <f t="shared" si="46"/>
        <v>2025</v>
      </c>
      <c r="J353" s="56"/>
      <c r="K353" s="56"/>
      <c r="L353" s="56"/>
      <c r="M353" s="56">
        <f t="shared" ca="1" si="50"/>
        <v>35517218</v>
      </c>
      <c r="N353" s="56">
        <f t="shared" ca="1" si="51"/>
        <v>34162966</v>
      </c>
    </row>
    <row r="354" spans="1:14" x14ac:dyDescent="0.2">
      <c r="A354" s="106">
        <v>365</v>
      </c>
      <c r="B354" s="106" t="str">
        <f>VLOOKUP( $A354, Aop!$A$2:$P$456, 2, 0)</f>
        <v>Aneks</v>
      </c>
      <c r="C354" s="56">
        <f t="shared" si="47"/>
        <v>4</v>
      </c>
      <c r="D354" s="56" t="str">
        <f t="shared" si="44"/>
        <v>01814788</v>
      </c>
      <c r="E354" s="56" t="str">
        <f t="shared" si="45"/>
        <v>4400570050004</v>
      </c>
      <c r="F354" s="56" t="b">
        <f t="shared" si="48"/>
        <v>0</v>
      </c>
      <c r="G354" s="141">
        <f t="shared" si="49"/>
        <v>46022</v>
      </c>
      <c r="H354" s="106">
        <f>VLOOKUP( $A354, Aop!$A$2:$P$456, 4, 0)</f>
        <v>614</v>
      </c>
      <c r="I354" s="56">
        <f t="shared" si="46"/>
        <v>2025</v>
      </c>
      <c r="J354" s="56"/>
      <c r="K354" s="56"/>
      <c r="L354" s="56"/>
      <c r="M354" s="56">
        <f t="shared" ca="1" si="50"/>
        <v>427</v>
      </c>
      <c r="N354" s="56">
        <f t="shared" ca="1" si="51"/>
        <v>1265</v>
      </c>
    </row>
    <row r="355" spans="1:14" x14ac:dyDescent="0.2">
      <c r="A355" s="106">
        <v>366</v>
      </c>
      <c r="B355" s="106" t="str">
        <f>VLOOKUP( $A355, Aop!$A$2:$P$456, 2, 0)</f>
        <v>Aneks</v>
      </c>
      <c r="C355" s="56">
        <f t="shared" si="47"/>
        <v>4</v>
      </c>
      <c r="D355" s="56" t="str">
        <f t="shared" si="44"/>
        <v>01814788</v>
      </c>
      <c r="E355" s="56" t="str">
        <f t="shared" si="45"/>
        <v>4400570050004</v>
      </c>
      <c r="F355" s="56" t="b">
        <f t="shared" si="48"/>
        <v>0</v>
      </c>
      <c r="G355" s="141">
        <f t="shared" si="49"/>
        <v>46022</v>
      </c>
      <c r="H355" s="106">
        <f>VLOOKUP( $A355, Aop!$A$2:$P$456, 4, 0)</f>
        <v>615</v>
      </c>
      <c r="I355" s="56">
        <f t="shared" si="46"/>
        <v>2025</v>
      </c>
      <c r="J355" s="56"/>
      <c r="K355" s="56"/>
      <c r="L355" s="56"/>
      <c r="M355" s="56" t="str">
        <f t="shared" ca="1" si="50"/>
        <v/>
      </c>
      <c r="N355" s="56" t="str">
        <f t="shared" ca="1" si="51"/>
        <v/>
      </c>
    </row>
    <row r="356" spans="1:14" x14ac:dyDescent="0.2">
      <c r="A356" s="106">
        <v>367</v>
      </c>
      <c r="B356" s="106" t="str">
        <f>VLOOKUP( $A356, Aop!$A$2:$P$456, 2, 0)</f>
        <v>Aneks</v>
      </c>
      <c r="C356" s="56">
        <f t="shared" ref="C356:C363" si="52">ID_Izvjestaj</f>
        <v>4</v>
      </c>
      <c r="D356" s="56" t="str">
        <f t="shared" ref="D356:D363" si="53">Podatak_MB</f>
        <v>01814788</v>
      </c>
      <c r="E356" s="56" t="str">
        <f t="shared" ref="E356:E363" si="54">Podatak_JIB</f>
        <v>4400570050004</v>
      </c>
      <c r="F356" s="56" t="b">
        <f t="shared" ref="F356:F363" si="55">Konsolidovan_izvjestaj</f>
        <v>0</v>
      </c>
      <c r="G356" s="141">
        <f t="shared" ref="G356:G363" si="56">Datum_Broj</f>
        <v>46022</v>
      </c>
      <c r="H356" s="56">
        <f>VLOOKUP( $A356, Aop!$A$2:$P$456, 4, 0)</f>
        <v>616</v>
      </c>
      <c r="I356" s="56">
        <f t="shared" ref="I356:I363" si="57">Godina</f>
        <v>2025</v>
      </c>
      <c r="J356" s="56"/>
      <c r="K356" s="56"/>
      <c r="L356" s="56"/>
      <c r="M356" s="56" t="str">
        <f t="shared" ca="1" si="50"/>
        <v/>
      </c>
      <c r="N356" s="56" t="str">
        <f t="shared" ca="1" si="51"/>
        <v/>
      </c>
    </row>
    <row r="357" spans="1:14" x14ac:dyDescent="0.2">
      <c r="A357" s="106">
        <v>368</v>
      </c>
      <c r="B357" s="106" t="str">
        <f>VLOOKUP( $A357, Aop!$A$2:$P$456, 2, 0)</f>
        <v>Aneks</v>
      </c>
      <c r="C357" s="56">
        <f t="shared" si="52"/>
        <v>4</v>
      </c>
      <c r="D357" s="56" t="str">
        <f t="shared" si="53"/>
        <v>01814788</v>
      </c>
      <c r="E357" s="56" t="str">
        <f t="shared" si="54"/>
        <v>4400570050004</v>
      </c>
      <c r="F357" s="56" t="b">
        <f t="shared" si="55"/>
        <v>0</v>
      </c>
      <c r="G357" s="141">
        <f t="shared" si="56"/>
        <v>46022</v>
      </c>
      <c r="H357" s="56">
        <f>VLOOKUP( $A357, Aop!$A$2:$P$456, 4, 0)</f>
        <v>617</v>
      </c>
      <c r="I357" s="56">
        <f t="shared" si="57"/>
        <v>2025</v>
      </c>
      <c r="J357" s="56"/>
      <c r="K357" s="56"/>
      <c r="L357" s="56"/>
      <c r="M357" s="56" t="str">
        <f t="shared" ca="1" si="50"/>
        <v/>
      </c>
      <c r="N357" s="56" t="str">
        <f t="shared" ca="1" si="51"/>
        <v/>
      </c>
    </row>
    <row r="358" spans="1:14" x14ac:dyDescent="0.2">
      <c r="A358" s="106">
        <v>369</v>
      </c>
      <c r="B358" s="106" t="str">
        <f>VLOOKUP( $A358, Aop!$A$2:$P$456, 2, 0)</f>
        <v>Aneks</v>
      </c>
      <c r="C358" s="56">
        <f t="shared" si="52"/>
        <v>4</v>
      </c>
      <c r="D358" s="56" t="str">
        <f t="shared" si="53"/>
        <v>01814788</v>
      </c>
      <c r="E358" s="56" t="str">
        <f t="shared" si="54"/>
        <v>4400570050004</v>
      </c>
      <c r="F358" s="56" t="b">
        <f t="shared" si="55"/>
        <v>0</v>
      </c>
      <c r="G358" s="141">
        <f t="shared" si="56"/>
        <v>46022</v>
      </c>
      <c r="H358" s="56">
        <f>VLOOKUP( $A358, Aop!$A$2:$P$456, 4, 0)</f>
        <v>618</v>
      </c>
      <c r="I358" s="56">
        <f t="shared" si="57"/>
        <v>2025</v>
      </c>
      <c r="J358" s="56"/>
      <c r="K358" s="56"/>
      <c r="L358" s="56"/>
      <c r="M358" s="56" t="str">
        <f t="shared" ca="1" si="50"/>
        <v/>
      </c>
      <c r="N358" s="56" t="str">
        <f t="shared" ca="1" si="51"/>
        <v/>
      </c>
    </row>
    <row r="359" spans="1:14" x14ac:dyDescent="0.2">
      <c r="A359" s="106">
        <v>370</v>
      </c>
      <c r="B359" s="106" t="str">
        <f>VLOOKUP( $A359, Aop!$A$2:$P$456, 2, 0)</f>
        <v>Aneks</v>
      </c>
      <c r="C359" s="56">
        <f t="shared" si="52"/>
        <v>4</v>
      </c>
      <c r="D359" s="56" t="str">
        <f t="shared" si="53"/>
        <v>01814788</v>
      </c>
      <c r="E359" s="56" t="str">
        <f t="shared" si="54"/>
        <v>4400570050004</v>
      </c>
      <c r="F359" s="56" t="b">
        <f t="shared" si="55"/>
        <v>0</v>
      </c>
      <c r="G359" s="141">
        <f t="shared" si="56"/>
        <v>46022</v>
      </c>
      <c r="H359" s="56">
        <f>VLOOKUP( $A359, Aop!$A$2:$P$456, 4, 0)</f>
        <v>619</v>
      </c>
      <c r="I359" s="56">
        <f t="shared" si="57"/>
        <v>2025</v>
      </c>
      <c r="J359" s="56"/>
      <c r="K359" s="56"/>
      <c r="L359" s="56"/>
      <c r="M359" s="56">
        <f t="shared" ca="1" si="50"/>
        <v>815562</v>
      </c>
      <c r="N359" s="56">
        <f t="shared" ca="1" si="51"/>
        <v>910087</v>
      </c>
    </row>
    <row r="360" spans="1:14" x14ac:dyDescent="0.2">
      <c r="A360" s="106">
        <v>371</v>
      </c>
      <c r="B360" s="106" t="str">
        <f>VLOOKUP( $A360, Aop!$A$2:$P$456, 2, 0)</f>
        <v>Aneks</v>
      </c>
      <c r="C360" s="56">
        <f t="shared" si="52"/>
        <v>4</v>
      </c>
      <c r="D360" s="56" t="str">
        <f t="shared" si="53"/>
        <v>01814788</v>
      </c>
      <c r="E360" s="56" t="str">
        <f t="shared" si="54"/>
        <v>4400570050004</v>
      </c>
      <c r="F360" s="56" t="b">
        <f t="shared" si="55"/>
        <v>0</v>
      </c>
      <c r="G360" s="141">
        <f t="shared" si="56"/>
        <v>46022</v>
      </c>
      <c r="H360" s="56">
        <f>VLOOKUP( $A360, Aop!$A$2:$P$456, 4, 0)</f>
        <v>620</v>
      </c>
      <c r="I360" s="56">
        <f t="shared" si="57"/>
        <v>2025</v>
      </c>
      <c r="J360" s="56"/>
      <c r="K360" s="56"/>
      <c r="L360" s="56"/>
      <c r="M360" s="56">
        <f t="shared" ca="1" si="50"/>
        <v>5325</v>
      </c>
      <c r="N360" s="56">
        <f t="shared" ca="1" si="51"/>
        <v>6570</v>
      </c>
    </row>
    <row r="361" spans="1:14" x14ac:dyDescent="0.2">
      <c r="A361" s="106">
        <v>372</v>
      </c>
      <c r="B361" s="106" t="str">
        <f>VLOOKUP( $A361, Aop!$A$2:$P$456, 2, 0)</f>
        <v>Aneks</v>
      </c>
      <c r="C361" s="56">
        <f t="shared" si="52"/>
        <v>4</v>
      </c>
      <c r="D361" s="56" t="str">
        <f t="shared" si="53"/>
        <v>01814788</v>
      </c>
      <c r="E361" s="56" t="str">
        <f t="shared" si="54"/>
        <v>4400570050004</v>
      </c>
      <c r="F361" s="56" t="b">
        <f t="shared" si="55"/>
        <v>0</v>
      </c>
      <c r="G361" s="141">
        <f t="shared" si="56"/>
        <v>46022</v>
      </c>
      <c r="H361" s="56">
        <f>VLOOKUP( $A361, Aop!$A$2:$P$456, 4, 0)</f>
        <v>621</v>
      </c>
      <c r="I361" s="56">
        <f t="shared" si="57"/>
        <v>2025</v>
      </c>
      <c r="J361" s="56"/>
      <c r="K361" s="56"/>
      <c r="L361" s="56"/>
      <c r="M361" s="56" t="str">
        <f t="shared" ca="1" si="50"/>
        <v/>
      </c>
      <c r="N361" s="56" t="str">
        <f t="shared" ca="1" si="51"/>
        <v/>
      </c>
    </row>
    <row r="362" spans="1:14" x14ac:dyDescent="0.2">
      <c r="A362" s="106">
        <v>373</v>
      </c>
      <c r="B362" s="106" t="str">
        <f>VLOOKUP( $A362, Aop!$A$2:$P$456, 2, 0)</f>
        <v>Aneks</v>
      </c>
      <c r="C362" s="56">
        <f t="shared" si="52"/>
        <v>4</v>
      </c>
      <c r="D362" s="56" t="str">
        <f t="shared" si="53"/>
        <v>01814788</v>
      </c>
      <c r="E362" s="56" t="str">
        <f t="shared" si="54"/>
        <v>4400570050004</v>
      </c>
      <c r="F362" s="56" t="b">
        <f t="shared" si="55"/>
        <v>0</v>
      </c>
      <c r="G362" s="141">
        <f t="shared" si="56"/>
        <v>46022</v>
      </c>
      <c r="H362" s="56">
        <f>VLOOKUP( $A362, Aop!$A$2:$P$456, 4, 0)</f>
        <v>622</v>
      </c>
      <c r="I362" s="56">
        <f t="shared" si="57"/>
        <v>2025</v>
      </c>
      <c r="J362" s="56"/>
      <c r="K362" s="56"/>
      <c r="L362" s="56"/>
      <c r="M362" s="56" t="str">
        <f t="shared" ca="1" si="50"/>
        <v/>
      </c>
      <c r="N362" s="56" t="str">
        <f t="shared" ca="1" si="51"/>
        <v/>
      </c>
    </row>
    <row r="363" spans="1:14" x14ac:dyDescent="0.2">
      <c r="A363" s="106">
        <v>374</v>
      </c>
      <c r="B363" s="106" t="str">
        <f>VLOOKUP( $A363, Aop!$A$2:$P$456, 2, 0)</f>
        <v>Aneks</v>
      </c>
      <c r="C363" s="56">
        <f t="shared" si="52"/>
        <v>4</v>
      </c>
      <c r="D363" s="56" t="str">
        <f t="shared" si="53"/>
        <v>01814788</v>
      </c>
      <c r="E363" s="56" t="str">
        <f t="shared" si="54"/>
        <v>4400570050004</v>
      </c>
      <c r="F363" s="56" t="b">
        <f t="shared" si="55"/>
        <v>0</v>
      </c>
      <c r="G363" s="141">
        <f t="shared" si="56"/>
        <v>46022</v>
      </c>
      <c r="H363" s="56">
        <f>VLOOKUP( $A363, Aop!$A$2:$P$456, 4, 0)</f>
        <v>623</v>
      </c>
      <c r="I363" s="56">
        <f t="shared" si="57"/>
        <v>2025</v>
      </c>
      <c r="J363" s="56"/>
      <c r="K363" s="56"/>
      <c r="L363" s="56"/>
      <c r="M363" s="56">
        <f t="shared" ca="1" si="50"/>
        <v>124500</v>
      </c>
      <c r="N363" s="56">
        <f t="shared" ca="1" si="51"/>
        <v>120370</v>
      </c>
    </row>
    <row r="364" spans="1:14" x14ac:dyDescent="0.2">
      <c r="A364" s="106">
        <v>375</v>
      </c>
      <c r="B364" s="53" t="str">
        <f>VLOOKUP( $A364, Aop!$A$2:$P$456, 2, 0)</f>
        <v>Aneks</v>
      </c>
      <c r="C364" s="53">
        <f t="shared" ref="C364:C380" si="58">ID_Izvjestaj</f>
        <v>4</v>
      </c>
      <c r="D364" s="53" t="str">
        <f t="shared" ref="D364:D380" si="59">Podatak_MB</f>
        <v>01814788</v>
      </c>
      <c r="E364" s="53" t="str">
        <f t="shared" ref="E364:E380" si="60">Podatak_JIB</f>
        <v>4400570050004</v>
      </c>
      <c r="F364" s="53" t="b">
        <f t="shared" ref="F364:F380" si="61">Konsolidovan_izvjestaj</f>
        <v>0</v>
      </c>
      <c r="G364" s="236">
        <f t="shared" ref="G364:G427" si="62">Datum_Broj</f>
        <v>46022</v>
      </c>
      <c r="H364" s="53">
        <f>VLOOKUP( $A364, Aop!$A$2:$P$456, 4, 0)</f>
        <v>624</v>
      </c>
      <c r="I364" s="53">
        <f t="shared" ref="I364:I380" si="63">Godina</f>
        <v>2025</v>
      </c>
      <c r="J364" s="53"/>
      <c r="K364" s="53"/>
      <c r="L364" s="53"/>
      <c r="M364" s="53">
        <f t="shared" ca="1" si="50"/>
        <v>652337</v>
      </c>
      <c r="N364" s="53">
        <f t="shared" ca="1" si="51"/>
        <v>738114</v>
      </c>
    </row>
    <row r="365" spans="1:14" x14ac:dyDescent="0.2">
      <c r="A365" s="106">
        <v>376</v>
      </c>
      <c r="B365" s="53" t="str">
        <f>VLOOKUP( $A365, Aop!$A$2:$P$456, 2, 0)</f>
        <v>Aneks</v>
      </c>
      <c r="C365" s="53">
        <f t="shared" si="58"/>
        <v>4</v>
      </c>
      <c r="D365" s="53" t="str">
        <f t="shared" si="59"/>
        <v>01814788</v>
      </c>
      <c r="E365" s="53" t="str">
        <f t="shared" si="60"/>
        <v>4400570050004</v>
      </c>
      <c r="F365" s="53" t="b">
        <f t="shared" si="61"/>
        <v>0</v>
      </c>
      <c r="G365" s="236">
        <f t="shared" si="62"/>
        <v>46022</v>
      </c>
      <c r="H365" s="53">
        <f>VLOOKUP( $A365, Aop!$A$2:$P$456, 4, 0)</f>
        <v>625</v>
      </c>
      <c r="I365" s="53">
        <f t="shared" si="63"/>
        <v>2025</v>
      </c>
      <c r="J365" s="53"/>
      <c r="K365" s="53"/>
      <c r="L365" s="53"/>
      <c r="M365" s="53" t="str">
        <f t="shared" ca="1" si="50"/>
        <v/>
      </c>
      <c r="N365" s="53" t="str">
        <f t="shared" ca="1" si="51"/>
        <v/>
      </c>
    </row>
    <row r="366" spans="1:14" x14ac:dyDescent="0.2">
      <c r="A366" s="106">
        <v>377</v>
      </c>
      <c r="B366" s="53" t="str">
        <f>VLOOKUP( $A366, Aop!$A$2:$P$456, 2, 0)</f>
        <v>Aneks</v>
      </c>
      <c r="C366" s="53">
        <f t="shared" si="58"/>
        <v>4</v>
      </c>
      <c r="D366" s="53" t="str">
        <f t="shared" si="59"/>
        <v>01814788</v>
      </c>
      <c r="E366" s="53" t="str">
        <f t="shared" si="60"/>
        <v>4400570050004</v>
      </c>
      <c r="F366" s="53" t="b">
        <f t="shared" si="61"/>
        <v>0</v>
      </c>
      <c r="G366" s="236">
        <f t="shared" si="62"/>
        <v>46022</v>
      </c>
      <c r="H366" s="53">
        <f>VLOOKUP( $A366, Aop!$A$2:$P$456, 4, 0)</f>
        <v>626</v>
      </c>
      <c r="I366" s="53">
        <f t="shared" si="63"/>
        <v>2025</v>
      </c>
      <c r="J366" s="53"/>
      <c r="K366" s="53"/>
      <c r="L366" s="53"/>
      <c r="M366" s="53" t="str">
        <f t="shared" ca="1" si="50"/>
        <v/>
      </c>
      <c r="N366" s="53" t="str">
        <f t="shared" ca="1" si="51"/>
        <v/>
      </c>
    </row>
    <row r="367" spans="1:14" x14ac:dyDescent="0.2">
      <c r="A367" s="106">
        <v>378</v>
      </c>
      <c r="B367" s="53" t="str">
        <f>VLOOKUP( $A367, Aop!$A$2:$P$456, 2, 0)</f>
        <v>Aneks</v>
      </c>
      <c r="C367" s="53">
        <f t="shared" si="58"/>
        <v>4</v>
      </c>
      <c r="D367" s="53" t="str">
        <f t="shared" si="59"/>
        <v>01814788</v>
      </c>
      <c r="E367" s="53" t="str">
        <f t="shared" si="60"/>
        <v>4400570050004</v>
      </c>
      <c r="F367" s="53" t="b">
        <f t="shared" si="61"/>
        <v>0</v>
      </c>
      <c r="G367" s="236">
        <f t="shared" si="62"/>
        <v>46022</v>
      </c>
      <c r="H367" s="53">
        <f>VLOOKUP( $A367, Aop!$A$2:$P$456, 4, 0)</f>
        <v>627</v>
      </c>
      <c r="I367" s="53">
        <f t="shared" si="63"/>
        <v>2025</v>
      </c>
      <c r="J367" s="53"/>
      <c r="K367" s="53"/>
      <c r="L367" s="53"/>
      <c r="M367" s="53">
        <f t="shared" ca="1" si="50"/>
        <v>33400</v>
      </c>
      <c r="N367" s="53">
        <f t="shared" ca="1" si="51"/>
        <v>45033</v>
      </c>
    </row>
    <row r="368" spans="1:14" x14ac:dyDescent="0.2">
      <c r="A368" s="106">
        <v>379</v>
      </c>
      <c r="B368" s="53" t="str">
        <f>VLOOKUP( $A368, Aop!$A$2:$P$456, 2, 0)</f>
        <v>Aneks</v>
      </c>
      <c r="C368" s="53">
        <f t="shared" si="58"/>
        <v>4</v>
      </c>
      <c r="D368" s="53" t="str">
        <f t="shared" si="59"/>
        <v>01814788</v>
      </c>
      <c r="E368" s="53" t="str">
        <f t="shared" si="60"/>
        <v>4400570050004</v>
      </c>
      <c r="F368" s="53" t="b">
        <f t="shared" si="61"/>
        <v>0</v>
      </c>
      <c r="G368" s="236">
        <f t="shared" si="62"/>
        <v>46022</v>
      </c>
      <c r="H368" s="53">
        <f>VLOOKUP( $A368, Aop!$A$2:$P$456, 4, 0)</f>
        <v>628</v>
      </c>
      <c r="I368" s="53">
        <f t="shared" si="63"/>
        <v>2025</v>
      </c>
      <c r="J368" s="53"/>
      <c r="K368" s="53"/>
      <c r="L368" s="53"/>
      <c r="M368" s="53" t="str">
        <f t="shared" ca="1" si="50"/>
        <v/>
      </c>
      <c r="N368" s="53" t="str">
        <f t="shared" ca="1" si="51"/>
        <v/>
      </c>
    </row>
    <row r="369" spans="1:14" x14ac:dyDescent="0.2">
      <c r="A369" s="106">
        <v>380</v>
      </c>
      <c r="B369" s="53" t="str">
        <f>VLOOKUP( $A369, Aop!$A$2:$P$456, 2, 0)</f>
        <v>Aneks</v>
      </c>
      <c r="C369" s="53">
        <f t="shared" si="58"/>
        <v>4</v>
      </c>
      <c r="D369" s="53" t="str">
        <f t="shared" si="59"/>
        <v>01814788</v>
      </c>
      <c r="E369" s="53" t="str">
        <f t="shared" si="60"/>
        <v>4400570050004</v>
      </c>
      <c r="F369" s="53" t="b">
        <f t="shared" si="61"/>
        <v>0</v>
      </c>
      <c r="G369" s="236">
        <f t="shared" si="62"/>
        <v>46022</v>
      </c>
      <c r="H369" s="53">
        <f>VLOOKUP( $A369, Aop!$A$2:$P$456, 4, 0)</f>
        <v>629</v>
      </c>
      <c r="I369" s="53">
        <f t="shared" si="63"/>
        <v>2025</v>
      </c>
      <c r="J369" s="53"/>
      <c r="K369" s="53"/>
      <c r="L369" s="53"/>
      <c r="M369" s="53">
        <f t="shared" ca="1" si="50"/>
        <v>553478</v>
      </c>
      <c r="N369" s="53">
        <f t="shared" ca="1" si="51"/>
        <v>1429265</v>
      </c>
    </row>
    <row r="370" spans="1:14" x14ac:dyDescent="0.2">
      <c r="A370" s="106">
        <v>381</v>
      </c>
      <c r="B370" s="53" t="str">
        <f>VLOOKUP( $A370, Aop!$A$2:$P$456, 2, 0)</f>
        <v>Aneks</v>
      </c>
      <c r="C370" s="53">
        <f t="shared" si="58"/>
        <v>4</v>
      </c>
      <c r="D370" s="53" t="str">
        <f t="shared" si="59"/>
        <v>01814788</v>
      </c>
      <c r="E370" s="53" t="str">
        <f t="shared" si="60"/>
        <v>4400570050004</v>
      </c>
      <c r="F370" s="53" t="b">
        <f t="shared" si="61"/>
        <v>0</v>
      </c>
      <c r="G370" s="236">
        <f t="shared" si="62"/>
        <v>46022</v>
      </c>
      <c r="H370" s="53">
        <f>VLOOKUP( $A370, Aop!$A$2:$P$456, 4, 0)</f>
        <v>630</v>
      </c>
      <c r="I370" s="53">
        <f t="shared" si="63"/>
        <v>2025</v>
      </c>
      <c r="J370" s="53"/>
      <c r="K370" s="53"/>
      <c r="L370" s="53"/>
      <c r="M370" s="53" t="str">
        <f t="shared" ca="1" si="50"/>
        <v/>
      </c>
      <c r="N370" s="53" t="str">
        <f t="shared" ca="1" si="51"/>
        <v/>
      </c>
    </row>
    <row r="371" spans="1:14" x14ac:dyDescent="0.2">
      <c r="A371" s="106">
        <v>382</v>
      </c>
      <c r="B371" s="53" t="str">
        <f>VLOOKUP( $A371, Aop!$A$2:$P$456, 2, 0)</f>
        <v>Aneks</v>
      </c>
      <c r="C371" s="53">
        <f t="shared" si="58"/>
        <v>4</v>
      </c>
      <c r="D371" s="53" t="str">
        <f t="shared" si="59"/>
        <v>01814788</v>
      </c>
      <c r="E371" s="53" t="str">
        <f t="shared" si="60"/>
        <v>4400570050004</v>
      </c>
      <c r="F371" s="53" t="b">
        <f t="shared" si="61"/>
        <v>0</v>
      </c>
      <c r="G371" s="236">
        <f t="shared" si="62"/>
        <v>46022</v>
      </c>
      <c r="H371" s="53">
        <f>VLOOKUP( $A371, Aop!$A$2:$P$456, 4, 0)</f>
        <v>631</v>
      </c>
      <c r="I371" s="53">
        <f t="shared" si="63"/>
        <v>2025</v>
      </c>
      <c r="J371" s="53"/>
      <c r="K371" s="53"/>
      <c r="L371" s="53"/>
      <c r="M371" s="53" t="str">
        <f t="shared" ca="1" si="50"/>
        <v/>
      </c>
      <c r="N371" s="53">
        <f t="shared" ca="1" si="51"/>
        <v>30359</v>
      </c>
    </row>
    <row r="372" spans="1:14" x14ac:dyDescent="0.2">
      <c r="A372" s="106">
        <v>383</v>
      </c>
      <c r="B372" s="53" t="str">
        <f>VLOOKUP( $A372, Aop!$A$2:$P$456, 2, 0)</f>
        <v>Aneks</v>
      </c>
      <c r="C372" s="53">
        <f t="shared" si="58"/>
        <v>4</v>
      </c>
      <c r="D372" s="53" t="str">
        <f t="shared" si="59"/>
        <v>01814788</v>
      </c>
      <c r="E372" s="53" t="str">
        <f t="shared" si="60"/>
        <v>4400570050004</v>
      </c>
      <c r="F372" s="53" t="b">
        <f t="shared" si="61"/>
        <v>0</v>
      </c>
      <c r="G372" s="236">
        <f t="shared" si="62"/>
        <v>46022</v>
      </c>
      <c r="H372" s="53">
        <f>VLOOKUP( $A372, Aop!$A$2:$P$456, 4, 0)</f>
        <v>632</v>
      </c>
      <c r="I372" s="53">
        <f t="shared" si="63"/>
        <v>2025</v>
      </c>
      <c r="J372" s="53"/>
      <c r="K372" s="53"/>
      <c r="L372" s="53"/>
      <c r="M372" s="53" t="str">
        <f t="shared" ca="1" si="50"/>
        <v/>
      </c>
      <c r="N372" s="53" t="str">
        <f t="shared" ca="1" si="51"/>
        <v/>
      </c>
    </row>
    <row r="373" spans="1:14" x14ac:dyDescent="0.2">
      <c r="A373" s="106">
        <v>384</v>
      </c>
      <c r="B373" s="53" t="str">
        <f>VLOOKUP( $A373, Aop!$A$2:$P$456, 2, 0)</f>
        <v>Aneks</v>
      </c>
      <c r="C373" s="53">
        <f t="shared" si="58"/>
        <v>4</v>
      </c>
      <c r="D373" s="53" t="str">
        <f t="shared" si="59"/>
        <v>01814788</v>
      </c>
      <c r="E373" s="53" t="str">
        <f t="shared" si="60"/>
        <v>4400570050004</v>
      </c>
      <c r="F373" s="53" t="b">
        <f t="shared" si="61"/>
        <v>0</v>
      </c>
      <c r="G373" s="236">
        <f t="shared" si="62"/>
        <v>46022</v>
      </c>
      <c r="H373" s="53">
        <f>VLOOKUP( $A373, Aop!$A$2:$P$456, 4, 0)</f>
        <v>633</v>
      </c>
      <c r="I373" s="53">
        <f t="shared" si="63"/>
        <v>2025</v>
      </c>
      <c r="J373" s="53"/>
      <c r="K373" s="53"/>
      <c r="L373" s="53"/>
      <c r="M373" s="53" t="str">
        <f t="shared" ca="1" si="50"/>
        <v/>
      </c>
      <c r="N373" s="53" t="str">
        <f t="shared" ca="1" si="51"/>
        <v/>
      </c>
    </row>
    <row r="374" spans="1:14" x14ac:dyDescent="0.2">
      <c r="A374" s="106">
        <v>385</v>
      </c>
      <c r="B374" s="53" t="str">
        <f>VLOOKUP( $A374, Aop!$A$2:$P$456, 2, 0)</f>
        <v>Aneks</v>
      </c>
      <c r="C374" s="53">
        <f t="shared" si="58"/>
        <v>4</v>
      </c>
      <c r="D374" s="53" t="str">
        <f t="shared" si="59"/>
        <v>01814788</v>
      </c>
      <c r="E374" s="53" t="str">
        <f t="shared" si="60"/>
        <v>4400570050004</v>
      </c>
      <c r="F374" s="53" t="b">
        <f t="shared" si="61"/>
        <v>0</v>
      </c>
      <c r="G374" s="236">
        <f t="shared" si="62"/>
        <v>46022</v>
      </c>
      <c r="H374" s="53">
        <f>VLOOKUP( $A374, Aop!$A$2:$P$456, 4, 0)</f>
        <v>634</v>
      </c>
      <c r="I374" s="53">
        <f t="shared" si="63"/>
        <v>2025</v>
      </c>
      <c r="J374" s="53"/>
      <c r="K374" s="53"/>
      <c r="L374" s="53"/>
      <c r="M374" s="53" t="str">
        <f t="shared" ca="1" si="50"/>
        <v/>
      </c>
      <c r="N374" s="53" t="str">
        <f t="shared" ca="1" si="51"/>
        <v/>
      </c>
    </row>
    <row r="375" spans="1:14" x14ac:dyDescent="0.2">
      <c r="A375" s="106">
        <v>386</v>
      </c>
      <c r="B375" s="53" t="str">
        <f>VLOOKUP( $A375, Aop!$A$2:$P$456, 2, 0)</f>
        <v>Aneks</v>
      </c>
      <c r="C375" s="53">
        <f t="shared" si="58"/>
        <v>4</v>
      </c>
      <c r="D375" s="53" t="str">
        <f t="shared" si="59"/>
        <v>01814788</v>
      </c>
      <c r="E375" s="53" t="str">
        <f t="shared" si="60"/>
        <v>4400570050004</v>
      </c>
      <c r="F375" s="53" t="b">
        <f t="shared" si="61"/>
        <v>0</v>
      </c>
      <c r="G375" s="236">
        <f t="shared" si="62"/>
        <v>46022</v>
      </c>
      <c r="H375" s="53">
        <f>VLOOKUP( $A375, Aop!$A$2:$P$456, 4, 0)</f>
        <v>635</v>
      </c>
      <c r="I375" s="53">
        <f t="shared" si="63"/>
        <v>2025</v>
      </c>
      <c r="J375" s="53"/>
      <c r="K375" s="53"/>
      <c r="L375" s="53"/>
      <c r="M375" s="53">
        <f t="shared" ca="1" si="50"/>
        <v>14016944</v>
      </c>
      <c r="N375" s="53">
        <f t="shared" ca="1" si="51"/>
        <v>12867440</v>
      </c>
    </row>
    <row r="376" spans="1:14" x14ac:dyDescent="0.2">
      <c r="A376" s="106">
        <v>387</v>
      </c>
      <c r="B376" s="53" t="str">
        <f>VLOOKUP( $A376, Aop!$A$2:$P$456, 2, 0)</f>
        <v>Aneks</v>
      </c>
      <c r="C376" s="53">
        <f t="shared" si="58"/>
        <v>4</v>
      </c>
      <c r="D376" s="53" t="str">
        <f t="shared" si="59"/>
        <v>01814788</v>
      </c>
      <c r="E376" s="53" t="str">
        <f t="shared" si="60"/>
        <v>4400570050004</v>
      </c>
      <c r="F376" s="53" t="b">
        <f t="shared" si="61"/>
        <v>0</v>
      </c>
      <c r="G376" s="236">
        <f t="shared" si="62"/>
        <v>46022</v>
      </c>
      <c r="H376" s="53">
        <f>VLOOKUP( $A376, Aop!$A$2:$P$456, 4, 0)</f>
        <v>636</v>
      </c>
      <c r="I376" s="53">
        <f t="shared" si="63"/>
        <v>2025</v>
      </c>
      <c r="J376" s="53"/>
      <c r="K376" s="53"/>
      <c r="L376" s="53"/>
      <c r="M376" s="53">
        <f t="shared" ca="1" si="50"/>
        <v>108056</v>
      </c>
      <c r="N376" s="53">
        <f t="shared" ca="1" si="51"/>
        <v>92396</v>
      </c>
    </row>
    <row r="377" spans="1:14" x14ac:dyDescent="0.2">
      <c r="A377" s="106">
        <v>388</v>
      </c>
      <c r="B377" s="53" t="str">
        <f>VLOOKUP( $A377, Aop!$A$2:$P$456, 2, 0)</f>
        <v>Aneks</v>
      </c>
      <c r="C377" s="53">
        <f t="shared" si="58"/>
        <v>4</v>
      </c>
      <c r="D377" s="53" t="str">
        <f t="shared" si="59"/>
        <v>01814788</v>
      </c>
      <c r="E377" s="53" t="str">
        <f t="shared" si="60"/>
        <v>4400570050004</v>
      </c>
      <c r="F377" s="53" t="b">
        <f t="shared" si="61"/>
        <v>0</v>
      </c>
      <c r="G377" s="236">
        <f t="shared" si="62"/>
        <v>46022</v>
      </c>
      <c r="H377" s="53">
        <f>VLOOKUP( $A377, Aop!$A$2:$P$456, 4, 0)</f>
        <v>637</v>
      </c>
      <c r="I377" s="53">
        <f t="shared" si="63"/>
        <v>2025</v>
      </c>
      <c r="J377" s="53"/>
      <c r="K377" s="53"/>
      <c r="L377" s="53"/>
      <c r="M377" s="53">
        <f t="shared" ca="1" si="50"/>
        <v>14118</v>
      </c>
      <c r="N377" s="53">
        <f t="shared" ca="1" si="51"/>
        <v>27665</v>
      </c>
    </row>
    <row r="378" spans="1:14" x14ac:dyDescent="0.2">
      <c r="A378" s="106">
        <v>389</v>
      </c>
      <c r="B378" s="53" t="str">
        <f>VLOOKUP( $A378, Aop!$A$2:$P$456, 2, 0)</f>
        <v>Aneks</v>
      </c>
      <c r="C378" s="53">
        <f t="shared" si="58"/>
        <v>4</v>
      </c>
      <c r="D378" s="53" t="str">
        <f t="shared" si="59"/>
        <v>01814788</v>
      </c>
      <c r="E378" s="53" t="str">
        <f t="shared" si="60"/>
        <v>4400570050004</v>
      </c>
      <c r="F378" s="53" t="b">
        <f t="shared" si="61"/>
        <v>0</v>
      </c>
      <c r="G378" s="236">
        <f t="shared" si="62"/>
        <v>46022</v>
      </c>
      <c r="H378" s="53">
        <f>VLOOKUP( $A378, Aop!$A$2:$P$456, 4, 0)</f>
        <v>638</v>
      </c>
      <c r="I378" s="53">
        <f t="shared" si="63"/>
        <v>2025</v>
      </c>
      <c r="J378" s="53"/>
      <c r="K378" s="53"/>
      <c r="L378" s="53"/>
      <c r="M378" s="53">
        <f t="shared" ca="1" si="50"/>
        <v>5371</v>
      </c>
      <c r="N378" s="53">
        <f t="shared" ca="1" si="51"/>
        <v>6746</v>
      </c>
    </row>
    <row r="379" spans="1:14" x14ac:dyDescent="0.2">
      <c r="A379" s="106">
        <v>390</v>
      </c>
      <c r="B379" s="53" t="str">
        <f>VLOOKUP( $A379, Aop!$A$2:$P$456, 2, 0)</f>
        <v>Aneks</v>
      </c>
      <c r="C379" s="53">
        <f t="shared" si="58"/>
        <v>4</v>
      </c>
      <c r="D379" s="53" t="str">
        <f t="shared" si="59"/>
        <v>01814788</v>
      </c>
      <c r="E379" s="53" t="str">
        <f t="shared" si="60"/>
        <v>4400570050004</v>
      </c>
      <c r="F379" s="53" t="b">
        <f t="shared" si="61"/>
        <v>0</v>
      </c>
      <c r="G379" s="236">
        <f t="shared" si="62"/>
        <v>46022</v>
      </c>
      <c r="H379" s="53">
        <f>VLOOKUP( $A379, Aop!$A$2:$P$456, 4, 0)</f>
        <v>639</v>
      </c>
      <c r="I379" s="53">
        <f t="shared" si="63"/>
        <v>2025</v>
      </c>
      <c r="J379" s="53"/>
      <c r="K379" s="53"/>
      <c r="L379" s="53"/>
      <c r="M379" s="53">
        <f t="shared" ca="1" si="50"/>
        <v>856246</v>
      </c>
      <c r="N379" s="53">
        <f t="shared" ca="1" si="51"/>
        <v>1198824</v>
      </c>
    </row>
    <row r="380" spans="1:14" x14ac:dyDescent="0.2">
      <c r="A380" s="106">
        <v>391</v>
      </c>
      <c r="B380" s="53" t="str">
        <f>VLOOKUP( $A380, Aop!$A$2:$P$456, 2, 0)</f>
        <v>Aneks</v>
      </c>
      <c r="C380" s="53">
        <f t="shared" si="58"/>
        <v>4</v>
      </c>
      <c r="D380" s="53" t="str">
        <f t="shared" si="59"/>
        <v>01814788</v>
      </c>
      <c r="E380" s="53" t="str">
        <f t="shared" si="60"/>
        <v>4400570050004</v>
      </c>
      <c r="F380" s="53" t="b">
        <f t="shared" si="61"/>
        <v>0</v>
      </c>
      <c r="G380" s="236">
        <f t="shared" si="62"/>
        <v>46022</v>
      </c>
      <c r="H380" s="53">
        <f>VLOOKUP( $A380, Aop!$A$2:$P$456, 4, 0)</f>
        <v>640</v>
      </c>
      <c r="I380" s="53">
        <f t="shared" si="63"/>
        <v>2025</v>
      </c>
      <c r="J380" s="53"/>
      <c r="K380" s="53"/>
      <c r="L380" s="53"/>
      <c r="M380" s="53" t="str">
        <f t="shared" ca="1" si="50"/>
        <v/>
      </c>
      <c r="N380" s="53" t="str">
        <f t="shared" ca="1" si="51"/>
        <v/>
      </c>
    </row>
    <row r="381" spans="1:14" x14ac:dyDescent="0.2">
      <c r="A381" s="106">
        <v>392</v>
      </c>
      <c r="B381" s="53" t="str">
        <f>VLOOKUP( $A381, Aop!$A$2:$P$456, 2, 0)</f>
        <v>Aneks</v>
      </c>
      <c r="C381" s="53">
        <f t="shared" ref="C381:C412" si="64">ID_Izvjestaj</f>
        <v>4</v>
      </c>
      <c r="D381" s="53" t="str">
        <f t="shared" ref="D381:D412" si="65">Podatak_MB</f>
        <v>01814788</v>
      </c>
      <c r="E381" s="53" t="str">
        <f t="shared" ref="E381:E412" si="66">Podatak_JIB</f>
        <v>4400570050004</v>
      </c>
      <c r="F381" s="53" t="b">
        <f t="shared" ref="F381:F412" si="67">Konsolidovan_izvjestaj</f>
        <v>0</v>
      </c>
      <c r="G381" s="236">
        <f t="shared" si="62"/>
        <v>46022</v>
      </c>
      <c r="H381" s="53">
        <f>VLOOKUP( $A381, Aop!$A$2:$P$456, 4, 0)</f>
        <v>641</v>
      </c>
      <c r="I381" s="53">
        <f t="shared" ref="I381:I412" si="68">Godina</f>
        <v>2025</v>
      </c>
      <c r="J381" s="53"/>
      <c r="K381" s="53"/>
      <c r="L381" s="53"/>
      <c r="M381" s="53" t="str">
        <f t="shared" ref="M381:M398" ca="1" si="69">IF( VLOOKUP( $H381, INDIRECT( "Lookup_" &amp; $B381), IF( LEFT( $B381, 2) = "BS", S$2, S$1), 0) = "", "", VLOOKUP( $H381, INDIRECT( "Lookup_" &amp; $B381), IF( LEFT( $B381, 2) = "BS", S$2, S$1), 0))</f>
        <v/>
      </c>
      <c r="N381" s="53" t="str">
        <f t="shared" ref="N381:N398" ca="1" si="70">IF( VLOOKUP( $H381, INDIRECT( "Lookup_" &amp; $B381), IF( LEFT( $B381, 2) = "BS", T$2, T$1), 0) = "", "", VLOOKUP( $H381, INDIRECT( "Lookup_" &amp; $B381), IF( LEFT( $B381, 2) = "BS", T$2, T$1), 0))</f>
        <v/>
      </c>
    </row>
    <row r="382" spans="1:14" x14ac:dyDescent="0.2">
      <c r="A382" s="106">
        <v>393</v>
      </c>
      <c r="B382" s="53" t="str">
        <f>VLOOKUP( $A382, Aop!$A$2:$P$456, 2, 0)</f>
        <v>Aneks</v>
      </c>
      <c r="C382" s="53">
        <f t="shared" si="64"/>
        <v>4</v>
      </c>
      <c r="D382" s="53" t="str">
        <f t="shared" si="65"/>
        <v>01814788</v>
      </c>
      <c r="E382" s="53" t="str">
        <f t="shared" si="66"/>
        <v>4400570050004</v>
      </c>
      <c r="F382" s="53" t="b">
        <f t="shared" si="67"/>
        <v>0</v>
      </c>
      <c r="G382" s="236">
        <f t="shared" si="62"/>
        <v>46022</v>
      </c>
      <c r="H382" s="53">
        <f>VLOOKUP( $A382, Aop!$A$2:$P$456, 4, 0)</f>
        <v>642</v>
      </c>
      <c r="I382" s="53">
        <f t="shared" si="68"/>
        <v>2025</v>
      </c>
      <c r="J382" s="53"/>
      <c r="K382" s="53"/>
      <c r="L382" s="53"/>
      <c r="M382" s="53">
        <f t="shared" ca="1" si="69"/>
        <v>126356</v>
      </c>
      <c r="N382" s="53">
        <f t="shared" ca="1" si="70"/>
        <v>116267</v>
      </c>
    </row>
    <row r="383" spans="1:14" x14ac:dyDescent="0.2">
      <c r="A383" s="106">
        <v>394</v>
      </c>
      <c r="B383" s="53" t="str">
        <f>VLOOKUP( $A383, Aop!$A$2:$P$456, 2, 0)</f>
        <v>Aneks</v>
      </c>
      <c r="C383" s="53">
        <f t="shared" si="64"/>
        <v>4</v>
      </c>
      <c r="D383" s="53" t="str">
        <f t="shared" si="65"/>
        <v>01814788</v>
      </c>
      <c r="E383" s="53" t="str">
        <f t="shared" si="66"/>
        <v>4400570050004</v>
      </c>
      <c r="F383" s="53" t="b">
        <f t="shared" si="67"/>
        <v>0</v>
      </c>
      <c r="G383" s="236">
        <f t="shared" si="62"/>
        <v>46022</v>
      </c>
      <c r="H383" s="53">
        <f>VLOOKUP( $A383, Aop!$A$2:$P$456, 4, 0)</f>
        <v>643</v>
      </c>
      <c r="I383" s="53">
        <f t="shared" si="68"/>
        <v>2025</v>
      </c>
      <c r="J383" s="53"/>
      <c r="K383" s="53"/>
      <c r="L383" s="53"/>
      <c r="M383" s="53">
        <f t="shared" ca="1" si="69"/>
        <v>460649</v>
      </c>
      <c r="N383" s="53">
        <f t="shared" ca="1" si="70"/>
        <v>912005</v>
      </c>
    </row>
    <row r="384" spans="1:14" x14ac:dyDescent="0.2">
      <c r="A384" s="106">
        <v>395</v>
      </c>
      <c r="B384" s="53" t="str">
        <f>VLOOKUP( $A384, Aop!$A$2:$P$456, 2, 0)</f>
        <v>Aneks</v>
      </c>
      <c r="C384" s="53">
        <f t="shared" si="64"/>
        <v>4</v>
      </c>
      <c r="D384" s="53" t="str">
        <f t="shared" si="65"/>
        <v>01814788</v>
      </c>
      <c r="E384" s="53" t="str">
        <f t="shared" si="66"/>
        <v>4400570050004</v>
      </c>
      <c r="F384" s="53" t="b">
        <f t="shared" si="67"/>
        <v>0</v>
      </c>
      <c r="G384" s="236">
        <f t="shared" si="62"/>
        <v>46022</v>
      </c>
      <c r="H384" s="53">
        <f>VLOOKUP( $A384, Aop!$A$2:$P$456, 4, 0)</f>
        <v>644</v>
      </c>
      <c r="I384" s="53">
        <f t="shared" si="68"/>
        <v>2025</v>
      </c>
      <c r="J384" s="53"/>
      <c r="K384" s="53"/>
      <c r="L384" s="53"/>
      <c r="M384" s="53">
        <f t="shared" ca="1" si="69"/>
        <v>19805</v>
      </c>
      <c r="N384" s="53">
        <f t="shared" ca="1" si="70"/>
        <v>23153</v>
      </c>
    </row>
    <row r="385" spans="1:14" x14ac:dyDescent="0.2">
      <c r="A385" s="106">
        <v>396</v>
      </c>
      <c r="B385" s="53" t="str">
        <f>VLOOKUP( $A385, Aop!$A$2:$P$456, 2, 0)</f>
        <v>Aneks</v>
      </c>
      <c r="C385" s="53">
        <f t="shared" si="64"/>
        <v>4</v>
      </c>
      <c r="D385" s="53" t="str">
        <f t="shared" si="65"/>
        <v>01814788</v>
      </c>
      <c r="E385" s="53" t="str">
        <f t="shared" si="66"/>
        <v>4400570050004</v>
      </c>
      <c r="F385" s="53" t="b">
        <f t="shared" si="67"/>
        <v>0</v>
      </c>
      <c r="G385" s="236">
        <f t="shared" si="62"/>
        <v>46022</v>
      </c>
      <c r="H385" s="53">
        <f>VLOOKUP( $A385, Aop!$A$2:$P$456, 4, 0)</f>
        <v>645</v>
      </c>
      <c r="I385" s="53">
        <f t="shared" si="68"/>
        <v>2025</v>
      </c>
      <c r="J385" s="53"/>
      <c r="K385" s="53"/>
      <c r="L385" s="53"/>
      <c r="M385" s="53">
        <f t="shared" ca="1" si="69"/>
        <v>500</v>
      </c>
      <c r="N385" s="53">
        <f t="shared" ca="1" si="70"/>
        <v>1856</v>
      </c>
    </row>
    <row r="386" spans="1:14" x14ac:dyDescent="0.2">
      <c r="A386" s="106">
        <v>397</v>
      </c>
      <c r="B386" s="53" t="str">
        <f>VLOOKUP( $A386, Aop!$A$2:$P$456, 2, 0)</f>
        <v>Aneks</v>
      </c>
      <c r="C386" s="53">
        <f t="shared" si="64"/>
        <v>4</v>
      </c>
      <c r="D386" s="53" t="str">
        <f t="shared" si="65"/>
        <v>01814788</v>
      </c>
      <c r="E386" s="53" t="str">
        <f t="shared" si="66"/>
        <v>4400570050004</v>
      </c>
      <c r="F386" s="53" t="b">
        <f t="shared" si="67"/>
        <v>0</v>
      </c>
      <c r="G386" s="236">
        <f t="shared" si="62"/>
        <v>46022</v>
      </c>
      <c r="H386" s="53">
        <f>VLOOKUP( $A386, Aop!$A$2:$P$456, 4, 0)</f>
        <v>646</v>
      </c>
      <c r="I386" s="53">
        <f t="shared" si="68"/>
        <v>2025</v>
      </c>
      <c r="J386" s="53"/>
      <c r="K386" s="53"/>
      <c r="L386" s="53"/>
      <c r="M386" s="53" t="str">
        <f t="shared" ca="1" si="69"/>
        <v/>
      </c>
      <c r="N386" s="53" t="str">
        <f t="shared" ca="1" si="70"/>
        <v/>
      </c>
    </row>
    <row r="387" spans="1:14" x14ac:dyDescent="0.2">
      <c r="A387" s="106">
        <v>398</v>
      </c>
      <c r="B387" s="53" t="str">
        <f>VLOOKUP( $A387, Aop!$A$2:$P$456, 2, 0)</f>
        <v>Aneks</v>
      </c>
      <c r="C387" s="53">
        <f t="shared" si="64"/>
        <v>4</v>
      </c>
      <c r="D387" s="53" t="str">
        <f t="shared" si="65"/>
        <v>01814788</v>
      </c>
      <c r="E387" s="53" t="str">
        <f t="shared" si="66"/>
        <v>4400570050004</v>
      </c>
      <c r="F387" s="53" t="b">
        <f t="shared" si="67"/>
        <v>0</v>
      </c>
      <c r="G387" s="236">
        <f t="shared" si="62"/>
        <v>46022</v>
      </c>
      <c r="H387" s="53">
        <f>VLOOKUP( $A387, Aop!$A$2:$P$456, 4, 0)</f>
        <v>647</v>
      </c>
      <c r="I387" s="53">
        <f t="shared" si="68"/>
        <v>2025</v>
      </c>
      <c r="J387" s="53"/>
      <c r="K387" s="53"/>
      <c r="L387" s="53"/>
      <c r="M387" s="53">
        <f t="shared" ca="1" si="69"/>
        <v>248936</v>
      </c>
      <c r="N387" s="53">
        <f t="shared" ca="1" si="70"/>
        <v>145543</v>
      </c>
    </row>
    <row r="388" spans="1:14" x14ac:dyDescent="0.2">
      <c r="A388" s="106">
        <v>399</v>
      </c>
      <c r="B388" s="53" t="str">
        <f>VLOOKUP( $A388, Aop!$A$2:$P$456, 2, 0)</f>
        <v>Aneks</v>
      </c>
      <c r="C388" s="53">
        <f t="shared" si="64"/>
        <v>4</v>
      </c>
      <c r="D388" s="53" t="str">
        <f t="shared" si="65"/>
        <v>01814788</v>
      </c>
      <c r="E388" s="53" t="str">
        <f t="shared" si="66"/>
        <v>4400570050004</v>
      </c>
      <c r="F388" s="53" t="b">
        <f t="shared" si="67"/>
        <v>0</v>
      </c>
      <c r="G388" s="236">
        <f t="shared" si="62"/>
        <v>46022</v>
      </c>
      <c r="H388" s="53">
        <f>VLOOKUP( $A388, Aop!$A$2:$P$456, 4, 0)</f>
        <v>648</v>
      </c>
      <c r="I388" s="53">
        <f t="shared" si="68"/>
        <v>2025</v>
      </c>
      <c r="J388" s="53"/>
      <c r="K388" s="53"/>
      <c r="L388" s="53"/>
      <c r="M388" s="53">
        <f t="shared" ca="1" si="69"/>
        <v>150415</v>
      </c>
      <c r="N388" s="53">
        <f t="shared" ca="1" si="70"/>
        <v>63888</v>
      </c>
    </row>
    <row r="389" spans="1:14" x14ac:dyDescent="0.2">
      <c r="A389" s="106">
        <v>400</v>
      </c>
      <c r="B389" s="53" t="str">
        <f>VLOOKUP( $A389, Aop!$A$2:$P$456, 2, 0)</f>
        <v>Aneks</v>
      </c>
      <c r="C389" s="53">
        <f t="shared" si="64"/>
        <v>4</v>
      </c>
      <c r="D389" s="53" t="str">
        <f t="shared" si="65"/>
        <v>01814788</v>
      </c>
      <c r="E389" s="53" t="str">
        <f t="shared" si="66"/>
        <v>4400570050004</v>
      </c>
      <c r="F389" s="53" t="b">
        <f t="shared" si="67"/>
        <v>0</v>
      </c>
      <c r="G389" s="236">
        <f t="shared" si="62"/>
        <v>46022</v>
      </c>
      <c r="H389" s="53">
        <f>VLOOKUP( $A389, Aop!$A$2:$P$456, 4, 0)</f>
        <v>649</v>
      </c>
      <c r="I389" s="53">
        <f t="shared" si="68"/>
        <v>2025</v>
      </c>
      <c r="J389" s="53"/>
      <c r="K389" s="53"/>
      <c r="L389" s="53"/>
      <c r="M389" s="53">
        <f t="shared" ca="1" si="69"/>
        <v>3884515</v>
      </c>
      <c r="N389" s="53">
        <f t="shared" ca="1" si="70"/>
        <v>3846921</v>
      </c>
    </row>
    <row r="390" spans="1:14" x14ac:dyDescent="0.2">
      <c r="A390" s="106">
        <v>401</v>
      </c>
      <c r="B390" s="53" t="str">
        <f>VLOOKUP( $A390, Aop!$A$2:$P$456, 2, 0)</f>
        <v>Aneks</v>
      </c>
      <c r="C390" s="53">
        <f t="shared" si="64"/>
        <v>4</v>
      </c>
      <c r="D390" s="53" t="str">
        <f t="shared" si="65"/>
        <v>01814788</v>
      </c>
      <c r="E390" s="53" t="str">
        <f t="shared" si="66"/>
        <v>4400570050004</v>
      </c>
      <c r="F390" s="53" t="b">
        <f t="shared" si="67"/>
        <v>0</v>
      </c>
      <c r="G390" s="236">
        <f t="shared" si="62"/>
        <v>46022</v>
      </c>
      <c r="H390" s="53">
        <f>VLOOKUP( $A390, Aop!$A$2:$P$456, 4, 0)</f>
        <v>650</v>
      </c>
      <c r="I390" s="53">
        <f t="shared" si="68"/>
        <v>2025</v>
      </c>
      <c r="J390" s="53"/>
      <c r="K390" s="53"/>
      <c r="L390" s="53"/>
      <c r="M390" s="53">
        <f t="shared" ca="1" si="69"/>
        <v>184169</v>
      </c>
      <c r="N390" s="53">
        <f t="shared" ca="1" si="70"/>
        <v>180822</v>
      </c>
    </row>
    <row r="391" spans="1:14" x14ac:dyDescent="0.2">
      <c r="A391" s="106">
        <v>402</v>
      </c>
      <c r="B391" s="53" t="str">
        <f>VLOOKUP( $A391, Aop!$A$2:$P$456, 2, 0)</f>
        <v>Aneks</v>
      </c>
      <c r="C391" s="53">
        <f t="shared" si="64"/>
        <v>4</v>
      </c>
      <c r="D391" s="53" t="str">
        <f t="shared" si="65"/>
        <v>01814788</v>
      </c>
      <c r="E391" s="53" t="str">
        <f t="shared" si="66"/>
        <v>4400570050004</v>
      </c>
      <c r="F391" s="53" t="b">
        <f t="shared" si="67"/>
        <v>0</v>
      </c>
      <c r="G391" s="236">
        <f t="shared" si="62"/>
        <v>46022</v>
      </c>
      <c r="H391" s="53">
        <f>VLOOKUP( $A391, Aop!$A$2:$P$456, 4, 0)</f>
        <v>651</v>
      </c>
      <c r="I391" s="53">
        <f t="shared" si="68"/>
        <v>2025</v>
      </c>
      <c r="J391" s="53"/>
      <c r="K391" s="53"/>
      <c r="L391" s="53"/>
      <c r="M391" s="53">
        <f t="shared" ca="1" si="69"/>
        <v>10319</v>
      </c>
      <c r="N391" s="53">
        <f t="shared" ca="1" si="70"/>
        <v>17941</v>
      </c>
    </row>
    <row r="392" spans="1:14" x14ac:dyDescent="0.2">
      <c r="A392" s="106">
        <v>403</v>
      </c>
      <c r="B392" s="53" t="str">
        <f>VLOOKUP( $A392, Aop!$A$2:$P$456, 2, 0)</f>
        <v>Aneks</v>
      </c>
      <c r="C392" s="53">
        <f t="shared" si="64"/>
        <v>4</v>
      </c>
      <c r="D392" s="53" t="str">
        <f t="shared" si="65"/>
        <v>01814788</v>
      </c>
      <c r="E392" s="53" t="str">
        <f t="shared" si="66"/>
        <v>4400570050004</v>
      </c>
      <c r="F392" s="53" t="b">
        <f t="shared" si="67"/>
        <v>0</v>
      </c>
      <c r="G392" s="236">
        <f t="shared" si="62"/>
        <v>46022</v>
      </c>
      <c r="H392" s="53">
        <f>VLOOKUP( $A392, Aop!$A$2:$P$456, 4, 0)</f>
        <v>652</v>
      </c>
      <c r="I392" s="53">
        <f t="shared" si="68"/>
        <v>2025</v>
      </c>
      <c r="J392" s="53"/>
      <c r="K392" s="53"/>
      <c r="L392" s="53"/>
      <c r="M392" s="53" t="str">
        <f t="shared" ca="1" si="69"/>
        <v/>
      </c>
      <c r="N392" s="53" t="str">
        <f t="shared" ca="1" si="70"/>
        <v/>
      </c>
    </row>
    <row r="393" spans="1:14" x14ac:dyDescent="0.2">
      <c r="A393" s="106">
        <v>404</v>
      </c>
      <c r="B393" s="53" t="str">
        <f>VLOOKUP( $A393, Aop!$A$2:$P$456, 2, 0)</f>
        <v>Aneks</v>
      </c>
      <c r="C393" s="53">
        <f t="shared" si="64"/>
        <v>4</v>
      </c>
      <c r="D393" s="53" t="str">
        <f t="shared" si="65"/>
        <v>01814788</v>
      </c>
      <c r="E393" s="53" t="str">
        <f t="shared" si="66"/>
        <v>4400570050004</v>
      </c>
      <c r="F393" s="53" t="b">
        <f t="shared" si="67"/>
        <v>0</v>
      </c>
      <c r="G393" s="236">
        <f t="shared" si="62"/>
        <v>46022</v>
      </c>
      <c r="H393" s="53">
        <f>VLOOKUP( $A393, Aop!$A$2:$P$456, 4, 0)</f>
        <v>653</v>
      </c>
      <c r="I393" s="53">
        <f t="shared" si="68"/>
        <v>2025</v>
      </c>
      <c r="J393" s="53"/>
      <c r="K393" s="53"/>
      <c r="L393" s="53"/>
      <c r="M393" s="53">
        <f t="shared" ca="1" si="69"/>
        <v>28140</v>
      </c>
      <c r="N393" s="53">
        <f t="shared" ca="1" si="70"/>
        <v>29198</v>
      </c>
    </row>
    <row r="394" spans="1:14" x14ac:dyDescent="0.2">
      <c r="A394" s="106">
        <v>405</v>
      </c>
      <c r="B394" s="53" t="str">
        <f>VLOOKUP( $A394, Aop!$A$2:$P$456, 2, 0)</f>
        <v>Aneks</v>
      </c>
      <c r="C394" s="53">
        <f t="shared" si="64"/>
        <v>4</v>
      </c>
      <c r="D394" s="53" t="str">
        <f t="shared" si="65"/>
        <v>01814788</v>
      </c>
      <c r="E394" s="53" t="str">
        <f t="shared" si="66"/>
        <v>4400570050004</v>
      </c>
      <c r="F394" s="53" t="b">
        <f t="shared" si="67"/>
        <v>0</v>
      </c>
      <c r="G394" s="236">
        <f t="shared" si="62"/>
        <v>46022</v>
      </c>
      <c r="H394" s="53">
        <f>VLOOKUP( $A394, Aop!$A$2:$P$456, 4, 0)</f>
        <v>654</v>
      </c>
      <c r="I394" s="53">
        <f t="shared" si="68"/>
        <v>2025</v>
      </c>
      <c r="J394" s="53"/>
      <c r="K394" s="53"/>
      <c r="L394" s="53"/>
      <c r="M394" s="53">
        <f t="shared" ca="1" si="69"/>
        <v>130061</v>
      </c>
      <c r="N394" s="53">
        <f t="shared" ca="1" si="70"/>
        <v>115734</v>
      </c>
    </row>
    <row r="395" spans="1:14" x14ac:dyDescent="0.2">
      <c r="A395" s="106">
        <v>406</v>
      </c>
      <c r="B395" s="53" t="str">
        <f>VLOOKUP( $A395, Aop!$A$2:$P$456, 2, 0)</f>
        <v>Aneks</v>
      </c>
      <c r="C395" s="53">
        <f t="shared" si="64"/>
        <v>4</v>
      </c>
      <c r="D395" s="53" t="str">
        <f t="shared" si="65"/>
        <v>01814788</v>
      </c>
      <c r="E395" s="53" t="str">
        <f t="shared" si="66"/>
        <v>4400570050004</v>
      </c>
      <c r="F395" s="53" t="b">
        <f t="shared" si="67"/>
        <v>0</v>
      </c>
      <c r="G395" s="236">
        <f t="shared" si="62"/>
        <v>46022</v>
      </c>
      <c r="H395" s="53">
        <f>VLOOKUP( $A395, Aop!$A$2:$P$456, 4, 0)</f>
        <v>655</v>
      </c>
      <c r="I395" s="53">
        <f t="shared" si="68"/>
        <v>2025</v>
      </c>
      <c r="J395" s="53"/>
      <c r="K395" s="53"/>
      <c r="L395" s="53"/>
      <c r="M395" s="53">
        <f t="shared" ca="1" si="69"/>
        <v>9208</v>
      </c>
      <c r="N395" s="53">
        <f t="shared" ca="1" si="70"/>
        <v>8915</v>
      </c>
    </row>
    <row r="396" spans="1:14" x14ac:dyDescent="0.2">
      <c r="A396" s="106">
        <v>407</v>
      </c>
      <c r="B396" s="53" t="str">
        <f>VLOOKUP( $A396, Aop!$A$2:$P$456, 2, 0)</f>
        <v>Aneks</v>
      </c>
      <c r="C396" s="53">
        <f t="shared" si="64"/>
        <v>4</v>
      </c>
      <c r="D396" s="53" t="str">
        <f t="shared" si="65"/>
        <v>01814788</v>
      </c>
      <c r="E396" s="53" t="str">
        <f t="shared" si="66"/>
        <v>4400570050004</v>
      </c>
      <c r="F396" s="53" t="b">
        <f t="shared" si="67"/>
        <v>0</v>
      </c>
      <c r="G396" s="236">
        <f t="shared" si="62"/>
        <v>46022</v>
      </c>
      <c r="H396" s="53">
        <f>VLOOKUP( $A396, Aop!$A$2:$P$456, 4, 0)</f>
        <v>656</v>
      </c>
      <c r="I396" s="53">
        <f t="shared" si="68"/>
        <v>2025</v>
      </c>
      <c r="J396" s="53"/>
      <c r="K396" s="53"/>
      <c r="L396" s="53"/>
      <c r="M396" s="53">
        <f t="shared" ca="1" si="69"/>
        <v>15494</v>
      </c>
      <c r="N396" s="53">
        <f t="shared" ca="1" si="70"/>
        <v>11336</v>
      </c>
    </row>
    <row r="397" spans="1:14" x14ac:dyDescent="0.2">
      <c r="A397" s="106">
        <v>408</v>
      </c>
      <c r="B397" s="53" t="str">
        <f>VLOOKUP( $A397, Aop!$A$2:$P$456, 2, 0)</f>
        <v>Aneks</v>
      </c>
      <c r="C397" s="53">
        <f t="shared" si="64"/>
        <v>4</v>
      </c>
      <c r="D397" s="53" t="str">
        <f t="shared" si="65"/>
        <v>01814788</v>
      </c>
      <c r="E397" s="53" t="str">
        <f t="shared" si="66"/>
        <v>4400570050004</v>
      </c>
      <c r="F397" s="53" t="b">
        <f t="shared" si="67"/>
        <v>0</v>
      </c>
      <c r="G397" s="236">
        <f t="shared" si="62"/>
        <v>46022</v>
      </c>
      <c r="H397" s="53">
        <f>VLOOKUP( $A397, Aop!$A$2:$P$456, 4, 0)</f>
        <v>657</v>
      </c>
      <c r="I397" s="53">
        <f t="shared" si="68"/>
        <v>2025</v>
      </c>
      <c r="J397" s="53"/>
      <c r="K397" s="53"/>
      <c r="L397" s="53"/>
      <c r="M397" s="53" t="str">
        <f t="shared" ca="1" si="69"/>
        <v/>
      </c>
      <c r="N397" s="53" t="str">
        <f t="shared" ca="1" si="70"/>
        <v/>
      </c>
    </row>
    <row r="398" spans="1:14" x14ac:dyDescent="0.2">
      <c r="A398" s="106">
        <v>409</v>
      </c>
      <c r="B398" s="53" t="str">
        <f>VLOOKUP( $A398, Aop!$A$2:$P$456, 2, 0)</f>
        <v>Aneks</v>
      </c>
      <c r="C398" s="53">
        <f t="shared" si="64"/>
        <v>4</v>
      </c>
      <c r="D398" s="53" t="str">
        <f t="shared" si="65"/>
        <v>01814788</v>
      </c>
      <c r="E398" s="53" t="str">
        <f t="shared" si="66"/>
        <v>4400570050004</v>
      </c>
      <c r="F398" s="53" t="b">
        <f t="shared" si="67"/>
        <v>0</v>
      </c>
      <c r="G398" s="236">
        <f t="shared" si="62"/>
        <v>46022</v>
      </c>
      <c r="H398" s="53">
        <f>VLOOKUP( $A398, Aop!$A$2:$P$456, 4, 0)</f>
        <v>658</v>
      </c>
      <c r="I398" s="53">
        <f t="shared" si="68"/>
        <v>2025</v>
      </c>
      <c r="J398" s="53"/>
      <c r="K398" s="53"/>
      <c r="L398" s="53"/>
      <c r="M398" s="53">
        <f t="shared" ca="1" si="69"/>
        <v>124988</v>
      </c>
      <c r="N398" s="53">
        <f t="shared" ca="1" si="70"/>
        <v>112043</v>
      </c>
    </row>
    <row r="399" spans="1:14" x14ac:dyDescent="0.2">
      <c r="A399" s="106">
        <v>410</v>
      </c>
      <c r="B399" s="53" t="str">
        <f>VLOOKUP( $A399, Aop!$A$2:$P$456, 2, 0)</f>
        <v>Aneks</v>
      </c>
      <c r="C399" s="53">
        <f t="shared" si="64"/>
        <v>4</v>
      </c>
      <c r="D399" s="53" t="str">
        <f t="shared" si="65"/>
        <v>01814788</v>
      </c>
      <c r="E399" s="53" t="str">
        <f t="shared" si="66"/>
        <v>4400570050004</v>
      </c>
      <c r="F399" s="53" t="b">
        <f t="shared" si="67"/>
        <v>0</v>
      </c>
      <c r="G399" s="236">
        <f t="shared" si="62"/>
        <v>46022</v>
      </c>
      <c r="H399" s="53">
        <f>VLOOKUP( $A399, Aop!$A$2:$P$456, 4, 0)</f>
        <v>659</v>
      </c>
      <c r="I399" s="53">
        <f t="shared" si="68"/>
        <v>2025</v>
      </c>
      <c r="J399" s="53"/>
      <c r="K399" s="53"/>
      <c r="L399" s="53"/>
      <c r="M399" s="53">
        <f t="shared" ref="M399:M407" ca="1" si="71">IF( VLOOKUP( $H399, INDIRECT( "Lookup_" &amp; $B399), IF( LEFT( $B399, 2) = "BS", S$2, S$1), 0) = "", "", VLOOKUP( $H399, INDIRECT( "Lookup_" &amp; $B399), IF( LEFT( $B399, 2) = "BS", S$2, S$1), 0))</f>
        <v>3392455</v>
      </c>
      <c r="N399" s="53">
        <f t="shared" ref="N399:N407" ca="1" si="72">IF( VLOOKUP( $H399, INDIRECT( "Lookup_" &amp; $B399), IF( LEFT( $B399, 2) = "BS", T$2, T$1), 0) = "", "", VLOOKUP( $H399, INDIRECT( "Lookup_" &amp; $B399), IF( LEFT( $B399, 2) = "BS", T$2, T$1), 0))</f>
        <v>3388873</v>
      </c>
    </row>
    <row r="400" spans="1:14" x14ac:dyDescent="0.2">
      <c r="A400" s="106">
        <v>411</v>
      </c>
      <c r="B400" s="53" t="str">
        <f>VLOOKUP( $A400, Aop!$A$2:$P$456, 2, 0)</f>
        <v>Aneks</v>
      </c>
      <c r="C400" s="53">
        <f t="shared" si="64"/>
        <v>4</v>
      </c>
      <c r="D400" s="53" t="str">
        <f t="shared" si="65"/>
        <v>01814788</v>
      </c>
      <c r="E400" s="53" t="str">
        <f t="shared" si="66"/>
        <v>4400570050004</v>
      </c>
      <c r="F400" s="53" t="b">
        <f t="shared" si="67"/>
        <v>0</v>
      </c>
      <c r="G400" s="236">
        <f t="shared" si="62"/>
        <v>46022</v>
      </c>
      <c r="H400" s="53">
        <f>VLOOKUP( $A400, Aop!$A$2:$P$456, 4, 0)</f>
        <v>660</v>
      </c>
      <c r="I400" s="53">
        <f t="shared" si="68"/>
        <v>2025</v>
      </c>
      <c r="J400" s="53"/>
      <c r="K400" s="53"/>
      <c r="L400" s="53"/>
      <c r="M400" s="53" t="str">
        <f t="shared" ca="1" si="71"/>
        <v/>
      </c>
      <c r="N400" s="53" t="str">
        <f t="shared" ca="1" si="72"/>
        <v/>
      </c>
    </row>
    <row r="401" spans="1:14" x14ac:dyDescent="0.2">
      <c r="A401" s="106">
        <v>412</v>
      </c>
      <c r="B401" s="53" t="str">
        <f>VLOOKUP( $A401, Aop!$A$2:$P$456, 2, 0)</f>
        <v>Aneks</v>
      </c>
      <c r="C401" s="53">
        <f t="shared" si="64"/>
        <v>4</v>
      </c>
      <c r="D401" s="53" t="str">
        <f t="shared" si="65"/>
        <v>01814788</v>
      </c>
      <c r="E401" s="53" t="str">
        <f t="shared" si="66"/>
        <v>4400570050004</v>
      </c>
      <c r="F401" s="53" t="b">
        <f t="shared" si="67"/>
        <v>0</v>
      </c>
      <c r="G401" s="236">
        <f t="shared" si="62"/>
        <v>46022</v>
      </c>
      <c r="H401" s="53">
        <f>VLOOKUP( $A401, Aop!$A$2:$P$456, 4, 0)</f>
        <v>661</v>
      </c>
      <c r="I401" s="53">
        <f t="shared" si="68"/>
        <v>2025</v>
      </c>
      <c r="J401" s="53"/>
      <c r="K401" s="53"/>
      <c r="L401" s="53"/>
      <c r="M401" s="53">
        <f t="shared" ca="1" si="71"/>
        <v>6126110</v>
      </c>
      <c r="N401" s="53">
        <f t="shared" ca="1" si="72"/>
        <v>5872207</v>
      </c>
    </row>
    <row r="402" spans="1:14" x14ac:dyDescent="0.2">
      <c r="A402" s="106">
        <v>413</v>
      </c>
      <c r="B402" s="53" t="str">
        <f>VLOOKUP( $A402, Aop!$A$2:$P$456, 2, 0)</f>
        <v>Aneks</v>
      </c>
      <c r="C402" s="53">
        <f t="shared" si="64"/>
        <v>4</v>
      </c>
      <c r="D402" s="53" t="str">
        <f t="shared" si="65"/>
        <v>01814788</v>
      </c>
      <c r="E402" s="53" t="str">
        <f t="shared" si="66"/>
        <v>4400570050004</v>
      </c>
      <c r="F402" s="53" t="b">
        <f t="shared" si="67"/>
        <v>0</v>
      </c>
      <c r="G402" s="236">
        <f t="shared" si="62"/>
        <v>46022</v>
      </c>
      <c r="H402" s="53">
        <f>VLOOKUP( $A402, Aop!$A$2:$P$456, 4, 0)</f>
        <v>662</v>
      </c>
      <c r="I402" s="53">
        <f t="shared" si="68"/>
        <v>2025</v>
      </c>
      <c r="J402" s="53"/>
      <c r="K402" s="53"/>
      <c r="L402" s="53"/>
      <c r="M402" s="53">
        <f t="shared" ca="1" si="71"/>
        <v>3002442</v>
      </c>
      <c r="N402" s="53">
        <f t="shared" ca="1" si="72"/>
        <v>3290193</v>
      </c>
    </row>
    <row r="403" spans="1:14" x14ac:dyDescent="0.2">
      <c r="A403" s="106">
        <v>414</v>
      </c>
      <c r="B403" s="53" t="str">
        <f>VLOOKUP( $A403, Aop!$A$2:$P$456, 2, 0)</f>
        <v>Aneks</v>
      </c>
      <c r="C403" s="53">
        <f t="shared" si="64"/>
        <v>4</v>
      </c>
      <c r="D403" s="53" t="str">
        <f t="shared" si="65"/>
        <v>01814788</v>
      </c>
      <c r="E403" s="53" t="str">
        <f t="shared" si="66"/>
        <v>4400570050004</v>
      </c>
      <c r="F403" s="53" t="b">
        <f t="shared" si="67"/>
        <v>0</v>
      </c>
      <c r="G403" s="236">
        <f t="shared" si="62"/>
        <v>46022</v>
      </c>
      <c r="H403" s="53">
        <f>VLOOKUP( $A403, Aop!$A$2:$P$456, 4, 0)</f>
        <v>663</v>
      </c>
      <c r="I403" s="53">
        <f t="shared" si="68"/>
        <v>2025</v>
      </c>
      <c r="J403" s="53"/>
      <c r="K403" s="53"/>
      <c r="L403" s="53"/>
      <c r="M403" s="53">
        <f t="shared" ca="1" si="71"/>
        <v>304709</v>
      </c>
      <c r="N403" s="53">
        <f t="shared" ca="1" si="72"/>
        <v>222500</v>
      </c>
    </row>
    <row r="404" spans="1:14" x14ac:dyDescent="0.2">
      <c r="A404" s="106">
        <v>415</v>
      </c>
      <c r="B404" s="53" t="str">
        <f>VLOOKUP( $A404, Aop!$A$2:$P$456, 2, 0)</f>
        <v>Aneks</v>
      </c>
      <c r="C404" s="53">
        <f t="shared" si="64"/>
        <v>4</v>
      </c>
      <c r="D404" s="53" t="str">
        <f t="shared" si="65"/>
        <v>01814788</v>
      </c>
      <c r="E404" s="53" t="str">
        <f t="shared" si="66"/>
        <v>4400570050004</v>
      </c>
      <c r="F404" s="53" t="b">
        <f t="shared" si="67"/>
        <v>0</v>
      </c>
      <c r="G404" s="236">
        <f t="shared" si="62"/>
        <v>46022</v>
      </c>
      <c r="H404" s="53">
        <f>VLOOKUP( $A404, Aop!$A$2:$P$456, 4, 0)</f>
        <v>664</v>
      </c>
      <c r="I404" s="53">
        <f t="shared" si="68"/>
        <v>2025</v>
      </c>
      <c r="J404" s="53"/>
      <c r="K404" s="53"/>
      <c r="L404" s="53"/>
      <c r="M404" s="53" t="str">
        <f t="shared" ca="1" si="71"/>
        <v/>
      </c>
      <c r="N404" s="53" t="str">
        <f t="shared" ca="1" si="72"/>
        <v/>
      </c>
    </row>
    <row r="405" spans="1:14" x14ac:dyDescent="0.2">
      <c r="A405" s="106">
        <v>416</v>
      </c>
      <c r="B405" s="53" t="str">
        <f>VLOOKUP( $A405, Aop!$A$2:$P$456, 2, 0)</f>
        <v>Aneks</v>
      </c>
      <c r="C405" s="53">
        <f t="shared" si="64"/>
        <v>4</v>
      </c>
      <c r="D405" s="53" t="str">
        <f t="shared" si="65"/>
        <v>01814788</v>
      </c>
      <c r="E405" s="53" t="str">
        <f t="shared" si="66"/>
        <v>4400570050004</v>
      </c>
      <c r="F405" s="53" t="b">
        <f t="shared" si="67"/>
        <v>0</v>
      </c>
      <c r="G405" s="236">
        <f t="shared" si="62"/>
        <v>46022</v>
      </c>
      <c r="H405" s="53">
        <f>VLOOKUP( $A405, Aop!$A$2:$P$456, 4, 0)</f>
        <v>665</v>
      </c>
      <c r="I405" s="53">
        <f t="shared" si="68"/>
        <v>2025</v>
      </c>
      <c r="J405" s="53"/>
      <c r="K405" s="53"/>
      <c r="L405" s="53"/>
      <c r="M405" s="53" t="str">
        <f t="shared" ca="1" si="71"/>
        <v/>
      </c>
      <c r="N405" s="53" t="str">
        <f t="shared" ca="1" si="72"/>
        <v/>
      </c>
    </row>
    <row r="406" spans="1:14" x14ac:dyDescent="0.2">
      <c r="A406" s="106">
        <v>417</v>
      </c>
      <c r="B406" s="53" t="str">
        <f>VLOOKUP( $A406, Aop!$A$2:$P$456, 2, 0)</f>
        <v>Aneks</v>
      </c>
      <c r="C406" s="53">
        <f t="shared" si="64"/>
        <v>4</v>
      </c>
      <c r="D406" s="53" t="str">
        <f t="shared" si="65"/>
        <v>01814788</v>
      </c>
      <c r="E406" s="53" t="str">
        <f t="shared" si="66"/>
        <v>4400570050004</v>
      </c>
      <c r="F406" s="53" t="b">
        <f t="shared" si="67"/>
        <v>0</v>
      </c>
      <c r="G406" s="236">
        <f t="shared" si="62"/>
        <v>46022</v>
      </c>
      <c r="H406" s="53">
        <f>VLOOKUP( $A406, Aop!$A$2:$P$456, 4, 0)</f>
        <v>666</v>
      </c>
      <c r="I406" s="53">
        <f t="shared" si="68"/>
        <v>2025</v>
      </c>
      <c r="J406" s="53"/>
      <c r="K406" s="53"/>
      <c r="L406" s="53"/>
      <c r="M406" s="53" t="str">
        <f t="shared" ca="1" si="71"/>
        <v/>
      </c>
      <c r="N406" s="53" t="str">
        <f t="shared" ca="1" si="72"/>
        <v/>
      </c>
    </row>
    <row r="407" spans="1:14" x14ac:dyDescent="0.2">
      <c r="A407" s="106">
        <v>418</v>
      </c>
      <c r="B407" s="53" t="str">
        <f>VLOOKUP( $A407, Aop!$A$2:$P$456, 2, 0)</f>
        <v>Aneks</v>
      </c>
      <c r="C407" s="53">
        <f t="shared" si="64"/>
        <v>4</v>
      </c>
      <c r="D407" s="53" t="str">
        <f t="shared" si="65"/>
        <v>01814788</v>
      </c>
      <c r="E407" s="53" t="str">
        <f t="shared" si="66"/>
        <v>4400570050004</v>
      </c>
      <c r="F407" s="53" t="b">
        <f t="shared" si="67"/>
        <v>0</v>
      </c>
      <c r="G407" s="236">
        <f t="shared" si="62"/>
        <v>46022</v>
      </c>
      <c r="H407" s="53">
        <f>VLOOKUP( $A407, Aop!$A$2:$P$456, 4, 0)</f>
        <v>667</v>
      </c>
      <c r="I407" s="53">
        <f t="shared" si="68"/>
        <v>2025</v>
      </c>
      <c r="J407" s="53"/>
      <c r="K407" s="53"/>
      <c r="L407" s="53"/>
      <c r="M407" s="53" t="str">
        <f t="shared" ca="1" si="71"/>
        <v/>
      </c>
      <c r="N407" s="53" t="str">
        <f t="shared" ca="1" si="72"/>
        <v/>
      </c>
    </row>
    <row r="408" spans="1:14" x14ac:dyDescent="0.2">
      <c r="A408" s="106">
        <v>419</v>
      </c>
      <c r="B408" s="53" t="str">
        <f>VLOOKUP( $A408, Aop!$A$2:$P$456, 2, 0)</f>
        <v>Aneks</v>
      </c>
      <c r="C408" s="53">
        <f t="shared" si="64"/>
        <v>4</v>
      </c>
      <c r="D408" s="53" t="str">
        <f t="shared" si="65"/>
        <v>01814788</v>
      </c>
      <c r="E408" s="53" t="str">
        <f t="shared" si="66"/>
        <v>4400570050004</v>
      </c>
      <c r="F408" s="53" t="b">
        <f t="shared" si="67"/>
        <v>0</v>
      </c>
      <c r="G408" s="236">
        <f t="shared" si="62"/>
        <v>46022</v>
      </c>
      <c r="H408" s="53">
        <f>VLOOKUP( $A408, Aop!$A$2:$P$456, 4, 0)</f>
        <v>668</v>
      </c>
      <c r="I408" s="53">
        <f t="shared" si="68"/>
        <v>2025</v>
      </c>
      <c r="J408" s="53"/>
      <c r="K408" s="53"/>
      <c r="L408" s="53"/>
      <c r="M408" s="53" t="str">
        <f t="shared" ref="M408:M410" ca="1" si="73">IF( VLOOKUP( $H408, INDIRECT( "Lookup_" &amp; $B408), IF( LEFT( $B408, 2) = "BS", S$2, S$1), 0) = "", "", VLOOKUP( $H408, INDIRECT( "Lookup_" &amp; $B408), IF( LEFT( $B408, 2) = "BS", S$2, S$1), 0))</f>
        <v/>
      </c>
      <c r="N408" s="53" t="str">
        <f t="shared" ref="N408:N410" ca="1" si="74">IF( VLOOKUP( $H408, INDIRECT( "Lookup_" &amp; $B408), IF( LEFT( $B408, 2) = "BS", T$2, T$1), 0) = "", "", VLOOKUP( $H408, INDIRECT( "Lookup_" &amp; $B408), IF( LEFT( $B408, 2) = "BS", T$2, T$1), 0))</f>
        <v/>
      </c>
    </row>
    <row r="409" spans="1:14" x14ac:dyDescent="0.2">
      <c r="A409" s="106">
        <v>420</v>
      </c>
      <c r="B409" s="53" t="str">
        <f>VLOOKUP( $A409, Aop!$A$2:$P$456, 2, 0)</f>
        <v>Aneks</v>
      </c>
      <c r="C409" s="53">
        <f t="shared" si="64"/>
        <v>4</v>
      </c>
      <c r="D409" s="53" t="str">
        <f t="shared" si="65"/>
        <v>01814788</v>
      </c>
      <c r="E409" s="53" t="str">
        <f t="shared" si="66"/>
        <v>4400570050004</v>
      </c>
      <c r="F409" s="53" t="b">
        <f t="shared" si="67"/>
        <v>0</v>
      </c>
      <c r="G409" s="236">
        <f t="shared" si="62"/>
        <v>46022</v>
      </c>
      <c r="H409" s="53">
        <f>VLOOKUP( $A409, Aop!$A$2:$P$456, 4, 0)</f>
        <v>669</v>
      </c>
      <c r="I409" s="53">
        <f t="shared" si="68"/>
        <v>2025</v>
      </c>
      <c r="J409" s="53"/>
      <c r="K409" s="53"/>
      <c r="L409" s="53"/>
      <c r="M409" s="53" t="str">
        <f t="shared" ca="1" si="73"/>
        <v/>
      </c>
      <c r="N409" s="53" t="str">
        <f t="shared" ca="1" si="74"/>
        <v/>
      </c>
    </row>
    <row r="410" spans="1:14" x14ac:dyDescent="0.2">
      <c r="A410" s="106">
        <v>421</v>
      </c>
      <c r="B410" s="53" t="str">
        <f>VLOOKUP( $A410, Aop!$A$2:$P$456, 2, 0)</f>
        <v>Aneks</v>
      </c>
      <c r="C410" s="53">
        <f t="shared" si="64"/>
        <v>4</v>
      </c>
      <c r="D410" s="53" t="str">
        <f t="shared" si="65"/>
        <v>01814788</v>
      </c>
      <c r="E410" s="53" t="str">
        <f t="shared" si="66"/>
        <v>4400570050004</v>
      </c>
      <c r="F410" s="53" t="b">
        <f t="shared" si="67"/>
        <v>0</v>
      </c>
      <c r="G410" s="236">
        <f t="shared" si="62"/>
        <v>46022</v>
      </c>
      <c r="H410" s="53">
        <f>VLOOKUP( $A410, Aop!$A$2:$P$456, 4, 0)</f>
        <v>670</v>
      </c>
      <c r="I410" s="53">
        <f t="shared" si="68"/>
        <v>2025</v>
      </c>
      <c r="J410" s="53"/>
      <c r="K410" s="53"/>
      <c r="L410" s="53"/>
      <c r="M410" s="53">
        <f t="shared" ca="1" si="73"/>
        <v>694327</v>
      </c>
      <c r="N410" s="53">
        <f t="shared" ca="1" si="74"/>
        <v>715150</v>
      </c>
    </row>
    <row r="411" spans="1:14" x14ac:dyDescent="0.2">
      <c r="A411" s="106">
        <v>422</v>
      </c>
      <c r="B411" s="53" t="str">
        <f>VLOOKUP( $A411, Aop!$A$2:$P$456, 2, 0)</f>
        <v>BPK</v>
      </c>
      <c r="C411" s="53">
        <f t="shared" si="64"/>
        <v>4</v>
      </c>
      <c r="D411" s="53" t="str">
        <f t="shared" si="65"/>
        <v>01814788</v>
      </c>
      <c r="E411" s="53" t="str">
        <f t="shared" si="66"/>
        <v>4400570050004</v>
      </c>
      <c r="F411" s="53" t="b">
        <f t="shared" si="67"/>
        <v>0</v>
      </c>
      <c r="G411" s="236">
        <f t="shared" si="62"/>
        <v>46022</v>
      </c>
      <c r="H411" s="53">
        <f>VLOOKUP( $A411, Aop!$A$2:$P$456, 4, 0)</f>
        <v>0</v>
      </c>
      <c r="I411" s="53">
        <f t="shared" si="68"/>
        <v>2025</v>
      </c>
      <c r="J411" s="53"/>
      <c r="K411" s="53"/>
      <c r="L411" s="53"/>
      <c r="M411" s="53" t="str">
        <f ca="1">IF( VLOOKUP( $H411, INDIRECT( "Lookup_" &amp; $B411), IF( LEFT( $B411, 2) = "BS", S$2, S$1), 0) = "", "", VLOOKUP( $H411, INDIRECT( "Lookup_" &amp; $B411), IF( LEFT( $B411, 2) = "BS", S$2, S$1), 0))</f>
        <v/>
      </c>
      <c r="N411" s="53" t="str">
        <f ca="1">IF( VLOOKUP( $H411, INDIRECT( "Lookup_" &amp; $B411), IF( LEFT( $B411, 2) = "BS", T$2, T$1), 0) = "", "", VLOOKUP( $H411, INDIRECT( "Lookup_" &amp; $B411), IF( LEFT( $B411, 2) = "BS", T$2, T$1), 0))</f>
        <v/>
      </c>
    </row>
    <row r="412" spans="1:14" x14ac:dyDescent="0.2">
      <c r="A412" s="106">
        <v>423</v>
      </c>
      <c r="B412" s="53" t="str">
        <f>VLOOKUP( $A412, Aop!$A$2:$P$456, 2, 0)</f>
        <v>BPK</v>
      </c>
      <c r="C412" s="53">
        <f t="shared" si="64"/>
        <v>4</v>
      </c>
      <c r="D412" s="53" t="str">
        <f t="shared" si="65"/>
        <v>01814788</v>
      </c>
      <c r="E412" s="53" t="str">
        <f t="shared" si="66"/>
        <v>4400570050004</v>
      </c>
      <c r="F412" s="53" t="b">
        <f t="shared" si="67"/>
        <v>0</v>
      </c>
      <c r="G412" s="236">
        <f t="shared" si="62"/>
        <v>46022</v>
      </c>
      <c r="H412" s="53">
        <f>VLOOKUP( $A412, Aop!$A$2:$P$456, 4, 0)</f>
        <v>901</v>
      </c>
      <c r="I412" s="53">
        <f t="shared" si="68"/>
        <v>2025</v>
      </c>
      <c r="J412" s="53"/>
      <c r="K412" s="53"/>
      <c r="L412" s="53"/>
      <c r="M412" s="53">
        <f t="shared" ref="M412:M415" ca="1" si="75">IF( VLOOKUP( $H412, INDIRECT( "Lookup_" &amp; $B412), IF( LEFT( $B412, 2) = "BS", S$2, S$1), 0) = "", "", VLOOKUP( $H412, INDIRECT( "Lookup_" &amp; $B412), IF( LEFT( $B412, 2) = "BS", S$2, S$1), 0))</f>
        <v>15795899</v>
      </c>
      <c r="N412" s="53">
        <f t="shared" ref="N412:N415" ca="1" si="76">IF( VLOOKUP( $H412, INDIRECT( "Lookup_" &amp; $B412), IF( LEFT( $B412, 2) = "BS", T$2, T$1), 0) = "", "", VLOOKUP( $H412, INDIRECT( "Lookup_" &amp; $B412), IF( LEFT( $B412, 2) = "BS", T$2, T$1), 0))</f>
        <v>0</v>
      </c>
    </row>
    <row r="413" spans="1:14" x14ac:dyDescent="0.2">
      <c r="A413" s="106">
        <v>424</v>
      </c>
      <c r="B413" s="53" t="str">
        <f>VLOOKUP( $A413, Aop!$A$2:$P$456, 2, 0)</f>
        <v>BPK</v>
      </c>
      <c r="C413" s="53">
        <f t="shared" ref="C413:C444" si="77">ID_Izvjestaj</f>
        <v>4</v>
      </c>
      <c r="D413" s="53" t="str">
        <f t="shared" ref="D413:D444" si="78">Podatak_MB</f>
        <v>01814788</v>
      </c>
      <c r="E413" s="53" t="str">
        <f t="shared" ref="E413:E444" si="79">Podatak_JIB</f>
        <v>4400570050004</v>
      </c>
      <c r="F413" s="53" t="b">
        <f t="shared" ref="F413:F444" si="80">Konsolidovan_izvjestaj</f>
        <v>0</v>
      </c>
      <c r="G413" s="236">
        <f t="shared" si="62"/>
        <v>46022</v>
      </c>
      <c r="H413" s="53">
        <f>VLOOKUP( $A413, Aop!$A$2:$P$456, 4, 0)</f>
        <v>0</v>
      </c>
      <c r="I413" s="53">
        <f t="shared" ref="I413:I444" si="81">Godina</f>
        <v>2025</v>
      </c>
      <c r="J413" s="53"/>
      <c r="K413" s="53"/>
      <c r="L413" s="53"/>
      <c r="M413" s="53" t="str">
        <f t="shared" ca="1" si="75"/>
        <v/>
      </c>
      <c r="N413" s="53" t="str">
        <f t="shared" ca="1" si="76"/>
        <v/>
      </c>
    </row>
    <row r="414" spans="1:14" x14ac:dyDescent="0.2">
      <c r="A414" s="106">
        <v>425</v>
      </c>
      <c r="B414" s="53" t="str">
        <f>VLOOKUP( $A414, Aop!$A$2:$P$456, 2, 0)</f>
        <v>BPK</v>
      </c>
      <c r="C414" s="53">
        <f t="shared" si="77"/>
        <v>4</v>
      </c>
      <c r="D414" s="53" t="str">
        <f t="shared" si="78"/>
        <v>01814788</v>
      </c>
      <c r="E414" s="53" t="str">
        <f t="shared" si="79"/>
        <v>4400570050004</v>
      </c>
      <c r="F414" s="53" t="b">
        <f t="shared" si="80"/>
        <v>0</v>
      </c>
      <c r="G414" s="236">
        <f t="shared" si="62"/>
        <v>46022</v>
      </c>
      <c r="H414" s="53">
        <f>VLOOKUP( $A414, Aop!$A$2:$P$456, 4, 0)</f>
        <v>902</v>
      </c>
      <c r="I414" s="53">
        <f t="shared" si="81"/>
        <v>2025</v>
      </c>
      <c r="J414" s="53"/>
      <c r="K414" s="53"/>
      <c r="L414" s="53"/>
      <c r="M414" s="53" t="str">
        <f t="shared" ca="1" si="75"/>
        <v/>
      </c>
      <c r="N414" s="53" t="str">
        <f t="shared" ca="1" si="76"/>
        <v/>
      </c>
    </row>
    <row r="415" spans="1:14" x14ac:dyDescent="0.2">
      <c r="A415" s="106">
        <v>426</v>
      </c>
      <c r="B415" s="53" t="str">
        <f>VLOOKUP( $A415, Aop!$A$2:$P$456, 2, 0)</f>
        <v>BPK</v>
      </c>
      <c r="C415" s="53">
        <f t="shared" si="77"/>
        <v>4</v>
      </c>
      <c r="D415" s="53" t="str">
        <f t="shared" si="78"/>
        <v>01814788</v>
      </c>
      <c r="E415" s="53" t="str">
        <f t="shared" si="79"/>
        <v>4400570050004</v>
      </c>
      <c r="F415" s="53" t="b">
        <f t="shared" si="80"/>
        <v>0</v>
      </c>
      <c r="G415" s="236">
        <f t="shared" si="62"/>
        <v>46022</v>
      </c>
      <c r="H415" s="53">
        <f>VLOOKUP( $A415, Aop!$A$2:$P$456, 4, 0)</f>
        <v>903</v>
      </c>
      <c r="I415" s="53">
        <f t="shared" si="81"/>
        <v>2025</v>
      </c>
      <c r="J415" s="53"/>
      <c r="K415" s="53"/>
      <c r="L415" s="53"/>
      <c r="M415" s="53" t="str">
        <f t="shared" ca="1" si="75"/>
        <v/>
      </c>
      <c r="N415" s="53" t="str">
        <f t="shared" ca="1" si="76"/>
        <v/>
      </c>
    </row>
    <row r="416" spans="1:14" x14ac:dyDescent="0.2">
      <c r="A416" s="106">
        <v>427</v>
      </c>
      <c r="B416" s="53" t="str">
        <f>VLOOKUP( $A416, Aop!$A$2:$P$456, 2, 0)</f>
        <v>BPK</v>
      </c>
      <c r="C416" s="53">
        <f t="shared" si="77"/>
        <v>4</v>
      </c>
      <c r="D416" s="53" t="str">
        <f t="shared" si="78"/>
        <v>01814788</v>
      </c>
      <c r="E416" s="53" t="str">
        <f t="shared" si="79"/>
        <v>4400570050004</v>
      </c>
      <c r="F416" s="53" t="b">
        <f t="shared" si="80"/>
        <v>0</v>
      </c>
      <c r="G416" s="236">
        <f t="shared" si="62"/>
        <v>46022</v>
      </c>
      <c r="H416" s="53">
        <f>VLOOKUP( $A416, Aop!$A$2:$P$456, 4, 0)</f>
        <v>904</v>
      </c>
      <c r="I416" s="53">
        <f t="shared" si="81"/>
        <v>2025</v>
      </c>
      <c r="J416" s="53"/>
      <c r="K416" s="53"/>
      <c r="L416" s="53"/>
      <c r="M416" s="53">
        <f t="shared" ref="M416:M422" ca="1" si="82">IF( VLOOKUP( $H416, INDIRECT( "Lookup_" &amp; $B416), IF( LEFT( $B416, 2) = "BS", S$2, S$1), 0) = "", "", VLOOKUP( $H416, INDIRECT( "Lookup_" &amp; $B416), IF( LEFT( $B416, 2) = "BS", S$2, S$1), 0))</f>
        <v>15795899</v>
      </c>
      <c r="N416" s="53">
        <f t="shared" ref="N416:N422" ca="1" si="83">IF( VLOOKUP( $H416, INDIRECT( "Lookup_" &amp; $B416), IF( LEFT( $B416, 2) = "BS", T$2, T$1), 0) = "", "", VLOOKUP( $H416, INDIRECT( "Lookup_" &amp; $B416), IF( LEFT( $B416, 2) = "BS", T$2, T$1), 0))</f>
        <v>0</v>
      </c>
    </row>
    <row r="417" spans="1:14" x14ac:dyDescent="0.2">
      <c r="A417" s="106">
        <v>428</v>
      </c>
      <c r="B417" s="53" t="str">
        <f>VLOOKUP( $A417, Aop!$A$2:$P$456, 2, 0)</f>
        <v>BPK</v>
      </c>
      <c r="C417" s="53">
        <f t="shared" si="77"/>
        <v>4</v>
      </c>
      <c r="D417" s="53" t="str">
        <f t="shared" si="78"/>
        <v>01814788</v>
      </c>
      <c r="E417" s="53" t="str">
        <f t="shared" si="79"/>
        <v>4400570050004</v>
      </c>
      <c r="F417" s="53" t="b">
        <f t="shared" si="80"/>
        <v>0</v>
      </c>
      <c r="G417" s="236">
        <f t="shared" si="62"/>
        <v>46022</v>
      </c>
      <c r="H417" s="53">
        <f>VLOOKUP( $A417, Aop!$A$2:$P$456, 4, 0)</f>
        <v>0</v>
      </c>
      <c r="I417" s="53">
        <f t="shared" si="81"/>
        <v>2025</v>
      </c>
      <c r="J417" s="53"/>
      <c r="K417" s="53"/>
      <c r="L417" s="53"/>
      <c r="M417" s="53" t="str">
        <f t="shared" ca="1" si="82"/>
        <v/>
      </c>
      <c r="N417" s="53" t="str">
        <f t="shared" ca="1" si="83"/>
        <v/>
      </c>
    </row>
    <row r="418" spans="1:14" x14ac:dyDescent="0.2">
      <c r="A418" s="106">
        <v>429</v>
      </c>
      <c r="B418" s="53" t="str">
        <f>VLOOKUP( $A418, Aop!$A$2:$P$456, 2, 0)</f>
        <v>BPK</v>
      </c>
      <c r="C418" s="53">
        <f t="shared" si="77"/>
        <v>4</v>
      </c>
      <c r="D418" s="53" t="str">
        <f t="shared" si="78"/>
        <v>01814788</v>
      </c>
      <c r="E418" s="53" t="str">
        <f t="shared" si="79"/>
        <v>4400570050004</v>
      </c>
      <c r="F418" s="53" t="b">
        <f t="shared" si="80"/>
        <v>0</v>
      </c>
      <c r="G418" s="236">
        <f t="shared" si="62"/>
        <v>46022</v>
      </c>
      <c r="H418" s="53">
        <f>VLOOKUP( $A418, Aop!$A$2:$P$456, 4, 0)</f>
        <v>905</v>
      </c>
      <c r="I418" s="53">
        <f t="shared" si="81"/>
        <v>2025</v>
      </c>
      <c r="J418" s="53"/>
      <c r="K418" s="53"/>
      <c r="L418" s="53"/>
      <c r="M418" s="53" t="str">
        <f t="shared" ca="1" si="82"/>
        <v/>
      </c>
      <c r="N418" s="53" t="str">
        <f t="shared" ca="1" si="83"/>
        <v/>
      </c>
    </row>
    <row r="419" spans="1:14" x14ac:dyDescent="0.2">
      <c r="A419" s="106">
        <v>430</v>
      </c>
      <c r="B419" s="53" t="str">
        <f>VLOOKUP( $A419, Aop!$A$2:$P$456, 2, 0)</f>
        <v>BPK</v>
      </c>
      <c r="C419" s="53">
        <f t="shared" si="77"/>
        <v>4</v>
      </c>
      <c r="D419" s="53" t="str">
        <f t="shared" si="78"/>
        <v>01814788</v>
      </c>
      <c r="E419" s="53" t="str">
        <f t="shared" si="79"/>
        <v>4400570050004</v>
      </c>
      <c r="F419" s="53" t="b">
        <f t="shared" si="80"/>
        <v>0</v>
      </c>
      <c r="G419" s="236">
        <f t="shared" si="62"/>
        <v>46022</v>
      </c>
      <c r="H419" s="53">
        <f>VLOOKUP( $A419, Aop!$A$2:$P$456, 4, 0)</f>
        <v>906</v>
      </c>
      <c r="I419" s="53">
        <f t="shared" si="81"/>
        <v>2025</v>
      </c>
      <c r="J419" s="53"/>
      <c r="K419" s="53"/>
      <c r="L419" s="53"/>
      <c r="M419" s="53" t="str">
        <f t="shared" ca="1" si="82"/>
        <v/>
      </c>
      <c r="N419" s="53" t="str">
        <f t="shared" ca="1" si="83"/>
        <v/>
      </c>
    </row>
    <row r="420" spans="1:14" x14ac:dyDescent="0.2">
      <c r="A420" s="106">
        <v>431</v>
      </c>
      <c r="B420" s="53" t="str">
        <f>VLOOKUP( $A420, Aop!$A$2:$P$456, 2, 0)</f>
        <v>BPK</v>
      </c>
      <c r="C420" s="53">
        <f t="shared" si="77"/>
        <v>4</v>
      </c>
      <c r="D420" s="53" t="str">
        <f t="shared" si="78"/>
        <v>01814788</v>
      </c>
      <c r="E420" s="53" t="str">
        <f t="shared" si="79"/>
        <v>4400570050004</v>
      </c>
      <c r="F420" s="53" t="b">
        <f t="shared" si="80"/>
        <v>0</v>
      </c>
      <c r="G420" s="236">
        <f t="shared" si="62"/>
        <v>46022</v>
      </c>
      <c r="H420" s="53">
        <f>VLOOKUP( $A420, Aop!$A$2:$P$456, 4, 0)</f>
        <v>907</v>
      </c>
      <c r="I420" s="53">
        <f t="shared" si="81"/>
        <v>2025</v>
      </c>
      <c r="J420" s="53"/>
      <c r="K420" s="53"/>
      <c r="L420" s="53"/>
      <c r="M420" s="53">
        <f t="shared" ca="1" si="82"/>
        <v>0</v>
      </c>
      <c r="N420" s="53">
        <f t="shared" ca="1" si="83"/>
        <v>0</v>
      </c>
    </row>
    <row r="421" spans="1:14" x14ac:dyDescent="0.2">
      <c r="A421" s="106">
        <v>432</v>
      </c>
      <c r="B421" s="53" t="str">
        <f>VLOOKUP( $A421, Aop!$A$2:$P$456, 2, 0)</f>
        <v>BPK</v>
      </c>
      <c r="C421" s="53">
        <f t="shared" si="77"/>
        <v>4</v>
      </c>
      <c r="D421" s="53" t="str">
        <f t="shared" si="78"/>
        <v>01814788</v>
      </c>
      <c r="E421" s="53" t="str">
        <f t="shared" si="79"/>
        <v>4400570050004</v>
      </c>
      <c r="F421" s="53" t="b">
        <f t="shared" si="80"/>
        <v>0</v>
      </c>
      <c r="G421" s="236">
        <f t="shared" si="62"/>
        <v>46022</v>
      </c>
      <c r="H421" s="53">
        <f>VLOOKUP( $A421, Aop!$A$2:$P$456, 4, 0)</f>
        <v>0</v>
      </c>
      <c r="I421" s="53">
        <f t="shared" si="81"/>
        <v>2025</v>
      </c>
      <c r="J421" s="53"/>
      <c r="K421" s="53"/>
      <c r="L421" s="53"/>
      <c r="M421" s="53" t="str">
        <f t="shared" ca="1" si="82"/>
        <v/>
      </c>
      <c r="N421" s="53" t="str">
        <f t="shared" ca="1" si="83"/>
        <v/>
      </c>
    </row>
    <row r="422" spans="1:14" x14ac:dyDescent="0.2">
      <c r="A422" s="106">
        <v>433</v>
      </c>
      <c r="B422" s="53" t="str">
        <f>VLOOKUP( $A422, Aop!$A$2:$P$456, 2, 0)</f>
        <v>BPK</v>
      </c>
      <c r="C422" s="53">
        <f t="shared" si="77"/>
        <v>4</v>
      </c>
      <c r="D422" s="53" t="str">
        <f t="shared" si="78"/>
        <v>01814788</v>
      </c>
      <c r="E422" s="53" t="str">
        <f t="shared" si="79"/>
        <v>4400570050004</v>
      </c>
      <c r="F422" s="53" t="b">
        <f t="shared" si="80"/>
        <v>0</v>
      </c>
      <c r="G422" s="236">
        <f t="shared" si="62"/>
        <v>46022</v>
      </c>
      <c r="H422" s="53">
        <f>VLOOKUP( $A422, Aop!$A$2:$P$456, 4, 0)</f>
        <v>908</v>
      </c>
      <c r="I422" s="53">
        <f t="shared" si="81"/>
        <v>2025</v>
      </c>
      <c r="J422" s="53"/>
      <c r="K422" s="53"/>
      <c r="L422" s="53"/>
      <c r="M422" s="53" t="str">
        <f t="shared" ca="1" si="82"/>
        <v/>
      </c>
      <c r="N422" s="53" t="str">
        <f t="shared" ca="1" si="83"/>
        <v/>
      </c>
    </row>
    <row r="423" spans="1:14" x14ac:dyDescent="0.2">
      <c r="A423" s="106">
        <v>434</v>
      </c>
      <c r="B423" s="53" t="str">
        <f>VLOOKUP( $A423, Aop!$A$2:$P$456, 2, 0)</f>
        <v>BPK</v>
      </c>
      <c r="C423" s="53">
        <f t="shared" si="77"/>
        <v>4</v>
      </c>
      <c r="D423" s="53" t="str">
        <f t="shared" si="78"/>
        <v>01814788</v>
      </c>
      <c r="E423" s="53" t="str">
        <f t="shared" si="79"/>
        <v>4400570050004</v>
      </c>
      <c r="F423" s="53" t="b">
        <f t="shared" si="80"/>
        <v>0</v>
      </c>
      <c r="G423" s="236">
        <f t="shared" si="62"/>
        <v>46022</v>
      </c>
      <c r="H423" s="53">
        <f>VLOOKUP( $A423, Aop!$A$2:$P$456, 4, 0)</f>
        <v>909</v>
      </c>
      <c r="I423" s="53">
        <f t="shared" si="81"/>
        <v>2025</v>
      </c>
      <c r="J423" s="53"/>
      <c r="K423" s="53"/>
      <c r="L423" s="53"/>
      <c r="M423" s="53" t="str">
        <f t="shared" ref="M423:M444" ca="1" si="84">IF( VLOOKUP( $H423, INDIRECT( "Lookup_" &amp; $B423), IF( LEFT( $B423, 2) = "BS", S$2, S$1), 0) = "", "", VLOOKUP( $H423, INDIRECT( "Lookup_" &amp; $B423), IF( LEFT( $B423, 2) = "BS", S$2, S$1), 0))</f>
        <v/>
      </c>
      <c r="N423" s="53" t="str">
        <f t="shared" ref="N423:N444" ca="1" si="85">IF( VLOOKUP( $H423, INDIRECT( "Lookup_" &amp; $B423), IF( LEFT( $B423, 2) = "BS", T$2, T$1), 0) = "", "", VLOOKUP( $H423, INDIRECT( "Lookup_" &amp; $B423), IF( LEFT( $B423, 2) = "BS", T$2, T$1), 0))</f>
        <v/>
      </c>
    </row>
    <row r="424" spans="1:14" x14ac:dyDescent="0.2">
      <c r="A424" s="106">
        <v>435</v>
      </c>
      <c r="B424" s="53" t="str">
        <f>VLOOKUP( $A424, Aop!$A$2:$P$456, 2, 0)</f>
        <v>BPK</v>
      </c>
      <c r="C424" s="53">
        <f t="shared" si="77"/>
        <v>4</v>
      </c>
      <c r="D424" s="53" t="str">
        <f t="shared" si="78"/>
        <v>01814788</v>
      </c>
      <c r="E424" s="53" t="str">
        <f t="shared" si="79"/>
        <v>4400570050004</v>
      </c>
      <c r="F424" s="53" t="b">
        <f t="shared" si="80"/>
        <v>0</v>
      </c>
      <c r="G424" s="236">
        <f t="shared" si="62"/>
        <v>46022</v>
      </c>
      <c r="H424" s="53">
        <f>VLOOKUP( $A424, Aop!$A$2:$P$456, 4, 0)</f>
        <v>910</v>
      </c>
      <c r="I424" s="53">
        <f t="shared" si="81"/>
        <v>2025</v>
      </c>
      <c r="J424" s="53"/>
      <c r="K424" s="53"/>
      <c r="L424" s="53"/>
      <c r="M424" s="53" t="str">
        <f t="shared" ca="1" si="84"/>
        <v/>
      </c>
      <c r="N424" s="53" t="str">
        <f t="shared" ca="1" si="85"/>
        <v/>
      </c>
    </row>
    <row r="425" spans="1:14" x14ac:dyDescent="0.2">
      <c r="A425" s="106">
        <v>436</v>
      </c>
      <c r="B425" s="53" t="str">
        <f>VLOOKUP( $A425, Aop!$A$2:$P$456, 2, 0)</f>
        <v>BPK</v>
      </c>
      <c r="C425" s="53">
        <f t="shared" si="77"/>
        <v>4</v>
      </c>
      <c r="D425" s="53" t="str">
        <f t="shared" si="78"/>
        <v>01814788</v>
      </c>
      <c r="E425" s="53" t="str">
        <f t="shared" si="79"/>
        <v>4400570050004</v>
      </c>
      <c r="F425" s="53" t="b">
        <f t="shared" si="80"/>
        <v>0</v>
      </c>
      <c r="G425" s="236">
        <f t="shared" si="62"/>
        <v>46022</v>
      </c>
      <c r="H425" s="53">
        <f>VLOOKUP( $A425, Aop!$A$2:$P$456, 4, 0)</f>
        <v>911</v>
      </c>
      <c r="I425" s="53">
        <f t="shared" si="81"/>
        <v>2025</v>
      </c>
      <c r="J425" s="53"/>
      <c r="K425" s="53"/>
      <c r="L425" s="53"/>
      <c r="M425" s="53" t="str">
        <f t="shared" ca="1" si="84"/>
        <v/>
      </c>
      <c r="N425" s="53" t="str">
        <f t="shared" ca="1" si="85"/>
        <v/>
      </c>
    </row>
    <row r="426" spans="1:14" x14ac:dyDescent="0.2">
      <c r="A426" s="106">
        <v>437</v>
      </c>
      <c r="B426" s="53" t="str">
        <f>VLOOKUP( $A426, Aop!$A$2:$P$456, 2, 0)</f>
        <v>BPK</v>
      </c>
      <c r="C426" s="53">
        <f t="shared" si="77"/>
        <v>4</v>
      </c>
      <c r="D426" s="53" t="str">
        <f t="shared" si="78"/>
        <v>01814788</v>
      </c>
      <c r="E426" s="53" t="str">
        <f t="shared" si="79"/>
        <v>4400570050004</v>
      </c>
      <c r="F426" s="53" t="b">
        <f t="shared" si="80"/>
        <v>0</v>
      </c>
      <c r="G426" s="236">
        <f t="shared" si="62"/>
        <v>46022</v>
      </c>
      <c r="H426" s="53">
        <f>VLOOKUP( $A426, Aop!$A$2:$P$456, 4, 0)</f>
        <v>912</v>
      </c>
      <c r="I426" s="53">
        <f t="shared" si="81"/>
        <v>2025</v>
      </c>
      <c r="J426" s="53"/>
      <c r="K426" s="53"/>
      <c r="L426" s="53"/>
      <c r="M426" s="53" t="str">
        <f t="shared" ca="1" si="84"/>
        <v/>
      </c>
      <c r="N426" s="53" t="str">
        <f t="shared" ca="1" si="85"/>
        <v/>
      </c>
    </row>
    <row r="427" spans="1:14" x14ac:dyDescent="0.2">
      <c r="A427" s="106">
        <v>438</v>
      </c>
      <c r="B427" s="53" t="str">
        <f>VLOOKUP( $A427, Aop!$A$2:$P$456, 2, 0)</f>
        <v>BPK</v>
      </c>
      <c r="C427" s="53">
        <f t="shared" si="77"/>
        <v>4</v>
      </c>
      <c r="D427" s="53" t="str">
        <f t="shared" si="78"/>
        <v>01814788</v>
      </c>
      <c r="E427" s="53" t="str">
        <f t="shared" si="79"/>
        <v>4400570050004</v>
      </c>
      <c r="F427" s="53" t="b">
        <f t="shared" si="80"/>
        <v>0</v>
      </c>
      <c r="G427" s="236">
        <f t="shared" si="62"/>
        <v>46022</v>
      </c>
      <c r="H427" s="53">
        <f>VLOOKUP( $A427, Aop!$A$2:$P$456, 4, 0)</f>
        <v>0</v>
      </c>
      <c r="I427" s="53">
        <f t="shared" si="81"/>
        <v>2025</v>
      </c>
      <c r="J427" s="53"/>
      <c r="K427" s="53"/>
      <c r="L427" s="53"/>
      <c r="M427" s="53" t="str">
        <f t="shared" ca="1" si="84"/>
        <v/>
      </c>
      <c r="N427" s="53" t="str">
        <f t="shared" ca="1" si="85"/>
        <v/>
      </c>
    </row>
    <row r="428" spans="1:14" x14ac:dyDescent="0.2">
      <c r="A428" s="106">
        <v>439</v>
      </c>
      <c r="B428" s="53" t="str">
        <f>VLOOKUP( $A428, Aop!$A$2:$P$456, 2, 0)</f>
        <v>BPK</v>
      </c>
      <c r="C428" s="53">
        <f t="shared" si="77"/>
        <v>4</v>
      </c>
      <c r="D428" s="53" t="str">
        <f t="shared" si="78"/>
        <v>01814788</v>
      </c>
      <c r="E428" s="53" t="str">
        <f t="shared" si="79"/>
        <v>4400570050004</v>
      </c>
      <c r="F428" s="53" t="b">
        <f t="shared" si="80"/>
        <v>0</v>
      </c>
      <c r="G428" s="236">
        <f t="shared" ref="G428:G444" si="86">Datum_Broj</f>
        <v>46022</v>
      </c>
      <c r="H428" s="53">
        <f>VLOOKUP( $A428, Aop!$A$2:$P$456, 4, 0)</f>
        <v>913</v>
      </c>
      <c r="I428" s="53">
        <f t="shared" si="81"/>
        <v>2025</v>
      </c>
      <c r="J428" s="53"/>
      <c r="K428" s="53"/>
      <c r="L428" s="53"/>
      <c r="M428" s="53">
        <f t="shared" ca="1" si="84"/>
        <v>15795899</v>
      </c>
      <c r="N428" s="53">
        <f t="shared" ca="1" si="85"/>
        <v>0</v>
      </c>
    </row>
    <row r="429" spans="1:14" x14ac:dyDescent="0.2">
      <c r="A429" s="106">
        <v>440</v>
      </c>
      <c r="B429" s="53" t="str">
        <f>VLOOKUP( $A429, Aop!$A$2:$P$456, 2, 0)</f>
        <v>BPK</v>
      </c>
      <c r="C429" s="53">
        <f t="shared" si="77"/>
        <v>4</v>
      </c>
      <c r="D429" s="53" t="str">
        <f t="shared" si="78"/>
        <v>01814788</v>
      </c>
      <c r="E429" s="53" t="str">
        <f t="shared" si="79"/>
        <v>4400570050004</v>
      </c>
      <c r="F429" s="53" t="b">
        <f t="shared" si="80"/>
        <v>0</v>
      </c>
      <c r="G429" s="236">
        <f t="shared" si="86"/>
        <v>46022</v>
      </c>
      <c r="H429" s="53">
        <f>VLOOKUP( $A429, Aop!$A$2:$P$456, 4, 0)</f>
        <v>0</v>
      </c>
      <c r="I429" s="53">
        <f t="shared" si="81"/>
        <v>2025</v>
      </c>
      <c r="J429" s="53"/>
      <c r="K429" s="53"/>
      <c r="L429" s="53"/>
      <c r="M429" s="53" t="str">
        <f t="shared" ca="1" si="84"/>
        <v/>
      </c>
      <c r="N429" s="53" t="str">
        <f t="shared" ca="1" si="85"/>
        <v/>
      </c>
    </row>
    <row r="430" spans="1:14" x14ac:dyDescent="0.2">
      <c r="A430" s="106">
        <v>441</v>
      </c>
      <c r="B430" s="53" t="str">
        <f>VLOOKUP( $A430, Aop!$A$2:$P$456, 2, 0)</f>
        <v>BPK</v>
      </c>
      <c r="C430" s="53">
        <f t="shared" si="77"/>
        <v>4</v>
      </c>
      <c r="D430" s="53" t="str">
        <f t="shared" si="78"/>
        <v>01814788</v>
      </c>
      <c r="E430" s="53" t="str">
        <f t="shared" si="79"/>
        <v>4400570050004</v>
      </c>
      <c r="F430" s="53" t="b">
        <f t="shared" si="80"/>
        <v>0</v>
      </c>
      <c r="G430" s="236">
        <f t="shared" si="86"/>
        <v>46022</v>
      </c>
      <c r="H430" s="53">
        <f>VLOOKUP( $A430, Aop!$A$2:$P$456, 4, 0)</f>
        <v>914</v>
      </c>
      <c r="I430" s="53">
        <f t="shared" si="81"/>
        <v>2025</v>
      </c>
      <c r="J430" s="53"/>
      <c r="K430" s="53"/>
      <c r="L430" s="53"/>
      <c r="M430" s="53" t="str">
        <f t="shared" ca="1" si="84"/>
        <v/>
      </c>
      <c r="N430" s="53" t="str">
        <f t="shared" ca="1" si="85"/>
        <v/>
      </c>
    </row>
    <row r="431" spans="1:14" x14ac:dyDescent="0.2">
      <c r="A431" s="106">
        <v>442</v>
      </c>
      <c r="B431" s="53" t="str">
        <f>VLOOKUP( $A431, Aop!$A$2:$P$456, 2, 0)</f>
        <v>BPK</v>
      </c>
      <c r="C431" s="53">
        <f t="shared" si="77"/>
        <v>4</v>
      </c>
      <c r="D431" s="53" t="str">
        <f t="shared" si="78"/>
        <v>01814788</v>
      </c>
      <c r="E431" s="53" t="str">
        <f t="shared" si="79"/>
        <v>4400570050004</v>
      </c>
      <c r="F431" s="53" t="b">
        <f t="shared" si="80"/>
        <v>0</v>
      </c>
      <c r="G431" s="236">
        <f t="shared" si="86"/>
        <v>46022</v>
      </c>
      <c r="H431" s="53">
        <f>VLOOKUP( $A431, Aop!$A$2:$P$456, 4, 0)</f>
        <v>915</v>
      </c>
      <c r="I431" s="53">
        <f t="shared" si="81"/>
        <v>2025</v>
      </c>
      <c r="J431" s="53"/>
      <c r="K431" s="53"/>
      <c r="L431" s="53"/>
      <c r="M431" s="53" t="str">
        <f t="shared" ca="1" si="84"/>
        <v/>
      </c>
      <c r="N431" s="53" t="str">
        <f t="shared" ca="1" si="85"/>
        <v/>
      </c>
    </row>
    <row r="432" spans="1:14" x14ac:dyDescent="0.2">
      <c r="A432" s="106">
        <v>443</v>
      </c>
      <c r="B432" s="53" t="str">
        <f>VLOOKUP( $A432, Aop!$A$2:$P$456, 2, 0)</f>
        <v>BPK</v>
      </c>
      <c r="C432" s="53">
        <f t="shared" si="77"/>
        <v>4</v>
      </c>
      <c r="D432" s="53" t="str">
        <f t="shared" si="78"/>
        <v>01814788</v>
      </c>
      <c r="E432" s="53" t="str">
        <f t="shared" si="79"/>
        <v>4400570050004</v>
      </c>
      <c r="F432" s="53" t="b">
        <f t="shared" si="80"/>
        <v>0</v>
      </c>
      <c r="G432" s="236">
        <f t="shared" si="86"/>
        <v>46022</v>
      </c>
      <c r="H432" s="53">
        <f>VLOOKUP( $A432, Aop!$A$2:$P$456, 4, 0)</f>
        <v>916</v>
      </c>
      <c r="I432" s="53">
        <f t="shared" si="81"/>
        <v>2025</v>
      </c>
      <c r="J432" s="53"/>
      <c r="K432" s="53"/>
      <c r="L432" s="53"/>
      <c r="M432" s="53">
        <f t="shared" ca="1" si="84"/>
        <v>15795899</v>
      </c>
      <c r="N432" s="53">
        <f t="shared" ca="1" si="85"/>
        <v>0</v>
      </c>
    </row>
    <row r="433" spans="1:14" x14ac:dyDescent="0.2">
      <c r="A433" s="106">
        <v>444</v>
      </c>
      <c r="B433" s="53" t="str">
        <f>VLOOKUP( $A433, Aop!$A$2:$P$456, 2, 0)</f>
        <v>BPK</v>
      </c>
      <c r="C433" s="53">
        <f t="shared" si="77"/>
        <v>4</v>
      </c>
      <c r="D433" s="53" t="str">
        <f t="shared" si="78"/>
        <v>01814788</v>
      </c>
      <c r="E433" s="53" t="str">
        <f t="shared" si="79"/>
        <v>4400570050004</v>
      </c>
      <c r="F433" s="53" t="b">
        <f t="shared" si="80"/>
        <v>0</v>
      </c>
      <c r="G433" s="236">
        <f t="shared" si="86"/>
        <v>46022</v>
      </c>
      <c r="H433" s="53">
        <f>VLOOKUP( $A433, Aop!$A$2:$P$456, 4, 0)</f>
        <v>0</v>
      </c>
      <c r="I433" s="53">
        <f t="shared" si="81"/>
        <v>2025</v>
      </c>
      <c r="J433" s="53"/>
      <c r="K433" s="53"/>
      <c r="L433" s="53"/>
      <c r="M433" s="53" t="str">
        <f t="shared" ca="1" si="84"/>
        <v/>
      </c>
      <c r="N433" s="53" t="str">
        <f t="shared" ca="1" si="85"/>
        <v/>
      </c>
    </row>
    <row r="434" spans="1:14" x14ac:dyDescent="0.2">
      <c r="A434" s="106">
        <v>445</v>
      </c>
      <c r="B434" s="53" t="str">
        <f>VLOOKUP( $A434, Aop!$A$2:$P$456, 2, 0)</f>
        <v>BPK</v>
      </c>
      <c r="C434" s="53">
        <f t="shared" si="77"/>
        <v>4</v>
      </c>
      <c r="D434" s="53" t="str">
        <f t="shared" si="78"/>
        <v>01814788</v>
      </c>
      <c r="E434" s="53" t="str">
        <f t="shared" si="79"/>
        <v>4400570050004</v>
      </c>
      <c r="F434" s="53" t="b">
        <f t="shared" si="80"/>
        <v>0</v>
      </c>
      <c r="G434" s="236">
        <f t="shared" si="86"/>
        <v>46022</v>
      </c>
      <c r="H434" s="53">
        <f>VLOOKUP( $A434, Aop!$A$2:$P$456, 4, 0)</f>
        <v>917</v>
      </c>
      <c r="I434" s="53">
        <f t="shared" si="81"/>
        <v>2025</v>
      </c>
      <c r="J434" s="53"/>
      <c r="K434" s="53"/>
      <c r="L434" s="53"/>
      <c r="M434" s="53" t="str">
        <f t="shared" ca="1" si="84"/>
        <v/>
      </c>
      <c r="N434" s="53" t="str">
        <f t="shared" ca="1" si="85"/>
        <v/>
      </c>
    </row>
    <row r="435" spans="1:14" x14ac:dyDescent="0.2">
      <c r="A435" s="106">
        <v>446</v>
      </c>
      <c r="B435" s="53" t="str">
        <f>VLOOKUP( $A435, Aop!$A$2:$P$456, 2, 0)</f>
        <v>BPK</v>
      </c>
      <c r="C435" s="53">
        <f t="shared" si="77"/>
        <v>4</v>
      </c>
      <c r="D435" s="53" t="str">
        <f t="shared" si="78"/>
        <v>01814788</v>
      </c>
      <c r="E435" s="53" t="str">
        <f t="shared" si="79"/>
        <v>4400570050004</v>
      </c>
      <c r="F435" s="53" t="b">
        <f t="shared" si="80"/>
        <v>0</v>
      </c>
      <c r="G435" s="236">
        <f t="shared" si="86"/>
        <v>46022</v>
      </c>
      <c r="H435" s="53">
        <f>VLOOKUP( $A435, Aop!$A$2:$P$456, 4, 0)</f>
        <v>918</v>
      </c>
      <c r="I435" s="53">
        <f t="shared" si="81"/>
        <v>2025</v>
      </c>
      <c r="J435" s="53"/>
      <c r="K435" s="53"/>
      <c r="L435" s="53"/>
      <c r="M435" s="53" t="str">
        <f t="shared" ca="1" si="84"/>
        <v/>
      </c>
      <c r="N435" s="53" t="str">
        <f t="shared" ca="1" si="85"/>
        <v/>
      </c>
    </row>
    <row r="436" spans="1:14" x14ac:dyDescent="0.2">
      <c r="A436" s="106">
        <v>447</v>
      </c>
      <c r="B436" s="53" t="str">
        <f>VLOOKUP( $A436, Aop!$A$2:$P$456, 2, 0)</f>
        <v>BPK</v>
      </c>
      <c r="C436" s="53">
        <f t="shared" si="77"/>
        <v>4</v>
      </c>
      <c r="D436" s="53" t="str">
        <f t="shared" si="78"/>
        <v>01814788</v>
      </c>
      <c r="E436" s="53" t="str">
        <f t="shared" si="79"/>
        <v>4400570050004</v>
      </c>
      <c r="F436" s="53" t="b">
        <f t="shared" si="80"/>
        <v>0</v>
      </c>
      <c r="G436" s="236">
        <f t="shared" si="86"/>
        <v>46022</v>
      </c>
      <c r="H436" s="53">
        <f>VLOOKUP( $A436, Aop!$A$2:$P$456, 4, 0)</f>
        <v>919</v>
      </c>
      <c r="I436" s="53">
        <f t="shared" si="81"/>
        <v>2025</v>
      </c>
      <c r="J436" s="53"/>
      <c r="K436" s="53"/>
      <c r="L436" s="53"/>
      <c r="M436" s="53">
        <f t="shared" ca="1" si="84"/>
        <v>0</v>
      </c>
      <c r="N436" s="53">
        <f t="shared" ca="1" si="85"/>
        <v>0</v>
      </c>
    </row>
    <row r="437" spans="1:14" x14ac:dyDescent="0.2">
      <c r="A437" s="106">
        <v>448</v>
      </c>
      <c r="B437" s="53" t="str">
        <f>VLOOKUP( $A437, Aop!$A$2:$P$456, 2, 0)</f>
        <v>BPK</v>
      </c>
      <c r="C437" s="53">
        <f t="shared" si="77"/>
        <v>4</v>
      </c>
      <c r="D437" s="53" t="str">
        <f t="shared" si="78"/>
        <v>01814788</v>
      </c>
      <c r="E437" s="53" t="str">
        <f t="shared" si="79"/>
        <v>4400570050004</v>
      </c>
      <c r="F437" s="53" t="b">
        <f t="shared" si="80"/>
        <v>0</v>
      </c>
      <c r="G437" s="236">
        <f t="shared" si="86"/>
        <v>46022</v>
      </c>
      <c r="H437" s="53">
        <f>VLOOKUP( $A437, Aop!$A$2:$P$456, 4, 0)</f>
        <v>0</v>
      </c>
      <c r="I437" s="53">
        <f t="shared" si="81"/>
        <v>2025</v>
      </c>
      <c r="J437" s="53"/>
      <c r="K437" s="53"/>
      <c r="L437" s="53"/>
      <c r="M437" s="53" t="str">
        <f t="shared" ca="1" si="84"/>
        <v/>
      </c>
      <c r="N437" s="53" t="str">
        <f t="shared" ca="1" si="85"/>
        <v/>
      </c>
    </row>
    <row r="438" spans="1:14" x14ac:dyDescent="0.2">
      <c r="A438" s="106">
        <v>449</v>
      </c>
      <c r="B438" s="53" t="str">
        <f>VLOOKUP( $A438, Aop!$A$2:$P$456, 2, 0)</f>
        <v>BPK</v>
      </c>
      <c r="C438" s="53">
        <f t="shared" si="77"/>
        <v>4</v>
      </c>
      <c r="D438" s="53" t="str">
        <f t="shared" si="78"/>
        <v>01814788</v>
      </c>
      <c r="E438" s="53" t="str">
        <f t="shared" si="79"/>
        <v>4400570050004</v>
      </c>
      <c r="F438" s="53" t="b">
        <f t="shared" si="80"/>
        <v>0</v>
      </c>
      <c r="G438" s="236">
        <f t="shared" si="86"/>
        <v>46022</v>
      </c>
      <c r="H438" s="53">
        <f>VLOOKUP( $A438, Aop!$A$2:$P$456, 4, 0)</f>
        <v>920</v>
      </c>
      <c r="I438" s="53">
        <f t="shared" si="81"/>
        <v>2025</v>
      </c>
      <c r="J438" s="53"/>
      <c r="K438" s="53"/>
      <c r="L438" s="53"/>
      <c r="M438" s="53" t="str">
        <f t="shared" ca="1" si="84"/>
        <v/>
      </c>
      <c r="N438" s="53" t="str">
        <f t="shared" ca="1" si="85"/>
        <v/>
      </c>
    </row>
    <row r="439" spans="1:14" x14ac:dyDescent="0.2">
      <c r="A439" s="106">
        <v>450</v>
      </c>
      <c r="B439" s="53" t="str">
        <f>VLOOKUP( $A439, Aop!$A$2:$P$456, 2, 0)</f>
        <v>BPK</v>
      </c>
      <c r="C439" s="53">
        <f t="shared" si="77"/>
        <v>4</v>
      </c>
      <c r="D439" s="53" t="str">
        <f t="shared" si="78"/>
        <v>01814788</v>
      </c>
      <c r="E439" s="53" t="str">
        <f t="shared" si="79"/>
        <v>4400570050004</v>
      </c>
      <c r="F439" s="53" t="b">
        <f t="shared" si="80"/>
        <v>0</v>
      </c>
      <c r="G439" s="236">
        <f t="shared" si="86"/>
        <v>46022</v>
      </c>
      <c r="H439" s="53">
        <f>VLOOKUP( $A439, Aop!$A$2:$P$456, 4, 0)</f>
        <v>921</v>
      </c>
      <c r="I439" s="53">
        <f t="shared" si="81"/>
        <v>2025</v>
      </c>
      <c r="J439" s="53"/>
      <c r="K439" s="53"/>
      <c r="L439" s="53"/>
      <c r="M439" s="53" t="str">
        <f t="shared" ca="1" si="84"/>
        <v/>
      </c>
      <c r="N439" s="53" t="str">
        <f t="shared" ca="1" si="85"/>
        <v/>
      </c>
    </row>
    <row r="440" spans="1:14" x14ac:dyDescent="0.2">
      <c r="A440" s="106">
        <v>451</v>
      </c>
      <c r="B440" s="53" t="str">
        <f>VLOOKUP( $A440, Aop!$A$2:$P$456, 2, 0)</f>
        <v>BPK</v>
      </c>
      <c r="C440" s="53">
        <f t="shared" si="77"/>
        <v>4</v>
      </c>
      <c r="D440" s="53" t="str">
        <f t="shared" si="78"/>
        <v>01814788</v>
      </c>
      <c r="E440" s="53" t="str">
        <f t="shared" si="79"/>
        <v>4400570050004</v>
      </c>
      <c r="F440" s="53" t="b">
        <f t="shared" si="80"/>
        <v>0</v>
      </c>
      <c r="G440" s="236">
        <f t="shared" si="86"/>
        <v>46022</v>
      </c>
      <c r="H440" s="53">
        <f>VLOOKUP( $A440, Aop!$A$2:$P$456, 4, 0)</f>
        <v>922</v>
      </c>
      <c r="I440" s="53">
        <f t="shared" si="81"/>
        <v>2025</v>
      </c>
      <c r="J440" s="53"/>
      <c r="K440" s="53"/>
      <c r="L440" s="53"/>
      <c r="M440" s="53" t="str">
        <f t="shared" ca="1" si="84"/>
        <v/>
      </c>
      <c r="N440" s="53" t="str">
        <f t="shared" ca="1" si="85"/>
        <v/>
      </c>
    </row>
    <row r="441" spans="1:14" x14ac:dyDescent="0.2">
      <c r="A441" s="106">
        <v>452</v>
      </c>
      <c r="B441" s="53" t="str">
        <f>VLOOKUP( $A441, Aop!$A$2:$P$456, 2, 0)</f>
        <v>BPK</v>
      </c>
      <c r="C441" s="53">
        <f t="shared" si="77"/>
        <v>4</v>
      </c>
      <c r="D441" s="53" t="str">
        <f t="shared" si="78"/>
        <v>01814788</v>
      </c>
      <c r="E441" s="53" t="str">
        <f t="shared" si="79"/>
        <v>4400570050004</v>
      </c>
      <c r="F441" s="53" t="b">
        <f t="shared" si="80"/>
        <v>0</v>
      </c>
      <c r="G441" s="236">
        <f t="shared" si="86"/>
        <v>46022</v>
      </c>
      <c r="H441" s="53">
        <f>VLOOKUP( $A441, Aop!$A$2:$P$456, 4, 0)</f>
        <v>923</v>
      </c>
      <c r="I441" s="53">
        <f t="shared" si="81"/>
        <v>2025</v>
      </c>
      <c r="J441" s="53"/>
      <c r="K441" s="53"/>
      <c r="L441" s="53"/>
      <c r="M441" s="53" t="str">
        <f t="shared" ca="1" si="84"/>
        <v/>
      </c>
      <c r="N441" s="53" t="str">
        <f t="shared" ca="1" si="85"/>
        <v/>
      </c>
    </row>
    <row r="442" spans="1:14" x14ac:dyDescent="0.2">
      <c r="A442" s="106">
        <v>453</v>
      </c>
      <c r="B442" s="53" t="str">
        <f>VLOOKUP( $A442, Aop!$A$2:$P$456, 2, 0)</f>
        <v>BPK</v>
      </c>
      <c r="C442" s="53">
        <f t="shared" si="77"/>
        <v>4</v>
      </c>
      <c r="D442" s="53" t="str">
        <f t="shared" si="78"/>
        <v>01814788</v>
      </c>
      <c r="E442" s="53" t="str">
        <f t="shared" si="79"/>
        <v>4400570050004</v>
      </c>
      <c r="F442" s="53" t="b">
        <f t="shared" si="80"/>
        <v>0</v>
      </c>
      <c r="G442" s="236">
        <f t="shared" si="86"/>
        <v>46022</v>
      </c>
      <c r="H442" s="53">
        <f>VLOOKUP( $A442, Aop!$A$2:$P$456, 4, 0)</f>
        <v>924</v>
      </c>
      <c r="I442" s="53">
        <f t="shared" si="81"/>
        <v>2025</v>
      </c>
      <c r="J442" s="53"/>
      <c r="K442" s="53"/>
      <c r="L442" s="53"/>
      <c r="M442" s="53" t="str">
        <f t="shared" ca="1" si="84"/>
        <v/>
      </c>
      <c r="N442" s="53" t="str">
        <f t="shared" ca="1" si="85"/>
        <v/>
      </c>
    </row>
    <row r="443" spans="1:14" x14ac:dyDescent="0.2">
      <c r="A443" s="106">
        <v>454</v>
      </c>
      <c r="B443" s="53" t="str">
        <f>VLOOKUP( $A443, Aop!$A$2:$P$456, 2, 0)</f>
        <v>BPK</v>
      </c>
      <c r="C443" s="53">
        <f t="shared" si="77"/>
        <v>4</v>
      </c>
      <c r="D443" s="53" t="str">
        <f t="shared" si="78"/>
        <v>01814788</v>
      </c>
      <c r="E443" s="53" t="str">
        <f t="shared" si="79"/>
        <v>4400570050004</v>
      </c>
      <c r="F443" s="53" t="b">
        <f t="shared" si="80"/>
        <v>0</v>
      </c>
      <c r="G443" s="236">
        <f t="shared" si="86"/>
        <v>46022</v>
      </c>
      <c r="H443" s="53">
        <f>VLOOKUP( $A443, Aop!$A$2:$P$456, 4, 0)</f>
        <v>0</v>
      </c>
      <c r="I443" s="53">
        <f t="shared" si="81"/>
        <v>2025</v>
      </c>
      <c r="J443" s="53"/>
      <c r="K443" s="53"/>
      <c r="L443" s="53"/>
      <c r="M443" s="53" t="str">
        <f t="shared" ca="1" si="84"/>
        <v/>
      </c>
      <c r="N443" s="53" t="str">
        <f t="shared" ca="1" si="85"/>
        <v/>
      </c>
    </row>
    <row r="444" spans="1:14" x14ac:dyDescent="0.2">
      <c r="A444" s="106">
        <v>455</v>
      </c>
      <c r="B444" s="53" t="str">
        <f>VLOOKUP( $A444, Aop!$A$2:$P$456, 2, 0)</f>
        <v>BPK</v>
      </c>
      <c r="C444" s="53">
        <f t="shared" si="77"/>
        <v>4</v>
      </c>
      <c r="D444" s="53" t="str">
        <f t="shared" si="78"/>
        <v>01814788</v>
      </c>
      <c r="E444" s="53" t="str">
        <f t="shared" si="79"/>
        <v>4400570050004</v>
      </c>
      <c r="F444" s="53" t="b">
        <f t="shared" si="80"/>
        <v>0</v>
      </c>
      <c r="G444" s="236">
        <f t="shared" si="86"/>
        <v>46022</v>
      </c>
      <c r="H444" s="53">
        <f>VLOOKUP( $A444, Aop!$A$2:$P$456, 4, 0)</f>
        <v>925</v>
      </c>
      <c r="I444" s="53">
        <f t="shared" si="81"/>
        <v>2025</v>
      </c>
      <c r="J444" s="53"/>
      <c r="K444" s="53"/>
      <c r="L444" s="53"/>
      <c r="M444" s="53">
        <f t="shared" ca="1" si="84"/>
        <v>15795899</v>
      </c>
      <c r="N444" s="53">
        <f t="shared" ca="1" si="85"/>
        <v>0</v>
      </c>
    </row>
  </sheetData>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S35"/>
  <sheetViews>
    <sheetView showGridLines="0" showRowColHeaders="0" topLeftCell="F1" workbookViewId="0">
      <selection activeCell="F2" sqref="F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9" t="s">
        <v>123</v>
      </c>
      <c r="B1" s="110" t="s">
        <v>249</v>
      </c>
      <c r="C1" s="111" t="s">
        <v>125</v>
      </c>
      <c r="D1" s="111" t="s">
        <v>55</v>
      </c>
      <c r="E1" s="106" t="s">
        <v>413</v>
      </c>
      <c r="F1" s="57" t="s">
        <v>74</v>
      </c>
      <c r="G1" s="112" t="s">
        <v>177</v>
      </c>
      <c r="H1" s="112" t="s">
        <v>332</v>
      </c>
      <c r="I1" s="112" t="s">
        <v>303</v>
      </c>
      <c r="J1" s="112" t="s">
        <v>304</v>
      </c>
      <c r="K1" s="112" t="s">
        <v>333</v>
      </c>
      <c r="L1" s="112" t="s">
        <v>334</v>
      </c>
      <c r="M1" s="112" t="s">
        <v>335</v>
      </c>
      <c r="N1" s="112" t="s">
        <v>336</v>
      </c>
      <c r="O1" s="112" t="s">
        <v>337</v>
      </c>
      <c r="P1" s="112" t="s">
        <v>338</v>
      </c>
      <c r="Q1" s="112" t="s">
        <v>339</v>
      </c>
      <c r="R1" s="112" t="s">
        <v>881</v>
      </c>
      <c r="S1" s="112" t="s">
        <v>882</v>
      </c>
    </row>
    <row r="2" spans="1:19" ht="13.5" thickTop="1" x14ac:dyDescent="0.2">
      <c r="A2" s="107">
        <v>422</v>
      </c>
      <c r="B2" s="108" t="str">
        <f>VLOOKUP( $A2, Aop!$A$2:$P$456, 2, 0)</f>
        <v>BPK</v>
      </c>
      <c r="C2" s="56" t="str">
        <f t="shared" ref="C2:C20" si="0">Podatak_MB</f>
        <v>01814788</v>
      </c>
      <c r="D2" s="56" t="str">
        <f t="shared" ref="D2:D20" si="1">Podatak_JIB</f>
        <v>4400570050004</v>
      </c>
      <c r="E2" s="56" t="b">
        <f t="shared" ref="E2:E20" si="2">Konsolidovan_izvjestaj</f>
        <v>0</v>
      </c>
      <c r="F2" s="11">
        <f>VLOOKUP( $A2, Aop!$A$2:$P$456, 4, 0)</f>
        <v>0</v>
      </c>
      <c r="G2" s="56">
        <f t="shared" ref="G2:G20" si="3">Godina</f>
        <v>2025</v>
      </c>
      <c r="H2" s="141">
        <f t="shared" ref="H2:H20" si="4">Datum_Broj</f>
        <v>46022</v>
      </c>
      <c r="I2" s="56">
        <f t="shared" ref="I2:I20" si="5">ID_Izvjestaj</f>
        <v>4</v>
      </c>
      <c r="J2" s="53" t="s">
        <v>888</v>
      </c>
      <c r="K2" s="53" t="s">
        <v>888</v>
      </c>
      <c r="L2" s="53" t="s">
        <v>888</v>
      </c>
      <c r="M2" s="53" t="s">
        <v>888</v>
      </c>
      <c r="N2" s="53" t="s">
        <v>888</v>
      </c>
      <c r="O2" s="53" t="s">
        <v>888</v>
      </c>
      <c r="P2" s="53" t="s">
        <v>888</v>
      </c>
      <c r="Q2" s="53" t="s">
        <v>888</v>
      </c>
      <c r="R2" s="53" t="s">
        <v>888</v>
      </c>
      <c r="S2" s="53" t="s">
        <v>888</v>
      </c>
    </row>
    <row r="3" spans="1:19" x14ac:dyDescent="0.2">
      <c r="A3" s="107">
        <v>423</v>
      </c>
      <c r="B3" s="108" t="str">
        <f>VLOOKUP( $A3, Aop!$A$2:$P$456, 2, 0)</f>
        <v>BPK</v>
      </c>
      <c r="C3" s="56" t="str">
        <f t="shared" si="0"/>
        <v>01814788</v>
      </c>
      <c r="D3" s="56" t="str">
        <f t="shared" si="1"/>
        <v>4400570050004</v>
      </c>
      <c r="E3" s="56" t="b">
        <f t="shared" si="2"/>
        <v>0</v>
      </c>
      <c r="F3" s="11">
        <f>VLOOKUP( $A3, Aop!$A$2:$P$456, 4, 0)</f>
        <v>901</v>
      </c>
      <c r="G3" s="56">
        <f t="shared" si="3"/>
        <v>2025</v>
      </c>
      <c r="H3" s="141">
        <f t="shared" si="4"/>
        <v>46022</v>
      </c>
      <c r="I3" s="56">
        <f t="shared" si="5"/>
        <v>4</v>
      </c>
      <c r="J3" s="53">
        <f t="shared" ref="J3:S19" ca="1" si="6">IF(VLOOKUP($F3,INDIRECT("Lookup_"&amp;$B3),J$1-1,0)="","",VLOOKUP($F3,INDIRECT("Lookup_"&amp;$B3),J$1-1,0))</f>
        <v>15795899</v>
      </c>
      <c r="K3" s="53">
        <f t="shared" ca="1" si="6"/>
        <v>0</v>
      </c>
      <c r="L3" s="53">
        <f t="shared" ca="1" si="6"/>
        <v>13419506</v>
      </c>
      <c r="M3" s="53">
        <f t="shared" ca="1" si="6"/>
        <v>27527089</v>
      </c>
      <c r="N3" s="53">
        <f t="shared" ca="1" si="6"/>
        <v>0</v>
      </c>
      <c r="O3" s="53">
        <f t="shared" ca="1" si="6"/>
        <v>0</v>
      </c>
      <c r="P3" s="53">
        <f t="shared" ca="1" si="6"/>
        <v>39291931</v>
      </c>
      <c r="Q3" s="53">
        <f t="shared" ca="1" si="6"/>
        <v>96034425</v>
      </c>
      <c r="R3" s="53" t="str">
        <f t="shared" ca="1" si="6"/>
        <v/>
      </c>
      <c r="S3" s="53">
        <f t="shared" ca="1" si="6"/>
        <v>96034425</v>
      </c>
    </row>
    <row r="4" spans="1:19" x14ac:dyDescent="0.2">
      <c r="A4" s="107">
        <v>424</v>
      </c>
      <c r="B4" s="108" t="str">
        <f>VLOOKUP( $A4, Aop!$A$2:$P$456, 2, 0)</f>
        <v>BPK</v>
      </c>
      <c r="C4" s="56" t="str">
        <f t="shared" si="0"/>
        <v>01814788</v>
      </c>
      <c r="D4" s="56" t="str">
        <f t="shared" si="1"/>
        <v>4400570050004</v>
      </c>
      <c r="E4" s="56" t="b">
        <f t="shared" si="2"/>
        <v>0</v>
      </c>
      <c r="F4" s="11">
        <f>VLOOKUP( $A4, Aop!$A$2:$P$456, 4, 0)</f>
        <v>0</v>
      </c>
      <c r="G4" s="56">
        <f t="shared" si="3"/>
        <v>2025</v>
      </c>
      <c r="H4" s="141">
        <f t="shared" si="4"/>
        <v>46022</v>
      </c>
      <c r="I4" s="56">
        <f t="shared" si="5"/>
        <v>4</v>
      </c>
      <c r="J4" s="53" t="s">
        <v>888</v>
      </c>
      <c r="K4" s="53" t="s">
        <v>888</v>
      </c>
      <c r="L4" s="53" t="s">
        <v>888</v>
      </c>
      <c r="M4" s="53" t="s">
        <v>888</v>
      </c>
      <c r="N4" s="53" t="s">
        <v>888</v>
      </c>
      <c r="O4" s="53" t="s">
        <v>888</v>
      </c>
      <c r="P4" s="53" t="s">
        <v>888</v>
      </c>
      <c r="Q4" s="53" t="s">
        <v>888</v>
      </c>
      <c r="R4" s="53" t="s">
        <v>888</v>
      </c>
      <c r="S4" s="53" t="s">
        <v>888</v>
      </c>
    </row>
    <row r="5" spans="1:19" x14ac:dyDescent="0.2">
      <c r="A5" s="107">
        <v>425</v>
      </c>
      <c r="B5" s="108" t="str">
        <f>VLOOKUP( $A5, Aop!$A$2:$P$456, 2, 0)</f>
        <v>BPK</v>
      </c>
      <c r="C5" s="56" t="str">
        <f t="shared" si="0"/>
        <v>01814788</v>
      </c>
      <c r="D5" s="56" t="str">
        <f t="shared" si="1"/>
        <v>4400570050004</v>
      </c>
      <c r="E5" s="56" t="b">
        <f t="shared" si="2"/>
        <v>0</v>
      </c>
      <c r="F5" s="11">
        <f>VLOOKUP( $A5, Aop!$A$2:$P$456, 4, 0)</f>
        <v>902</v>
      </c>
      <c r="G5" s="56">
        <f t="shared" si="3"/>
        <v>2025</v>
      </c>
      <c r="H5" s="141">
        <f t="shared" si="4"/>
        <v>46022</v>
      </c>
      <c r="I5" s="56">
        <f t="shared" si="5"/>
        <v>4</v>
      </c>
      <c r="J5" s="53" t="str">
        <f t="shared" ca="1" si="6"/>
        <v/>
      </c>
      <c r="K5" s="53" t="str">
        <f t="shared" ca="1" si="6"/>
        <v/>
      </c>
      <c r="L5" s="53" t="str">
        <f t="shared" ca="1" si="6"/>
        <v/>
      </c>
      <c r="M5" s="53" t="str">
        <f t="shared" ca="1" si="6"/>
        <v/>
      </c>
      <c r="N5" s="53" t="str">
        <f t="shared" ca="1" si="6"/>
        <v/>
      </c>
      <c r="O5" s="53" t="str">
        <f t="shared" ca="1" si="6"/>
        <v/>
      </c>
      <c r="P5" s="53" t="str">
        <f t="shared" ca="1" si="6"/>
        <v/>
      </c>
      <c r="Q5" s="53">
        <f t="shared" ca="1" si="6"/>
        <v>0</v>
      </c>
      <c r="R5" s="53" t="str">
        <f t="shared" ca="1" si="6"/>
        <v/>
      </c>
      <c r="S5" s="53">
        <f t="shared" ca="1" si="6"/>
        <v>0</v>
      </c>
    </row>
    <row r="6" spans="1:19" x14ac:dyDescent="0.2">
      <c r="A6" s="107">
        <v>426</v>
      </c>
      <c r="B6" s="108" t="str">
        <f>VLOOKUP( $A6, Aop!$A$2:$P$456, 2, 0)</f>
        <v>BPK</v>
      </c>
      <c r="C6" s="56" t="str">
        <f t="shared" si="0"/>
        <v>01814788</v>
      </c>
      <c r="D6" s="56" t="str">
        <f t="shared" si="1"/>
        <v>4400570050004</v>
      </c>
      <c r="E6" s="56" t="b">
        <f t="shared" si="2"/>
        <v>0</v>
      </c>
      <c r="F6" s="11">
        <f>VLOOKUP( $A6, Aop!$A$2:$P$456, 4, 0)</f>
        <v>903</v>
      </c>
      <c r="G6" s="56">
        <f t="shared" si="3"/>
        <v>2025</v>
      </c>
      <c r="H6" s="141">
        <f t="shared" si="4"/>
        <v>46022</v>
      </c>
      <c r="I6" s="56">
        <f t="shared" si="5"/>
        <v>4</v>
      </c>
      <c r="J6" s="53" t="str">
        <f t="shared" ca="1" si="6"/>
        <v/>
      </c>
      <c r="K6" s="53" t="str">
        <f t="shared" ca="1" si="6"/>
        <v/>
      </c>
      <c r="L6" s="53" t="str">
        <f t="shared" ca="1" si="6"/>
        <v/>
      </c>
      <c r="M6" s="53" t="str">
        <f t="shared" ca="1" si="6"/>
        <v/>
      </c>
      <c r="N6" s="53" t="str">
        <f t="shared" ca="1" si="6"/>
        <v/>
      </c>
      <c r="O6" s="53" t="str">
        <f t="shared" ca="1" si="6"/>
        <v/>
      </c>
      <c r="P6" s="53" t="str">
        <f t="shared" ca="1" si="6"/>
        <v/>
      </c>
      <c r="Q6" s="53">
        <f t="shared" ca="1" si="6"/>
        <v>0</v>
      </c>
      <c r="R6" s="53" t="str">
        <f t="shared" ca="1" si="6"/>
        <v/>
      </c>
      <c r="S6" s="53">
        <f t="shared" ca="1" si="6"/>
        <v>0</v>
      </c>
    </row>
    <row r="7" spans="1:19" x14ac:dyDescent="0.2">
      <c r="A7" s="107">
        <v>427</v>
      </c>
      <c r="B7" s="108" t="str">
        <f>VLOOKUP( $A7, Aop!$A$2:$P$456, 2, 0)</f>
        <v>BPK</v>
      </c>
      <c r="C7" s="56" t="str">
        <f t="shared" si="0"/>
        <v>01814788</v>
      </c>
      <c r="D7" s="56" t="str">
        <f t="shared" si="1"/>
        <v>4400570050004</v>
      </c>
      <c r="E7" s="56" t="b">
        <f t="shared" si="2"/>
        <v>0</v>
      </c>
      <c r="F7" s="11">
        <f>VLOOKUP( $A7, Aop!$A$2:$P$456, 4, 0)</f>
        <v>904</v>
      </c>
      <c r="G7" s="56">
        <f t="shared" si="3"/>
        <v>2025</v>
      </c>
      <c r="H7" s="141">
        <f t="shared" si="4"/>
        <v>46022</v>
      </c>
      <c r="I7" s="56">
        <f t="shared" si="5"/>
        <v>4</v>
      </c>
      <c r="J7" s="53">
        <f t="shared" ca="1" si="6"/>
        <v>15795899</v>
      </c>
      <c r="K7" s="53">
        <f t="shared" ca="1" si="6"/>
        <v>0</v>
      </c>
      <c r="L7" s="53">
        <f t="shared" ca="1" si="6"/>
        <v>13419506</v>
      </c>
      <c r="M7" s="53">
        <f t="shared" ca="1" si="6"/>
        <v>27527089</v>
      </c>
      <c r="N7" s="53">
        <f t="shared" ca="1" si="6"/>
        <v>0</v>
      </c>
      <c r="O7" s="53">
        <f t="shared" ca="1" si="6"/>
        <v>0</v>
      </c>
      <c r="P7" s="53">
        <f t="shared" ca="1" si="6"/>
        <v>39291931</v>
      </c>
      <c r="Q7" s="53">
        <f t="shared" ca="1" si="6"/>
        <v>96034425</v>
      </c>
      <c r="R7" s="53">
        <f t="shared" ca="1" si="6"/>
        <v>0</v>
      </c>
      <c r="S7" s="53">
        <f t="shared" ca="1" si="6"/>
        <v>96034425</v>
      </c>
    </row>
    <row r="8" spans="1:19" x14ac:dyDescent="0.2">
      <c r="A8" s="107">
        <v>428</v>
      </c>
      <c r="B8" s="108" t="str">
        <f>VLOOKUP( $A8, Aop!$A$2:$P$456, 2, 0)</f>
        <v>BPK</v>
      </c>
      <c r="C8" s="56" t="str">
        <f t="shared" si="0"/>
        <v>01814788</v>
      </c>
      <c r="D8" s="56" t="str">
        <f t="shared" si="1"/>
        <v>4400570050004</v>
      </c>
      <c r="E8" s="56" t="b">
        <f t="shared" si="2"/>
        <v>0</v>
      </c>
      <c r="F8" s="11">
        <f>VLOOKUP( $A8, Aop!$A$2:$P$456, 4, 0)</f>
        <v>0</v>
      </c>
      <c r="G8" s="56">
        <f t="shared" si="3"/>
        <v>2025</v>
      </c>
      <c r="H8" s="141">
        <f t="shared" si="4"/>
        <v>46022</v>
      </c>
      <c r="I8" s="56">
        <f t="shared" si="5"/>
        <v>4</v>
      </c>
      <c r="J8" s="53" t="s">
        <v>888</v>
      </c>
      <c r="K8" s="53" t="s">
        <v>888</v>
      </c>
      <c r="L8" s="53" t="s">
        <v>888</v>
      </c>
      <c r="M8" s="53" t="s">
        <v>888</v>
      </c>
      <c r="N8" s="53" t="s">
        <v>888</v>
      </c>
      <c r="O8" s="53" t="s">
        <v>888</v>
      </c>
      <c r="P8" s="53" t="s">
        <v>888</v>
      </c>
      <c r="Q8" s="53" t="s">
        <v>888</v>
      </c>
      <c r="R8" s="53" t="s">
        <v>888</v>
      </c>
      <c r="S8" s="53" t="s">
        <v>888</v>
      </c>
    </row>
    <row r="9" spans="1:19" x14ac:dyDescent="0.2">
      <c r="A9" s="107">
        <v>429</v>
      </c>
      <c r="B9" s="108" t="str">
        <f>VLOOKUP( $A9, Aop!$A$2:$P$456, 2, 0)</f>
        <v>BPK</v>
      </c>
      <c r="C9" s="56" t="str">
        <f t="shared" si="0"/>
        <v>01814788</v>
      </c>
      <c r="D9" s="56" t="str">
        <f t="shared" si="1"/>
        <v>4400570050004</v>
      </c>
      <c r="E9" s="56" t="b">
        <f t="shared" si="2"/>
        <v>0</v>
      </c>
      <c r="F9" s="11">
        <f>VLOOKUP( $A9, Aop!$A$2:$P$456, 4, 0)</f>
        <v>905</v>
      </c>
      <c r="G9" s="56">
        <f t="shared" si="3"/>
        <v>2025</v>
      </c>
      <c r="H9" s="141">
        <f t="shared" si="4"/>
        <v>46022</v>
      </c>
      <c r="I9" s="56">
        <f t="shared" si="5"/>
        <v>4</v>
      </c>
      <c r="J9" s="53" t="str">
        <f t="shared" ca="1" si="6"/>
        <v/>
      </c>
      <c r="K9" s="53" t="str">
        <f t="shared" ca="1" si="6"/>
        <v/>
      </c>
      <c r="L9" s="53" t="str">
        <f t="shared" ca="1" si="6"/>
        <v/>
      </c>
      <c r="M9" s="53" t="str">
        <f t="shared" ca="1" si="6"/>
        <v/>
      </c>
      <c r="N9" s="53" t="str">
        <f t="shared" ca="1" si="6"/>
        <v/>
      </c>
      <c r="O9" s="53" t="str">
        <f t="shared" ca="1" si="6"/>
        <v/>
      </c>
      <c r="P9" s="53">
        <f t="shared" ca="1" si="6"/>
        <v>2071193</v>
      </c>
      <c r="Q9" s="53">
        <f t="shared" ca="1" si="6"/>
        <v>2071193</v>
      </c>
      <c r="R9" s="53" t="str">
        <f t="shared" ca="1" si="6"/>
        <v/>
      </c>
      <c r="S9" s="53">
        <f t="shared" ca="1" si="6"/>
        <v>2071193</v>
      </c>
    </row>
    <row r="10" spans="1:19" x14ac:dyDescent="0.2">
      <c r="A10" s="107">
        <v>430</v>
      </c>
      <c r="B10" s="108" t="str">
        <f>VLOOKUP( $A10, Aop!$A$2:$P$456, 2, 0)</f>
        <v>BPK</v>
      </c>
      <c r="C10" s="56" t="str">
        <f t="shared" si="0"/>
        <v>01814788</v>
      </c>
      <c r="D10" s="56" t="str">
        <f t="shared" si="1"/>
        <v>4400570050004</v>
      </c>
      <c r="E10" s="56" t="b">
        <f t="shared" si="2"/>
        <v>0</v>
      </c>
      <c r="F10" s="11">
        <f>VLOOKUP( $A10, Aop!$A$2:$P$456, 4, 0)</f>
        <v>906</v>
      </c>
      <c r="G10" s="56">
        <f t="shared" si="3"/>
        <v>2025</v>
      </c>
      <c r="H10" s="141">
        <f t="shared" si="4"/>
        <v>46022</v>
      </c>
      <c r="I10" s="56">
        <f t="shared" si="5"/>
        <v>4</v>
      </c>
      <c r="J10" s="53" t="str">
        <f t="shared" ca="1" si="6"/>
        <v/>
      </c>
      <c r="K10" s="53" t="str">
        <f t="shared" ca="1" si="6"/>
        <v/>
      </c>
      <c r="L10" s="53" t="str">
        <f t="shared" ca="1" si="6"/>
        <v/>
      </c>
      <c r="M10" s="53">
        <f t="shared" ca="1" si="6"/>
        <v>-2221258</v>
      </c>
      <c r="N10" s="53" t="str">
        <f t="shared" ca="1" si="6"/>
        <v/>
      </c>
      <c r="O10" s="53" t="str">
        <f t="shared" ca="1" si="6"/>
        <v/>
      </c>
      <c r="P10" s="53">
        <f t="shared" ca="1" si="6"/>
        <v>2221258</v>
      </c>
      <c r="Q10" s="53">
        <f t="shared" ca="1" si="6"/>
        <v>0</v>
      </c>
      <c r="R10" s="53" t="str">
        <f t="shared" ca="1" si="6"/>
        <v/>
      </c>
      <c r="S10" s="53">
        <f t="shared" ca="1" si="6"/>
        <v>0</v>
      </c>
    </row>
    <row r="11" spans="1:19" x14ac:dyDescent="0.2">
      <c r="A11" s="107">
        <v>431</v>
      </c>
      <c r="B11" s="108" t="str">
        <f>VLOOKUP( $A11, Aop!$A$2:$P$456, 2, 0)</f>
        <v>BPK</v>
      </c>
      <c r="C11" s="56" t="str">
        <f t="shared" si="0"/>
        <v>01814788</v>
      </c>
      <c r="D11" s="56" t="str">
        <f t="shared" si="1"/>
        <v>4400570050004</v>
      </c>
      <c r="E11" s="56" t="b">
        <f t="shared" si="2"/>
        <v>0</v>
      </c>
      <c r="F11" s="11">
        <f>VLOOKUP( $A11, Aop!$A$2:$P$456, 4, 0)</f>
        <v>907</v>
      </c>
      <c r="G11" s="56">
        <f t="shared" si="3"/>
        <v>2025</v>
      </c>
      <c r="H11" s="141">
        <f t="shared" si="4"/>
        <v>46022</v>
      </c>
      <c r="I11" s="56">
        <f t="shared" si="5"/>
        <v>4</v>
      </c>
      <c r="J11" s="53">
        <f t="shared" ca="1" si="6"/>
        <v>0</v>
      </c>
      <c r="K11" s="53">
        <f t="shared" ca="1" si="6"/>
        <v>0</v>
      </c>
      <c r="L11" s="53">
        <f t="shared" ca="1" si="6"/>
        <v>0</v>
      </c>
      <c r="M11" s="53">
        <f t="shared" ca="1" si="6"/>
        <v>-2221258</v>
      </c>
      <c r="N11" s="53">
        <f t="shared" ca="1" si="6"/>
        <v>0</v>
      </c>
      <c r="O11" s="53">
        <f t="shared" ca="1" si="6"/>
        <v>0</v>
      </c>
      <c r="P11" s="53">
        <f t="shared" ca="1" si="6"/>
        <v>4292451</v>
      </c>
      <c r="Q11" s="53">
        <f t="shared" ca="1" si="6"/>
        <v>2071193</v>
      </c>
      <c r="R11" s="53">
        <f t="shared" ca="1" si="6"/>
        <v>0</v>
      </c>
      <c r="S11" s="53">
        <f t="shared" ca="1" si="6"/>
        <v>2071193</v>
      </c>
    </row>
    <row r="12" spans="1:19" x14ac:dyDescent="0.2">
      <c r="A12" s="107">
        <v>432</v>
      </c>
      <c r="B12" s="108" t="str">
        <f>VLOOKUP( $A12, Aop!$A$2:$P$456, 2, 0)</f>
        <v>BPK</v>
      </c>
      <c r="C12" s="56" t="str">
        <f t="shared" si="0"/>
        <v>01814788</v>
      </c>
      <c r="D12" s="56" t="str">
        <f t="shared" si="1"/>
        <v>4400570050004</v>
      </c>
      <c r="E12" s="56" t="b">
        <f t="shared" si="2"/>
        <v>0</v>
      </c>
      <c r="F12" s="11">
        <f>VLOOKUP( $A12, Aop!$A$2:$P$456, 4, 0)</f>
        <v>0</v>
      </c>
      <c r="G12" s="56">
        <f t="shared" si="3"/>
        <v>2025</v>
      </c>
      <c r="H12" s="141">
        <f t="shared" si="4"/>
        <v>46022</v>
      </c>
      <c r="I12" s="56">
        <f t="shared" si="5"/>
        <v>4</v>
      </c>
      <c r="J12" s="53" t="s">
        <v>888</v>
      </c>
      <c r="K12" s="53" t="s">
        <v>888</v>
      </c>
      <c r="L12" s="53" t="s">
        <v>888</v>
      </c>
      <c r="M12" s="53" t="s">
        <v>888</v>
      </c>
      <c r="N12" s="53" t="s">
        <v>888</v>
      </c>
      <c r="O12" s="53" t="s">
        <v>888</v>
      </c>
      <c r="P12" s="53" t="s">
        <v>888</v>
      </c>
      <c r="Q12" s="53" t="s">
        <v>888</v>
      </c>
      <c r="R12" s="53" t="s">
        <v>888</v>
      </c>
      <c r="S12" s="53" t="s">
        <v>888</v>
      </c>
    </row>
    <row r="13" spans="1:19" x14ac:dyDescent="0.2">
      <c r="A13" s="107">
        <v>433</v>
      </c>
      <c r="B13" s="108" t="str">
        <f>VLOOKUP( $A13, Aop!$A$2:$P$456, 2, 0)</f>
        <v>BPK</v>
      </c>
      <c r="C13" s="56" t="str">
        <f t="shared" si="0"/>
        <v>01814788</v>
      </c>
      <c r="D13" s="56" t="str">
        <f t="shared" si="1"/>
        <v>4400570050004</v>
      </c>
      <c r="E13" s="56" t="b">
        <f t="shared" si="2"/>
        <v>0</v>
      </c>
      <c r="F13" s="11">
        <f>VLOOKUP( $A13, Aop!$A$2:$P$456, 4, 0)</f>
        <v>908</v>
      </c>
      <c r="G13" s="56">
        <f t="shared" si="3"/>
        <v>2025</v>
      </c>
      <c r="H13" s="141">
        <f t="shared" si="4"/>
        <v>46022</v>
      </c>
      <c r="I13" s="56">
        <f t="shared" si="5"/>
        <v>4</v>
      </c>
      <c r="J13" s="53" t="str">
        <f t="shared" ca="1" si="6"/>
        <v/>
      </c>
      <c r="K13" s="53" t="str">
        <f t="shared" ca="1" si="6"/>
        <v/>
      </c>
      <c r="L13" s="53" t="str">
        <f t="shared" ca="1" si="6"/>
        <v/>
      </c>
      <c r="M13" s="53" t="str">
        <f t="shared" ca="1" si="6"/>
        <v/>
      </c>
      <c r="N13" s="53" t="str">
        <f t="shared" ca="1" si="6"/>
        <v/>
      </c>
      <c r="O13" s="53" t="str">
        <f t="shared" ca="1" si="6"/>
        <v/>
      </c>
      <c r="P13" s="53" t="str">
        <f t="shared" ca="1" si="6"/>
        <v/>
      </c>
      <c r="Q13" s="53">
        <f t="shared" ca="1" si="6"/>
        <v>0</v>
      </c>
      <c r="R13" s="53" t="str">
        <f t="shared" ca="1" si="6"/>
        <v/>
      </c>
      <c r="S13" s="53">
        <f t="shared" ca="1" si="6"/>
        <v>0</v>
      </c>
    </row>
    <row r="14" spans="1:19" x14ac:dyDescent="0.2">
      <c r="A14" s="107">
        <v>434</v>
      </c>
      <c r="B14" s="108" t="str">
        <f>VLOOKUP( $A14, Aop!$A$2:$P$456, 2, 0)</f>
        <v>BPK</v>
      </c>
      <c r="C14" s="56" t="str">
        <f t="shared" si="0"/>
        <v>01814788</v>
      </c>
      <c r="D14" s="56" t="str">
        <f t="shared" si="1"/>
        <v>4400570050004</v>
      </c>
      <c r="E14" s="56" t="b">
        <f t="shared" si="2"/>
        <v>0</v>
      </c>
      <c r="F14" s="11">
        <f>VLOOKUP( $A14, Aop!$A$2:$P$456, 4, 0)</f>
        <v>909</v>
      </c>
      <c r="G14" s="56">
        <f t="shared" si="3"/>
        <v>2025</v>
      </c>
      <c r="H14" s="141">
        <f t="shared" si="4"/>
        <v>46022</v>
      </c>
      <c r="I14" s="56">
        <f t="shared" si="5"/>
        <v>4</v>
      </c>
      <c r="J14" s="53" t="str">
        <f t="shared" ca="1" si="6"/>
        <v/>
      </c>
      <c r="K14" s="53" t="str">
        <f t="shared" ca="1" si="6"/>
        <v/>
      </c>
      <c r="L14" s="53" t="str">
        <f t="shared" ca="1" si="6"/>
        <v/>
      </c>
      <c r="M14" s="53" t="str">
        <f t="shared" ca="1" si="6"/>
        <v/>
      </c>
      <c r="N14" s="53" t="str">
        <f t="shared" ca="1" si="6"/>
        <v/>
      </c>
      <c r="O14" s="53" t="str">
        <f t="shared" ca="1" si="6"/>
        <v/>
      </c>
      <c r="P14" s="53" t="str">
        <f t="shared" ca="1" si="6"/>
        <v/>
      </c>
      <c r="Q14" s="53">
        <f t="shared" ca="1" si="6"/>
        <v>0</v>
      </c>
      <c r="R14" s="53" t="str">
        <f t="shared" ca="1" si="6"/>
        <v/>
      </c>
      <c r="S14" s="53">
        <f t="shared" ca="1" si="6"/>
        <v>0</v>
      </c>
    </row>
    <row r="15" spans="1:19" x14ac:dyDescent="0.2">
      <c r="A15" s="107">
        <v>435</v>
      </c>
      <c r="B15" s="108" t="str">
        <f>VLOOKUP( $A15, Aop!$A$2:$P$456, 2, 0)</f>
        <v>BPK</v>
      </c>
      <c r="C15" s="56" t="str">
        <f t="shared" si="0"/>
        <v>01814788</v>
      </c>
      <c r="D15" s="56" t="str">
        <f t="shared" si="1"/>
        <v>4400570050004</v>
      </c>
      <c r="E15" s="56" t="b">
        <f t="shared" si="2"/>
        <v>0</v>
      </c>
      <c r="F15" s="11">
        <f>VLOOKUP( $A15, Aop!$A$2:$P$456, 4, 0)</f>
        <v>910</v>
      </c>
      <c r="G15" s="56">
        <f t="shared" si="3"/>
        <v>2025</v>
      </c>
      <c r="H15" s="141">
        <f t="shared" si="4"/>
        <v>46022</v>
      </c>
      <c r="I15" s="56">
        <f t="shared" si="5"/>
        <v>4</v>
      </c>
      <c r="J15" s="53" t="str">
        <f t="shared" ca="1" si="6"/>
        <v/>
      </c>
      <c r="K15" s="53" t="str">
        <f t="shared" ca="1" si="6"/>
        <v/>
      </c>
      <c r="L15" s="53" t="str">
        <f t="shared" ca="1" si="6"/>
        <v/>
      </c>
      <c r="M15" s="53" t="str">
        <f t="shared" ca="1" si="6"/>
        <v/>
      </c>
      <c r="N15" s="53" t="str">
        <f t="shared" ca="1" si="6"/>
        <v/>
      </c>
      <c r="O15" s="53" t="str">
        <f t="shared" ca="1" si="6"/>
        <v/>
      </c>
      <c r="P15" s="53" t="str">
        <f t="shared" ca="1" si="6"/>
        <v/>
      </c>
      <c r="Q15" s="53">
        <f t="shared" ca="1" si="6"/>
        <v>0</v>
      </c>
      <c r="R15" s="53" t="str">
        <f t="shared" ca="1" si="6"/>
        <v/>
      </c>
      <c r="S15" s="53">
        <f t="shared" ca="1" si="6"/>
        <v>0</v>
      </c>
    </row>
    <row r="16" spans="1:19" x14ac:dyDescent="0.2">
      <c r="A16" s="107">
        <v>436</v>
      </c>
      <c r="B16" s="108" t="str">
        <f>VLOOKUP( $A16, Aop!$A$2:$P$456, 2, 0)</f>
        <v>BPK</v>
      </c>
      <c r="C16" s="56" t="str">
        <f t="shared" si="0"/>
        <v>01814788</v>
      </c>
      <c r="D16" s="56" t="str">
        <f t="shared" si="1"/>
        <v>4400570050004</v>
      </c>
      <c r="E16" s="56" t="b">
        <f t="shared" si="2"/>
        <v>0</v>
      </c>
      <c r="F16" s="11">
        <f>VLOOKUP( $A16, Aop!$A$2:$P$456, 4, 0)</f>
        <v>911</v>
      </c>
      <c r="G16" s="56">
        <f t="shared" si="3"/>
        <v>2025</v>
      </c>
      <c r="H16" s="141">
        <f t="shared" si="4"/>
        <v>46022</v>
      </c>
      <c r="I16" s="56">
        <f t="shared" si="5"/>
        <v>4</v>
      </c>
      <c r="J16" s="53" t="str">
        <f t="shared" ca="1" si="6"/>
        <v/>
      </c>
      <c r="K16" s="53" t="str">
        <f t="shared" ca="1" si="6"/>
        <v/>
      </c>
      <c r="L16" s="53">
        <f t="shared" ca="1" si="6"/>
        <v>148221</v>
      </c>
      <c r="M16" s="53" t="str">
        <f t="shared" ca="1" si="6"/>
        <v/>
      </c>
      <c r="N16" s="53" t="str">
        <f t="shared" ca="1" si="6"/>
        <v/>
      </c>
      <c r="O16" s="53" t="str">
        <f t="shared" ca="1" si="6"/>
        <v/>
      </c>
      <c r="P16" s="53">
        <f t="shared" ca="1" si="6"/>
        <v>-148221</v>
      </c>
      <c r="Q16" s="53">
        <f t="shared" ca="1" si="6"/>
        <v>0</v>
      </c>
      <c r="R16" s="53" t="str">
        <f t="shared" ca="1" si="6"/>
        <v/>
      </c>
      <c r="S16" s="53">
        <f t="shared" ca="1" si="6"/>
        <v>0</v>
      </c>
    </row>
    <row r="17" spans="1:19" x14ac:dyDescent="0.2">
      <c r="A17" s="107">
        <v>437</v>
      </c>
      <c r="B17" s="108" t="str">
        <f>VLOOKUP( $A17, Aop!$A$2:$P$456, 2, 0)</f>
        <v>BPK</v>
      </c>
      <c r="C17" s="56" t="str">
        <f t="shared" si="0"/>
        <v>01814788</v>
      </c>
      <c r="D17" s="56" t="str">
        <f t="shared" si="1"/>
        <v>4400570050004</v>
      </c>
      <c r="E17" s="56" t="b">
        <f t="shared" si="2"/>
        <v>0</v>
      </c>
      <c r="F17" s="11">
        <f>VLOOKUP( $A17, Aop!$A$2:$P$456, 4, 0)</f>
        <v>912</v>
      </c>
      <c r="G17" s="56">
        <f t="shared" si="3"/>
        <v>2025</v>
      </c>
      <c r="H17" s="141">
        <f t="shared" si="4"/>
        <v>46022</v>
      </c>
      <c r="I17" s="56">
        <f t="shared" si="5"/>
        <v>4</v>
      </c>
      <c r="J17" s="53" t="str">
        <f t="shared" ca="1" si="6"/>
        <v/>
      </c>
      <c r="K17" s="53" t="str">
        <f t="shared" ca="1" si="6"/>
        <v/>
      </c>
      <c r="L17" s="53">
        <f t="shared" ca="1" si="6"/>
        <v>1170685</v>
      </c>
      <c r="M17" s="53" t="str">
        <f t="shared" ca="1" si="6"/>
        <v/>
      </c>
      <c r="N17" s="53" t="str">
        <f t="shared" ca="1" si="6"/>
        <v/>
      </c>
      <c r="O17" s="53" t="str">
        <f t="shared" ca="1" si="6"/>
        <v/>
      </c>
      <c r="P17" s="53" t="str">
        <f t="shared" ca="1" si="6"/>
        <v/>
      </c>
      <c r="Q17" s="53">
        <f t="shared" ca="1" si="6"/>
        <v>1170685</v>
      </c>
      <c r="R17" s="53" t="str">
        <f t="shared" ca="1" si="6"/>
        <v/>
      </c>
      <c r="S17" s="53">
        <f t="shared" ca="1" si="6"/>
        <v>1170685</v>
      </c>
    </row>
    <row r="18" spans="1:19" x14ac:dyDescent="0.2">
      <c r="A18" s="107">
        <v>438</v>
      </c>
      <c r="B18" s="108" t="str">
        <f>VLOOKUP( $A18, Aop!$A$2:$P$456, 2, 0)</f>
        <v>BPK</v>
      </c>
      <c r="C18" s="56" t="str">
        <f t="shared" si="0"/>
        <v>01814788</v>
      </c>
      <c r="D18" s="56" t="str">
        <f t="shared" si="1"/>
        <v>4400570050004</v>
      </c>
      <c r="E18" s="56" t="b">
        <f t="shared" si="2"/>
        <v>0</v>
      </c>
      <c r="F18" s="11">
        <f>VLOOKUP( $A18, Aop!$A$2:$P$456, 4, 0)</f>
        <v>0</v>
      </c>
      <c r="G18" s="56">
        <f t="shared" si="3"/>
        <v>2025</v>
      </c>
      <c r="H18" s="141">
        <f t="shared" si="4"/>
        <v>46022</v>
      </c>
      <c r="I18" s="56">
        <f t="shared" si="5"/>
        <v>4</v>
      </c>
      <c r="J18" s="53" t="s">
        <v>888</v>
      </c>
      <c r="K18" s="53" t="s">
        <v>888</v>
      </c>
      <c r="L18" s="53" t="s">
        <v>888</v>
      </c>
      <c r="M18" s="53" t="s">
        <v>888</v>
      </c>
      <c r="N18" s="53" t="s">
        <v>888</v>
      </c>
      <c r="O18" s="53" t="s">
        <v>888</v>
      </c>
      <c r="P18" s="53" t="s">
        <v>888</v>
      </c>
      <c r="Q18" s="53" t="s">
        <v>888</v>
      </c>
      <c r="R18" s="53" t="s">
        <v>888</v>
      </c>
      <c r="S18" s="53" t="s">
        <v>888</v>
      </c>
    </row>
    <row r="19" spans="1:19" x14ac:dyDescent="0.2">
      <c r="A19" s="107">
        <v>439</v>
      </c>
      <c r="B19" s="108" t="str">
        <f>VLOOKUP( $A19, Aop!$A$2:$P$456, 2, 0)</f>
        <v>BPK</v>
      </c>
      <c r="C19" s="56" t="str">
        <f t="shared" si="0"/>
        <v>01814788</v>
      </c>
      <c r="D19" s="56" t="str">
        <f t="shared" si="1"/>
        <v>4400570050004</v>
      </c>
      <c r="E19" s="56" t="b">
        <f t="shared" si="2"/>
        <v>0</v>
      </c>
      <c r="F19" s="11">
        <f>VLOOKUP( $A19, Aop!$A$2:$P$456, 4, 0)</f>
        <v>913</v>
      </c>
      <c r="G19" s="56">
        <f t="shared" si="3"/>
        <v>2025</v>
      </c>
      <c r="H19" s="141">
        <f t="shared" si="4"/>
        <v>46022</v>
      </c>
      <c r="I19" s="56">
        <f t="shared" si="5"/>
        <v>4</v>
      </c>
      <c r="J19" s="53">
        <f t="shared" ca="1" si="6"/>
        <v>15795899</v>
      </c>
      <c r="K19" s="53">
        <f t="shared" ca="1" si="6"/>
        <v>0</v>
      </c>
      <c r="L19" s="53">
        <f t="shared" ca="1" si="6"/>
        <v>14738412</v>
      </c>
      <c r="M19" s="53">
        <f t="shared" ca="1" si="6"/>
        <v>25305831</v>
      </c>
      <c r="N19" s="53">
        <f t="shared" ca="1" si="6"/>
        <v>0</v>
      </c>
      <c r="O19" s="53">
        <f t="shared" ca="1" si="6"/>
        <v>0</v>
      </c>
      <c r="P19" s="53">
        <f t="shared" ca="1" si="6"/>
        <v>43436161</v>
      </c>
      <c r="Q19" s="53">
        <f t="shared" ca="1" si="6"/>
        <v>99276303</v>
      </c>
      <c r="R19" s="53">
        <f t="shared" ca="1" si="6"/>
        <v>0</v>
      </c>
      <c r="S19" s="53">
        <f t="shared" ca="1" si="6"/>
        <v>99276303</v>
      </c>
    </row>
    <row r="20" spans="1:19" x14ac:dyDescent="0.2">
      <c r="A20" s="107">
        <v>440</v>
      </c>
      <c r="B20" s="113" t="str">
        <f>VLOOKUP( $A20, Aop!$A$2:$P$456, 2, 0)</f>
        <v>BPK</v>
      </c>
      <c r="C20" s="56" t="str">
        <f t="shared" si="0"/>
        <v>01814788</v>
      </c>
      <c r="D20" s="56" t="str">
        <f t="shared" si="1"/>
        <v>4400570050004</v>
      </c>
      <c r="E20" s="56" t="b">
        <f t="shared" si="2"/>
        <v>0</v>
      </c>
      <c r="F20" s="11">
        <f>VLOOKUP( $A20, Aop!$A$2:$P$456, 4, 0)</f>
        <v>0</v>
      </c>
      <c r="G20" s="56">
        <f t="shared" si="3"/>
        <v>2025</v>
      </c>
      <c r="H20" s="141">
        <f t="shared" si="4"/>
        <v>46022</v>
      </c>
      <c r="I20" s="56">
        <f t="shared" si="5"/>
        <v>4</v>
      </c>
      <c r="J20" s="53" t="s">
        <v>888</v>
      </c>
      <c r="K20" s="53" t="s">
        <v>888</v>
      </c>
      <c r="L20" s="53" t="s">
        <v>888</v>
      </c>
      <c r="M20" s="53" t="s">
        <v>888</v>
      </c>
      <c r="N20" s="53" t="s">
        <v>888</v>
      </c>
      <c r="O20" s="53" t="s">
        <v>888</v>
      </c>
      <c r="P20" s="53" t="s">
        <v>888</v>
      </c>
      <c r="Q20" s="53" t="s">
        <v>888</v>
      </c>
      <c r="R20" s="53" t="s">
        <v>888</v>
      </c>
      <c r="S20" s="53" t="s">
        <v>888</v>
      </c>
    </row>
    <row r="21" spans="1:19" x14ac:dyDescent="0.2">
      <c r="A21" s="107">
        <v>441</v>
      </c>
      <c r="B21" s="237" t="str">
        <f>VLOOKUP( $A21, Aop!$A$2:$P$456, 2, 0)</f>
        <v>BPK</v>
      </c>
      <c r="C21" s="53" t="str">
        <f t="shared" ref="C21:C35" si="7">Podatak_MB</f>
        <v>01814788</v>
      </c>
      <c r="D21" s="53" t="str">
        <f t="shared" ref="D21:D35" si="8">Podatak_JIB</f>
        <v>4400570050004</v>
      </c>
      <c r="E21" s="53" t="b">
        <f t="shared" ref="E21:E35" si="9">Konsolidovan_izvjestaj</f>
        <v>0</v>
      </c>
      <c r="F21" s="11">
        <f>VLOOKUP( $A21, Aop!$A$2:$P$456, 4, 0)</f>
        <v>914</v>
      </c>
      <c r="G21" s="53">
        <f t="shared" ref="G21:G35" si="10">Godina</f>
        <v>2025</v>
      </c>
      <c r="H21" s="236">
        <f t="shared" ref="H21:H35" si="11">Datum_Broj</f>
        <v>46022</v>
      </c>
      <c r="I21" s="53">
        <f t="shared" ref="I21:I35" si="12">ID_Izvjestaj</f>
        <v>4</v>
      </c>
      <c r="J21" s="53" t="str">
        <f t="shared" ref="J21:S23" ca="1" si="13">IF(VLOOKUP($F21,INDIRECT("Lookup_"&amp;$B21),J$1-1,0)="","",VLOOKUP($F21,INDIRECT("Lookup_"&amp;$B21),J$1-1,0))</f>
        <v/>
      </c>
      <c r="K21" s="53" t="str">
        <f t="shared" ca="1" si="13"/>
        <v/>
      </c>
      <c r="L21" s="53" t="str">
        <f t="shared" ca="1" si="13"/>
        <v/>
      </c>
      <c r="M21" s="53" t="str">
        <f t="shared" ca="1" si="13"/>
        <v/>
      </c>
      <c r="N21" s="53" t="str">
        <f t="shared" ca="1" si="13"/>
        <v/>
      </c>
      <c r="O21" s="53" t="str">
        <f t="shared" ca="1" si="13"/>
        <v/>
      </c>
      <c r="P21" s="53" t="str">
        <f t="shared" ca="1" si="13"/>
        <v/>
      </c>
      <c r="Q21" s="53">
        <f t="shared" ca="1" si="13"/>
        <v>0</v>
      </c>
      <c r="R21" s="53" t="str">
        <f t="shared" ca="1" si="13"/>
        <v/>
      </c>
      <c r="S21" s="53">
        <f t="shared" ca="1" si="13"/>
        <v>0</v>
      </c>
    </row>
    <row r="22" spans="1:19" x14ac:dyDescent="0.2">
      <c r="A22" s="107">
        <v>442</v>
      </c>
      <c r="B22" s="237" t="str">
        <f>VLOOKUP( $A22, Aop!$A$2:$P$456, 2, 0)</f>
        <v>BPK</v>
      </c>
      <c r="C22" s="53" t="str">
        <f t="shared" si="7"/>
        <v>01814788</v>
      </c>
      <c r="D22" s="53" t="str">
        <f t="shared" si="8"/>
        <v>4400570050004</v>
      </c>
      <c r="E22" s="53" t="b">
        <f t="shared" si="9"/>
        <v>0</v>
      </c>
      <c r="F22" s="11">
        <f>VLOOKUP( $A22, Aop!$A$2:$P$456, 4, 0)</f>
        <v>915</v>
      </c>
      <c r="G22" s="53">
        <f t="shared" si="10"/>
        <v>2025</v>
      </c>
      <c r="H22" s="236">
        <f t="shared" si="11"/>
        <v>46022</v>
      </c>
      <c r="I22" s="53">
        <f t="shared" si="12"/>
        <v>4</v>
      </c>
      <c r="J22" s="53" t="s">
        <v>888</v>
      </c>
      <c r="K22" s="53" t="s">
        <v>888</v>
      </c>
      <c r="L22" s="53" t="s">
        <v>888</v>
      </c>
      <c r="M22" s="53" t="s">
        <v>888</v>
      </c>
      <c r="N22" s="53" t="s">
        <v>888</v>
      </c>
      <c r="O22" s="53" t="s">
        <v>888</v>
      </c>
      <c r="P22" s="53" t="s">
        <v>888</v>
      </c>
      <c r="Q22" s="53" t="s">
        <v>888</v>
      </c>
      <c r="R22" s="53" t="s">
        <v>888</v>
      </c>
      <c r="S22" s="53" t="s">
        <v>888</v>
      </c>
    </row>
    <row r="23" spans="1:19" x14ac:dyDescent="0.2">
      <c r="A23" s="107">
        <v>443</v>
      </c>
      <c r="B23" s="237" t="str">
        <f>VLOOKUP( $A23, Aop!$A$2:$P$456, 2, 0)</f>
        <v>BPK</v>
      </c>
      <c r="C23" s="53" t="str">
        <f t="shared" si="7"/>
        <v>01814788</v>
      </c>
      <c r="D23" s="53" t="str">
        <f t="shared" si="8"/>
        <v>4400570050004</v>
      </c>
      <c r="E23" s="53" t="b">
        <f t="shared" si="9"/>
        <v>0</v>
      </c>
      <c r="F23" s="11">
        <f>VLOOKUP( $A23, Aop!$A$2:$P$456, 4, 0)</f>
        <v>916</v>
      </c>
      <c r="G23" s="53">
        <f t="shared" si="10"/>
        <v>2025</v>
      </c>
      <c r="H23" s="236">
        <f t="shared" si="11"/>
        <v>46022</v>
      </c>
      <c r="I23" s="53">
        <f t="shared" si="12"/>
        <v>4</v>
      </c>
      <c r="J23" s="53">
        <f t="shared" ca="1" si="13"/>
        <v>15795899</v>
      </c>
      <c r="K23" s="53">
        <f t="shared" ca="1" si="13"/>
        <v>0</v>
      </c>
      <c r="L23" s="53">
        <f t="shared" ca="1" si="13"/>
        <v>14738412</v>
      </c>
      <c r="M23" s="53">
        <f t="shared" ca="1" si="13"/>
        <v>41208804</v>
      </c>
      <c r="N23" s="53">
        <f t="shared" ca="1" si="13"/>
        <v>0</v>
      </c>
      <c r="O23" s="53">
        <f t="shared" ca="1" si="13"/>
        <v>0</v>
      </c>
      <c r="P23" s="53">
        <f t="shared" ca="1" si="13"/>
        <v>43472367</v>
      </c>
      <c r="Q23" s="53">
        <f t="shared" ca="1" si="13"/>
        <v>115215482</v>
      </c>
      <c r="R23" s="53">
        <f t="shared" ca="1" si="13"/>
        <v>0</v>
      </c>
      <c r="S23" s="53">
        <f t="shared" ca="1" si="13"/>
        <v>115215482</v>
      </c>
    </row>
    <row r="24" spans="1:19" x14ac:dyDescent="0.2">
      <c r="A24" s="107">
        <v>444</v>
      </c>
      <c r="B24" s="237" t="str">
        <f>VLOOKUP( $A24, Aop!$A$2:$P$456, 2, 0)</f>
        <v>BPK</v>
      </c>
      <c r="C24" s="53" t="str">
        <f t="shared" si="7"/>
        <v>01814788</v>
      </c>
      <c r="D24" s="53" t="str">
        <f t="shared" si="8"/>
        <v>4400570050004</v>
      </c>
      <c r="E24" s="53" t="b">
        <f t="shared" si="9"/>
        <v>0</v>
      </c>
      <c r="F24" s="11">
        <f>VLOOKUP( $A24, Aop!$A$2:$P$456, 4, 0)</f>
        <v>0</v>
      </c>
      <c r="G24" s="53">
        <f t="shared" si="10"/>
        <v>2025</v>
      </c>
      <c r="H24" s="236">
        <f t="shared" si="11"/>
        <v>46022</v>
      </c>
      <c r="I24" s="53">
        <f t="shared" si="12"/>
        <v>4</v>
      </c>
      <c r="J24" s="53" t="s">
        <v>888</v>
      </c>
      <c r="K24" s="53" t="s">
        <v>888</v>
      </c>
      <c r="L24" s="53" t="s">
        <v>888</v>
      </c>
      <c r="M24" s="53" t="s">
        <v>888</v>
      </c>
      <c r="N24" s="53" t="s">
        <v>888</v>
      </c>
      <c r="O24" s="53" t="s">
        <v>888</v>
      </c>
      <c r="P24" s="53" t="s">
        <v>888</v>
      </c>
      <c r="Q24" s="53" t="s">
        <v>888</v>
      </c>
      <c r="R24" s="53" t="s">
        <v>888</v>
      </c>
      <c r="S24" s="53" t="s">
        <v>888</v>
      </c>
    </row>
    <row r="25" spans="1:19" x14ac:dyDescent="0.2">
      <c r="A25" s="107">
        <v>445</v>
      </c>
      <c r="B25" s="237" t="str">
        <f>VLOOKUP( $A25, Aop!$A$2:$P$456, 2, 0)</f>
        <v>BPK</v>
      </c>
      <c r="C25" s="53" t="str">
        <f t="shared" ref="C25:C34" si="14">Podatak_MB</f>
        <v>01814788</v>
      </c>
      <c r="D25" s="53" t="str">
        <f t="shared" ref="D25:D34" si="15">Podatak_JIB</f>
        <v>4400570050004</v>
      </c>
      <c r="E25" s="53" t="b">
        <f t="shared" ref="E25:E34" si="16">Konsolidovan_izvjestaj</f>
        <v>0</v>
      </c>
      <c r="F25" s="11">
        <f>VLOOKUP( $A25, Aop!$A$2:$P$456, 4, 0)</f>
        <v>917</v>
      </c>
      <c r="G25" s="53">
        <f t="shared" ref="G25:G34" si="17">Godina</f>
        <v>2025</v>
      </c>
      <c r="H25" s="236">
        <f t="shared" ref="H25:H34" si="18">Datum_Broj</f>
        <v>46022</v>
      </c>
      <c r="I25" s="53">
        <f t="shared" ref="I25:I34" si="19">ID_Izvjestaj</f>
        <v>4</v>
      </c>
      <c r="J25" s="53" t="str">
        <f t="shared" ref="J25:J34" ca="1" si="20">IF(VLOOKUP($F25,INDIRECT("Lookup_"&amp;$B25),J$1-1,0)="","",VLOOKUP($F25,INDIRECT("Lookup_"&amp;$B25),J$1-1,0))</f>
        <v/>
      </c>
      <c r="K25" s="53"/>
      <c r="L25" s="53"/>
      <c r="M25" s="53"/>
      <c r="N25" s="53"/>
      <c r="O25" s="53"/>
      <c r="P25" s="53"/>
      <c r="Q25" s="53"/>
      <c r="R25" s="53"/>
      <c r="S25" s="53"/>
    </row>
    <row r="26" spans="1:19" x14ac:dyDescent="0.2">
      <c r="A26" s="107">
        <v>446</v>
      </c>
      <c r="B26" s="237" t="str">
        <f>VLOOKUP( $A26, Aop!$A$2:$P$456, 2, 0)</f>
        <v>BPK</v>
      </c>
      <c r="C26" s="53" t="str">
        <f t="shared" si="14"/>
        <v>01814788</v>
      </c>
      <c r="D26" s="53" t="str">
        <f t="shared" si="15"/>
        <v>4400570050004</v>
      </c>
      <c r="E26" s="53" t="b">
        <f t="shared" si="16"/>
        <v>0</v>
      </c>
      <c r="F26" s="11">
        <f>VLOOKUP( $A26, Aop!$A$2:$P$456, 4, 0)</f>
        <v>918</v>
      </c>
      <c r="G26" s="53">
        <f t="shared" si="17"/>
        <v>2025</v>
      </c>
      <c r="H26" s="236">
        <f t="shared" si="18"/>
        <v>46022</v>
      </c>
      <c r="I26" s="53">
        <f t="shared" si="19"/>
        <v>4</v>
      </c>
      <c r="J26" s="53" t="str">
        <f t="shared" ca="1" si="20"/>
        <v/>
      </c>
      <c r="K26" s="53"/>
      <c r="L26" s="53"/>
      <c r="M26" s="53"/>
      <c r="N26" s="53"/>
      <c r="O26" s="53"/>
      <c r="P26" s="53"/>
      <c r="Q26" s="53"/>
      <c r="R26" s="53"/>
      <c r="S26" s="53"/>
    </row>
    <row r="27" spans="1:19" x14ac:dyDescent="0.2">
      <c r="A27" s="107">
        <v>447</v>
      </c>
      <c r="B27" s="237" t="str">
        <f>VLOOKUP( $A27, Aop!$A$2:$P$456, 2, 0)</f>
        <v>BPK</v>
      </c>
      <c r="C27" s="53" t="str">
        <f t="shared" si="14"/>
        <v>01814788</v>
      </c>
      <c r="D27" s="53" t="str">
        <f t="shared" si="15"/>
        <v>4400570050004</v>
      </c>
      <c r="E27" s="53" t="b">
        <f t="shared" si="16"/>
        <v>0</v>
      </c>
      <c r="F27" s="11">
        <f>VLOOKUP( $A27, Aop!$A$2:$P$456, 4, 0)</f>
        <v>919</v>
      </c>
      <c r="G27" s="53">
        <f t="shared" si="17"/>
        <v>2025</v>
      </c>
      <c r="H27" s="236">
        <f t="shared" si="18"/>
        <v>46022</v>
      </c>
      <c r="I27" s="53">
        <f t="shared" si="19"/>
        <v>4</v>
      </c>
      <c r="J27" s="53">
        <f t="shared" ca="1" si="20"/>
        <v>0</v>
      </c>
      <c r="K27" s="53"/>
      <c r="L27" s="53"/>
      <c r="M27" s="53"/>
      <c r="N27" s="53"/>
      <c r="O27" s="53"/>
      <c r="P27" s="53"/>
      <c r="Q27" s="53"/>
      <c r="R27" s="53"/>
      <c r="S27" s="53"/>
    </row>
    <row r="28" spans="1:19" x14ac:dyDescent="0.2">
      <c r="A28" s="107">
        <v>448</v>
      </c>
      <c r="B28" s="237" t="str">
        <f>VLOOKUP( $A28, Aop!$A$2:$P$456, 2, 0)</f>
        <v>BPK</v>
      </c>
      <c r="C28" s="53" t="str">
        <f t="shared" si="14"/>
        <v>01814788</v>
      </c>
      <c r="D28" s="53" t="str">
        <f t="shared" si="15"/>
        <v>4400570050004</v>
      </c>
      <c r="E28" s="53" t="b">
        <f t="shared" si="16"/>
        <v>0</v>
      </c>
      <c r="F28" s="11">
        <f>VLOOKUP( $A28, Aop!$A$2:$P$456, 4, 0)</f>
        <v>0</v>
      </c>
      <c r="G28" s="53">
        <f t="shared" si="17"/>
        <v>2025</v>
      </c>
      <c r="H28" s="236">
        <f t="shared" si="18"/>
        <v>46022</v>
      </c>
      <c r="I28" s="53">
        <f t="shared" si="19"/>
        <v>4</v>
      </c>
      <c r="J28" s="53" t="str">
        <f t="shared" ca="1" si="20"/>
        <v/>
      </c>
      <c r="K28" s="53"/>
      <c r="L28" s="53"/>
      <c r="M28" s="53"/>
      <c r="N28" s="53"/>
      <c r="O28" s="53"/>
      <c r="P28" s="53"/>
      <c r="Q28" s="53"/>
      <c r="R28" s="53"/>
      <c r="S28" s="53"/>
    </row>
    <row r="29" spans="1:19" x14ac:dyDescent="0.2">
      <c r="A29" s="107">
        <v>449</v>
      </c>
      <c r="B29" s="237" t="str">
        <f>VLOOKUP( $A29, Aop!$A$2:$P$456, 2, 0)</f>
        <v>BPK</v>
      </c>
      <c r="C29" s="53" t="str">
        <f t="shared" si="14"/>
        <v>01814788</v>
      </c>
      <c r="D29" s="53" t="str">
        <f t="shared" si="15"/>
        <v>4400570050004</v>
      </c>
      <c r="E29" s="53" t="b">
        <f t="shared" si="16"/>
        <v>0</v>
      </c>
      <c r="F29" s="11">
        <f>VLOOKUP( $A29, Aop!$A$2:$P$456, 4, 0)</f>
        <v>920</v>
      </c>
      <c r="G29" s="53">
        <f t="shared" si="17"/>
        <v>2025</v>
      </c>
      <c r="H29" s="236">
        <f t="shared" si="18"/>
        <v>46022</v>
      </c>
      <c r="I29" s="53">
        <f t="shared" si="19"/>
        <v>4</v>
      </c>
      <c r="J29" s="53" t="str">
        <f t="shared" ca="1" si="20"/>
        <v/>
      </c>
      <c r="K29" s="53"/>
      <c r="L29" s="53"/>
      <c r="M29" s="53"/>
      <c r="N29" s="53"/>
      <c r="O29" s="53"/>
      <c r="P29" s="53"/>
      <c r="Q29" s="53"/>
      <c r="R29" s="53"/>
      <c r="S29" s="53"/>
    </row>
    <row r="30" spans="1:19" x14ac:dyDescent="0.2">
      <c r="A30" s="107">
        <v>450</v>
      </c>
      <c r="B30" s="237" t="str">
        <f>VLOOKUP( $A30, Aop!$A$2:$P$456, 2, 0)</f>
        <v>BPK</v>
      </c>
      <c r="C30" s="53" t="str">
        <f t="shared" si="14"/>
        <v>01814788</v>
      </c>
      <c r="D30" s="53" t="str">
        <f t="shared" si="15"/>
        <v>4400570050004</v>
      </c>
      <c r="E30" s="53" t="b">
        <f t="shared" si="16"/>
        <v>0</v>
      </c>
      <c r="F30" s="11">
        <f>VLOOKUP( $A30, Aop!$A$2:$P$456, 4, 0)</f>
        <v>921</v>
      </c>
      <c r="G30" s="53">
        <f t="shared" si="17"/>
        <v>2025</v>
      </c>
      <c r="H30" s="236">
        <f t="shared" si="18"/>
        <v>46022</v>
      </c>
      <c r="I30" s="53">
        <f t="shared" si="19"/>
        <v>4</v>
      </c>
      <c r="J30" s="53" t="str">
        <f t="shared" ca="1" si="20"/>
        <v/>
      </c>
      <c r="K30" s="53"/>
      <c r="L30" s="53"/>
      <c r="M30" s="53"/>
      <c r="N30" s="53"/>
      <c r="O30" s="53"/>
      <c r="P30" s="53"/>
      <c r="Q30" s="53"/>
      <c r="R30" s="53"/>
      <c r="S30" s="53"/>
    </row>
    <row r="31" spans="1:19" x14ac:dyDescent="0.2">
      <c r="A31" s="107">
        <v>451</v>
      </c>
      <c r="B31" s="237" t="str">
        <f>VLOOKUP( $A31, Aop!$A$2:$P$456, 2, 0)</f>
        <v>BPK</v>
      </c>
      <c r="C31" s="53" t="str">
        <f t="shared" si="14"/>
        <v>01814788</v>
      </c>
      <c r="D31" s="53" t="str">
        <f t="shared" si="15"/>
        <v>4400570050004</v>
      </c>
      <c r="E31" s="53" t="b">
        <f t="shared" si="16"/>
        <v>0</v>
      </c>
      <c r="F31" s="11">
        <f>VLOOKUP( $A31, Aop!$A$2:$P$456, 4, 0)</f>
        <v>922</v>
      </c>
      <c r="G31" s="53">
        <f t="shared" si="17"/>
        <v>2025</v>
      </c>
      <c r="H31" s="236">
        <f t="shared" si="18"/>
        <v>46022</v>
      </c>
      <c r="I31" s="53">
        <f t="shared" si="19"/>
        <v>4</v>
      </c>
      <c r="J31" s="53" t="str">
        <f t="shared" ca="1" si="20"/>
        <v/>
      </c>
      <c r="K31" s="53"/>
      <c r="L31" s="53"/>
      <c r="M31" s="53"/>
      <c r="N31" s="53"/>
      <c r="O31" s="53"/>
      <c r="P31" s="53"/>
      <c r="Q31" s="53"/>
      <c r="R31" s="53"/>
      <c r="S31" s="53"/>
    </row>
    <row r="32" spans="1:19" x14ac:dyDescent="0.2">
      <c r="A32" s="107">
        <v>452</v>
      </c>
      <c r="B32" s="237" t="str">
        <f>VLOOKUP( $A32, Aop!$A$2:$P$456, 2, 0)</f>
        <v>BPK</v>
      </c>
      <c r="C32" s="53" t="str">
        <f t="shared" si="14"/>
        <v>01814788</v>
      </c>
      <c r="D32" s="53" t="str">
        <f t="shared" si="15"/>
        <v>4400570050004</v>
      </c>
      <c r="E32" s="53" t="b">
        <f t="shared" si="16"/>
        <v>0</v>
      </c>
      <c r="F32" s="11">
        <f>VLOOKUP( $A32, Aop!$A$2:$P$456, 4, 0)</f>
        <v>923</v>
      </c>
      <c r="G32" s="53">
        <f t="shared" si="17"/>
        <v>2025</v>
      </c>
      <c r="H32" s="236">
        <f t="shared" si="18"/>
        <v>46022</v>
      </c>
      <c r="I32" s="53">
        <f t="shared" si="19"/>
        <v>4</v>
      </c>
      <c r="J32" s="53" t="str">
        <f t="shared" ca="1" si="20"/>
        <v/>
      </c>
      <c r="K32" s="53"/>
      <c r="L32" s="53"/>
      <c r="M32" s="53"/>
      <c r="N32" s="53"/>
      <c r="O32" s="53"/>
      <c r="P32" s="53"/>
      <c r="Q32" s="53"/>
      <c r="R32" s="53"/>
      <c r="S32" s="53"/>
    </row>
    <row r="33" spans="1:19" x14ac:dyDescent="0.2">
      <c r="A33" s="107">
        <v>453</v>
      </c>
      <c r="B33" s="237" t="str">
        <f>VLOOKUP( $A33, Aop!$A$2:$P$456, 2, 0)</f>
        <v>BPK</v>
      </c>
      <c r="C33" s="53" t="str">
        <f t="shared" si="14"/>
        <v>01814788</v>
      </c>
      <c r="D33" s="53" t="str">
        <f t="shared" si="15"/>
        <v>4400570050004</v>
      </c>
      <c r="E33" s="53" t="b">
        <f t="shared" si="16"/>
        <v>0</v>
      </c>
      <c r="F33" s="11">
        <f>VLOOKUP( $A33, Aop!$A$2:$P$456, 4, 0)</f>
        <v>924</v>
      </c>
      <c r="G33" s="53">
        <f t="shared" si="17"/>
        <v>2025</v>
      </c>
      <c r="H33" s="236">
        <f t="shared" si="18"/>
        <v>46022</v>
      </c>
      <c r="I33" s="53">
        <f t="shared" si="19"/>
        <v>4</v>
      </c>
      <c r="J33" s="53" t="str">
        <f t="shared" ca="1" si="20"/>
        <v/>
      </c>
      <c r="K33" s="53"/>
      <c r="L33" s="53"/>
      <c r="M33" s="53"/>
      <c r="N33" s="53"/>
      <c r="O33" s="53"/>
      <c r="P33" s="53"/>
      <c r="Q33" s="53"/>
      <c r="R33" s="53"/>
      <c r="S33" s="53"/>
    </row>
    <row r="34" spans="1:19" x14ac:dyDescent="0.2">
      <c r="A34" s="107">
        <v>454</v>
      </c>
      <c r="B34" s="237" t="str">
        <f>VLOOKUP( $A34, Aop!$A$2:$P$456, 2, 0)</f>
        <v>BPK</v>
      </c>
      <c r="C34" s="53" t="str">
        <f t="shared" si="14"/>
        <v>01814788</v>
      </c>
      <c r="D34" s="53" t="str">
        <f t="shared" si="15"/>
        <v>4400570050004</v>
      </c>
      <c r="E34" s="53" t="b">
        <f t="shared" si="16"/>
        <v>0</v>
      </c>
      <c r="F34" s="11">
        <f>VLOOKUP( $A34, Aop!$A$2:$P$456, 4, 0)</f>
        <v>0</v>
      </c>
      <c r="G34" s="53">
        <f t="shared" si="17"/>
        <v>2025</v>
      </c>
      <c r="H34" s="236">
        <f t="shared" si="18"/>
        <v>46022</v>
      </c>
      <c r="I34" s="53">
        <f t="shared" si="19"/>
        <v>4</v>
      </c>
      <c r="J34" s="53" t="str">
        <f t="shared" ca="1" si="20"/>
        <v/>
      </c>
      <c r="K34" s="53"/>
      <c r="L34" s="53"/>
      <c r="M34" s="53"/>
      <c r="N34" s="53"/>
      <c r="O34" s="53"/>
      <c r="P34" s="53"/>
      <c r="Q34" s="53"/>
      <c r="R34" s="53"/>
      <c r="S34" s="53"/>
    </row>
    <row r="35" spans="1:19" x14ac:dyDescent="0.2">
      <c r="A35" s="107">
        <v>455</v>
      </c>
      <c r="B35" s="237" t="str">
        <f>VLOOKUP( $A35, Aop!$A$2:$P$456, 2, 0)</f>
        <v>BPK</v>
      </c>
      <c r="C35" s="53" t="str">
        <f t="shared" si="7"/>
        <v>01814788</v>
      </c>
      <c r="D35" s="53" t="str">
        <f t="shared" si="8"/>
        <v>4400570050004</v>
      </c>
      <c r="E35" s="53" t="b">
        <f t="shared" si="9"/>
        <v>0</v>
      </c>
      <c r="F35" s="11">
        <f>VLOOKUP( $A35, Aop!$A$2:$P$456, 4, 0)</f>
        <v>925</v>
      </c>
      <c r="G35" s="53">
        <f t="shared" si="10"/>
        <v>2025</v>
      </c>
      <c r="H35" s="236">
        <f t="shared" si="11"/>
        <v>46022</v>
      </c>
      <c r="I35" s="53">
        <f t="shared" si="12"/>
        <v>4</v>
      </c>
      <c r="J35" s="53">
        <f t="shared" ref="J35:S35" ca="1" si="21">IF(VLOOKUP($F35,INDIRECT("Lookup_"&amp;$B35),J$1-1,0)="","",VLOOKUP($F35,INDIRECT("Lookup_"&amp;$B35),J$1-1,0))</f>
        <v>15795899</v>
      </c>
      <c r="K35" s="53">
        <f t="shared" ca="1" si="21"/>
        <v>0</v>
      </c>
      <c r="L35" s="53">
        <f t="shared" ca="1" si="21"/>
        <v>14953035</v>
      </c>
      <c r="M35" s="53">
        <f t="shared" ca="1" si="21"/>
        <v>39197536</v>
      </c>
      <c r="N35" s="53">
        <f t="shared" ca="1" si="21"/>
        <v>0</v>
      </c>
      <c r="O35" s="53">
        <f t="shared" ca="1" si="21"/>
        <v>0</v>
      </c>
      <c r="P35" s="53">
        <f t="shared" ca="1" si="21"/>
        <v>45555215</v>
      </c>
      <c r="Q35" s="53">
        <f t="shared" ca="1" si="21"/>
        <v>115501685</v>
      </c>
      <c r="R35" s="53">
        <f t="shared" ca="1" si="21"/>
        <v>0</v>
      </c>
      <c r="S35" s="53">
        <f t="shared" ca="1" si="21"/>
        <v>115501685</v>
      </c>
    </row>
  </sheetData>
  <phoneticPr fontId="27"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sheetPr>
  <dimension ref="B1:V445"/>
  <sheetViews>
    <sheetView showGridLines="0" showRowColHeaders="0" zoomScale="115" zoomScaleNormal="115" zoomScaleSheetLayoutView="100" workbookViewId="0">
      <pane ySplit="1" topLeftCell="A415" activePane="bottomLeft" state="frozen"/>
      <selection pane="bottomLeft" activeCell="S430" sqref="S430"/>
    </sheetView>
  </sheetViews>
  <sheetFormatPr defaultRowHeight="12.75" x14ac:dyDescent="0.2"/>
  <cols>
    <col min="1" max="1" width="9.140625" style="8"/>
    <col min="2" max="2" width="8.42578125" style="8" customWidth="1"/>
    <col min="3" max="3" width="5.7109375" style="8" customWidth="1"/>
    <col min="4" max="10" width="9.5703125" style="8" customWidth="1"/>
    <col min="11" max="12" width="10.5703125" style="8" customWidth="1"/>
    <col min="13" max="13" width="9.85546875" style="8" customWidth="1"/>
    <col min="14" max="14" width="10.5703125" style="8" hidden="1" customWidth="1"/>
    <col min="15" max="15" width="10.42578125" style="8" hidden="1" customWidth="1"/>
    <col min="16" max="16" width="12.42578125" style="8" bestFit="1" customWidth="1"/>
    <col min="17" max="17" width="8.5703125" style="8" bestFit="1" customWidth="1"/>
    <col min="18" max="18" width="13.140625" style="8" bestFit="1" customWidth="1"/>
    <col min="19" max="19" width="13.28515625" style="8" bestFit="1" customWidth="1"/>
    <col min="20" max="16384" width="9.140625" style="8"/>
  </cols>
  <sheetData>
    <row r="1" spans="2:22" ht="29.25" customHeight="1" x14ac:dyDescent="0.2">
      <c r="B1" s="176" t="s">
        <v>863</v>
      </c>
      <c r="C1" s="176" t="s">
        <v>74</v>
      </c>
      <c r="D1" s="176" t="s">
        <v>864</v>
      </c>
      <c r="E1" s="176" t="s">
        <v>865</v>
      </c>
      <c r="F1" s="176" t="s">
        <v>866</v>
      </c>
      <c r="G1" s="176" t="s">
        <v>867</v>
      </c>
      <c r="H1" s="176" t="s">
        <v>868</v>
      </c>
      <c r="I1" s="176" t="s">
        <v>869</v>
      </c>
      <c r="J1" s="176" t="s">
        <v>870</v>
      </c>
      <c r="K1" s="176" t="s">
        <v>871</v>
      </c>
      <c r="L1" s="176" t="s">
        <v>1714</v>
      </c>
      <c r="M1" s="176" t="s">
        <v>1715</v>
      </c>
      <c r="N1" s="176" t="s">
        <v>2583</v>
      </c>
      <c r="O1" s="176" t="s">
        <v>249</v>
      </c>
      <c r="P1" s="243" t="s">
        <v>3038</v>
      </c>
    </row>
    <row r="2" spans="2:22" x14ac:dyDescent="0.2">
      <c r="B2" s="45">
        <f>VLOOKUP( T_ApifImport[[#This Row],[Bilans]], T_Bilansi[], 4, 0)</f>
        <v>1</v>
      </c>
      <c r="C2" s="239">
        <f>VLOOKUP( T_ApifImport[[#This Row],[ld]], T_Aop[], 4, 0)</f>
        <v>1</v>
      </c>
      <c r="D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377599862</v>
      </c>
      <c r="E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224783178</v>
      </c>
      <c r="F2"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152816684</v>
      </c>
      <c r="G2"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153010752</v>
      </c>
      <c r="H2"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 s="8">
        <v>1</v>
      </c>
      <c r="O2" s="240" t="s">
        <v>873</v>
      </c>
      <c r="P2" s="8" t="s">
        <v>880</v>
      </c>
    </row>
    <row r="3" spans="2:22" x14ac:dyDescent="0.2">
      <c r="B3" s="45">
        <f>VLOOKUP( T_ApifImport[[#This Row],[Bilans]], T_Bilansi[], 4, 0)</f>
        <v>1</v>
      </c>
      <c r="C3" s="239">
        <f>VLOOKUP( T_ApifImport[[#This Row],[ld]], T_Aop[], 4, 0)</f>
        <v>2</v>
      </c>
      <c r="D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7997256</v>
      </c>
      <c r="E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2677112</v>
      </c>
      <c r="F3"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5320144</v>
      </c>
      <c r="G3"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5305397</v>
      </c>
      <c r="H3"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 s="8">
        <v>2</v>
      </c>
      <c r="O3" s="240" t="s">
        <v>873</v>
      </c>
    </row>
    <row r="4" spans="2:22" x14ac:dyDescent="0.2">
      <c r="B4" s="45">
        <f>VLOOKUP( T_ApifImport[[#This Row],[Bilans]], T_Bilansi[], 4, 0)</f>
        <v>1</v>
      </c>
      <c r="C4" s="239">
        <f>VLOOKUP( T_ApifImport[[#This Row],[ld]], T_Aop[], 4, 0)</f>
        <v>3</v>
      </c>
      <c r="D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42799</v>
      </c>
      <c r="E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25694</v>
      </c>
      <c r="F4"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17105</v>
      </c>
      <c r="G4"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18532</v>
      </c>
      <c r="H4"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 s="8">
        <v>3</v>
      </c>
      <c r="O4" s="240" t="s">
        <v>873</v>
      </c>
    </row>
    <row r="5" spans="2:22" x14ac:dyDescent="0.2">
      <c r="B5" s="45">
        <f>VLOOKUP( T_ApifImport[[#This Row],[Bilans]], T_Bilansi[], 4, 0)</f>
        <v>1</v>
      </c>
      <c r="C5" s="239">
        <f>VLOOKUP( T_ApifImport[[#This Row],[ld]], T_Aop[], 4, 0)</f>
        <v>4</v>
      </c>
      <c r="D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7954457</v>
      </c>
      <c r="E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2651418</v>
      </c>
      <c r="F5"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5303039</v>
      </c>
      <c r="G5"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5286865</v>
      </c>
      <c r="H5"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 s="8">
        <v>4</v>
      </c>
      <c r="O5" s="240" t="s">
        <v>873</v>
      </c>
    </row>
    <row r="6" spans="2:22" x14ac:dyDescent="0.2">
      <c r="B6" s="45">
        <f>VLOOKUP( T_ApifImport[[#This Row],[Bilans]], T_Bilansi[], 4, 0)</f>
        <v>1</v>
      </c>
      <c r="C6" s="239">
        <f>VLOOKUP( T_ApifImport[[#This Row],[ld]], T_Aop[], 4, 0)</f>
        <v>5</v>
      </c>
      <c r="D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 s="8">
        <v>5</v>
      </c>
      <c r="O6" s="240" t="s">
        <v>873</v>
      </c>
    </row>
    <row r="7" spans="2:22" x14ac:dyDescent="0.2">
      <c r="B7" s="45">
        <f>VLOOKUP( T_ApifImport[[#This Row],[Bilans]], T_Bilansi[], 4, 0)</f>
        <v>1</v>
      </c>
      <c r="C7" s="239">
        <f>VLOOKUP( T_ApifImport[[#This Row],[ld]], T_Aop[], 4, 0)</f>
        <v>6</v>
      </c>
      <c r="D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7"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7"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 s="8">
        <v>6</v>
      </c>
      <c r="O7" s="240" t="s">
        <v>873</v>
      </c>
    </row>
    <row r="8" spans="2:22" x14ac:dyDescent="0.2">
      <c r="B8" s="45">
        <f>VLOOKUP( T_ApifImport[[#This Row],[Bilans]], T_Bilansi[], 4, 0)</f>
        <v>1</v>
      </c>
      <c r="C8" s="239">
        <f>VLOOKUP( T_ApifImport[[#This Row],[ld]], T_Aop[], 4, 0)</f>
        <v>7</v>
      </c>
      <c r="D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8"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8"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 s="8">
        <v>7</v>
      </c>
      <c r="O8" s="240" t="s">
        <v>873</v>
      </c>
    </row>
    <row r="9" spans="2:22" x14ac:dyDescent="0.2">
      <c r="B9" s="45">
        <f>VLOOKUP( T_ApifImport[[#This Row],[Bilans]], T_Bilansi[], 4, 0)</f>
        <v>1</v>
      </c>
      <c r="C9" s="239">
        <f>VLOOKUP( T_ApifImport[[#This Row],[ld]], T_Aop[], 4, 0)</f>
        <v>8</v>
      </c>
      <c r="D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347817014</v>
      </c>
      <c r="E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221444986</v>
      </c>
      <c r="F9"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126372028</v>
      </c>
      <c r="G9"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126557415</v>
      </c>
      <c r="H9"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 s="8">
        <v>8</v>
      </c>
      <c r="O9" s="240" t="s">
        <v>873</v>
      </c>
    </row>
    <row r="10" spans="2:22" x14ac:dyDescent="0.2">
      <c r="B10" s="45">
        <f>VLOOKUP( T_ApifImport[[#This Row],[Bilans]], T_Bilansi[], 4, 0)</f>
        <v>1</v>
      </c>
      <c r="C10" s="239">
        <f>VLOOKUP( T_ApifImport[[#This Row],[ld]], T_Aop[], 4, 0)</f>
        <v>9</v>
      </c>
      <c r="D1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372281</v>
      </c>
      <c r="E1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372281</v>
      </c>
      <c r="G10"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368911</v>
      </c>
      <c r="H10"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 s="8">
        <v>9</v>
      </c>
      <c r="O10" s="240" t="s">
        <v>873</v>
      </c>
    </row>
    <row r="11" spans="2:22" x14ac:dyDescent="0.2">
      <c r="B11" s="45">
        <f>VLOOKUP( T_ApifImport[[#This Row],[Bilans]], T_Bilansi[], 4, 0)</f>
        <v>1</v>
      </c>
      <c r="C11" s="239">
        <f>VLOOKUP( T_ApifImport[[#This Row],[ld]], T_Aop[], 4, 0)</f>
        <v>10</v>
      </c>
      <c r="D1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50640801</v>
      </c>
      <c r="E1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20577408</v>
      </c>
      <c r="F11"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30063393</v>
      </c>
      <c r="G11"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27993431</v>
      </c>
      <c r="H11"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 s="8">
        <v>10</v>
      </c>
      <c r="O11" s="240" t="s">
        <v>873</v>
      </c>
    </row>
    <row r="12" spans="2:22" x14ac:dyDescent="0.2">
      <c r="B12" s="45">
        <f>VLOOKUP( T_ApifImport[[#This Row],[Bilans]], T_Bilansi[], 4, 0)</f>
        <v>1</v>
      </c>
      <c r="C12" s="239">
        <f>VLOOKUP( T_ApifImport[[#This Row],[ld]], T_Aop[], 4, 0)</f>
        <v>11</v>
      </c>
      <c r="D1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290589474</v>
      </c>
      <c r="E1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200867578</v>
      </c>
      <c r="F12"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89721896</v>
      </c>
      <c r="G12"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88900626</v>
      </c>
      <c r="H12"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 s="8">
        <v>11</v>
      </c>
      <c r="O12" s="240" t="s">
        <v>873</v>
      </c>
      <c r="P12" s="8" t="s">
        <v>878</v>
      </c>
    </row>
    <row r="13" spans="2:22" x14ac:dyDescent="0.2">
      <c r="B13" s="45">
        <f>VLOOKUP( T_ApifImport[[#This Row],[Bilans]], T_Bilansi[], 4, 0)</f>
        <v>1</v>
      </c>
      <c r="C13" s="239">
        <f>VLOOKUP( T_ApifImport[[#This Row],[ld]], T_Aop[], 4, 0)</f>
        <v>12</v>
      </c>
      <c r="D1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16731</v>
      </c>
      <c r="E1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16731</v>
      </c>
      <c r="G13"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16731</v>
      </c>
      <c r="H13"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 s="8">
        <v>12</v>
      </c>
      <c r="O13" s="240" t="s">
        <v>873</v>
      </c>
      <c r="P13" s="8" t="s">
        <v>879</v>
      </c>
    </row>
    <row r="14" spans="2:22" x14ac:dyDescent="0.2">
      <c r="B14" s="45">
        <f>VLOOKUP( T_ApifImport[[#This Row],[Bilans]], T_Bilansi[], 4, 0)</f>
        <v>1</v>
      </c>
      <c r="C14" s="239">
        <f>VLOOKUP( T_ApifImport[[#This Row],[ld]], T_Aop[], 4, 0)</f>
        <v>13</v>
      </c>
      <c r="D1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4"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4"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 s="8">
        <v>13</v>
      </c>
      <c r="O14" s="240" t="s">
        <v>873</v>
      </c>
    </row>
    <row r="15" spans="2:22" x14ac:dyDescent="0.2">
      <c r="B15" s="45">
        <f>VLOOKUP( T_ApifImport[[#This Row],[Bilans]], T_Bilansi[], 4, 0)</f>
        <v>1</v>
      </c>
      <c r="C15" s="239">
        <f>VLOOKUP( T_ApifImport[[#This Row],[ld]], T_Aop[], 4, 0)</f>
        <v>14</v>
      </c>
      <c r="D1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6197727</v>
      </c>
      <c r="E1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6197727</v>
      </c>
      <c r="G15"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9277716</v>
      </c>
      <c r="H15"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 s="8">
        <v>14</v>
      </c>
      <c r="O15" s="240" t="s">
        <v>873</v>
      </c>
      <c r="P15" s="544" t="s">
        <v>3041</v>
      </c>
      <c r="Q15" s="544"/>
      <c r="R15" s="544"/>
      <c r="S15" s="544"/>
      <c r="T15" s="544"/>
      <c r="U15" s="544"/>
      <c r="V15" s="544"/>
    </row>
    <row r="16" spans="2:22" x14ac:dyDescent="0.2">
      <c r="B16" s="45">
        <f>VLOOKUP( T_ApifImport[[#This Row],[Bilans]], T_Bilansi[], 4, 0)</f>
        <v>1</v>
      </c>
      <c r="C16" s="239">
        <f>VLOOKUP( T_ApifImport[[#This Row],[ld]], T_Aop[], 4, 0)</f>
        <v>15</v>
      </c>
      <c r="D1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511675</v>
      </c>
      <c r="E1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86757</v>
      </c>
      <c r="F16"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424918</v>
      </c>
      <c r="G16"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430097</v>
      </c>
      <c r="H16"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 s="8">
        <v>15</v>
      </c>
      <c r="O16" s="240" t="s">
        <v>873</v>
      </c>
      <c r="P16" s="544" t="s">
        <v>3040</v>
      </c>
      <c r="Q16" s="544"/>
      <c r="R16" s="544"/>
      <c r="S16" s="544"/>
      <c r="T16" s="544"/>
      <c r="U16" s="544"/>
      <c r="V16" s="544"/>
    </row>
    <row r="17" spans="2:16" x14ac:dyDescent="0.2">
      <c r="B17" s="45">
        <f>VLOOKUP( T_ApifImport[[#This Row],[Bilans]], T_Bilansi[], 4, 0)</f>
        <v>1</v>
      </c>
      <c r="C17" s="239">
        <f>VLOOKUP( T_ApifImport[[#This Row],[ld]], T_Aop[], 4, 0)</f>
        <v>16</v>
      </c>
      <c r="D1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201025</v>
      </c>
      <c r="E1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25463</v>
      </c>
      <c r="F17"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175562</v>
      </c>
      <c r="G17"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188293</v>
      </c>
      <c r="H17"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 s="8">
        <v>16</v>
      </c>
      <c r="O17" s="240" t="s">
        <v>873</v>
      </c>
      <c r="P17" s="544" t="s">
        <v>3042</v>
      </c>
    </row>
    <row r="18" spans="2:16" x14ac:dyDescent="0.2">
      <c r="B18" s="45">
        <f>VLOOKUP( T_ApifImport[[#This Row],[Bilans]], T_Bilansi[], 4, 0)</f>
        <v>1</v>
      </c>
      <c r="C18" s="239">
        <f>VLOOKUP( T_ApifImport[[#This Row],[ld]], T_Aop[], 4, 0)</f>
        <v>17</v>
      </c>
      <c r="D1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8"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8"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 s="8">
        <v>17</v>
      </c>
      <c r="O18" s="240" t="s">
        <v>873</v>
      </c>
    </row>
    <row r="19" spans="2:16" x14ac:dyDescent="0.2">
      <c r="B19" s="45">
        <f>VLOOKUP( T_ApifImport[[#This Row],[Bilans]], T_Bilansi[], 4, 0)</f>
        <v>1</v>
      </c>
      <c r="C19" s="239">
        <f>VLOOKUP( T_ApifImport[[#This Row],[ld]], T_Aop[], 4, 0)</f>
        <v>18</v>
      </c>
      <c r="D1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9"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9"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 s="8">
        <v>18</v>
      </c>
      <c r="O19" s="240" t="s">
        <v>873</v>
      </c>
    </row>
    <row r="20" spans="2:16" x14ac:dyDescent="0.2">
      <c r="B20" s="45">
        <f>VLOOKUP( T_ApifImport[[#This Row],[Bilans]], T_Bilansi[], 4, 0)</f>
        <v>1</v>
      </c>
      <c r="C20" s="239">
        <f>VLOOKUP( T_ApifImport[[#This Row],[ld]], T_Aop[], 4, 0)</f>
        <v>19</v>
      </c>
      <c r="D2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0"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0"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 s="8">
        <v>19</v>
      </c>
      <c r="O20" s="240" t="s">
        <v>873</v>
      </c>
    </row>
    <row r="21" spans="2:16" x14ac:dyDescent="0.2">
      <c r="B21" s="45">
        <f>VLOOKUP( T_ApifImport[[#This Row],[Bilans]], T_Bilansi[], 4, 0)</f>
        <v>1</v>
      </c>
      <c r="C21" s="239">
        <f>VLOOKUP( T_ApifImport[[#This Row],[ld]], T_Aop[], 4, 0)</f>
        <v>20</v>
      </c>
      <c r="D2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1"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1"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 s="8">
        <v>20</v>
      </c>
      <c r="O21" s="240" t="s">
        <v>873</v>
      </c>
    </row>
    <row r="22" spans="2:16" x14ac:dyDescent="0.2">
      <c r="B22" s="45">
        <f>VLOOKUP( T_ApifImport[[#This Row],[Bilans]], T_Bilansi[], 4, 0)</f>
        <v>1</v>
      </c>
      <c r="C22" s="239">
        <f>VLOOKUP( T_ApifImport[[#This Row],[ld]], T_Aop[], 4, 0)</f>
        <v>21</v>
      </c>
      <c r="D2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2"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2"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 s="8">
        <v>21</v>
      </c>
      <c r="O22" s="240" t="s">
        <v>873</v>
      </c>
    </row>
    <row r="23" spans="2:16" x14ac:dyDescent="0.2">
      <c r="B23" s="45">
        <f>VLOOKUP( T_ApifImport[[#This Row],[Bilans]], T_Bilansi[], 4, 0)</f>
        <v>1</v>
      </c>
      <c r="C23" s="239">
        <f>VLOOKUP( T_ApifImport[[#This Row],[ld]], T_Aop[], 4, 0)</f>
        <v>22</v>
      </c>
      <c r="D2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21072892</v>
      </c>
      <c r="E2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548860</v>
      </c>
      <c r="F23"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20524032</v>
      </c>
      <c r="G23"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20529550</v>
      </c>
      <c r="H23"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 s="8">
        <v>22</v>
      </c>
      <c r="O23" s="240" t="s">
        <v>873</v>
      </c>
    </row>
    <row r="24" spans="2:16" x14ac:dyDescent="0.2">
      <c r="B24" s="45">
        <f>VLOOKUP( T_ApifImport[[#This Row],[Bilans]], T_Bilansi[], 4, 0)</f>
        <v>1</v>
      </c>
      <c r="C24" s="239">
        <f>VLOOKUP( T_ApifImport[[#This Row],[ld]], T_Aop[], 4, 0)</f>
        <v>23</v>
      </c>
      <c r="D2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20480669</v>
      </c>
      <c r="E2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20480669</v>
      </c>
      <c r="G24"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20480669</v>
      </c>
      <c r="H24"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 s="8">
        <v>23</v>
      </c>
      <c r="O24" s="240" t="s">
        <v>873</v>
      </c>
    </row>
    <row r="25" spans="2:16" x14ac:dyDescent="0.2">
      <c r="B25" s="45">
        <f>VLOOKUP( T_ApifImport[[#This Row],[Bilans]], T_Bilansi[], 4, 0)</f>
        <v>1</v>
      </c>
      <c r="C25" s="239">
        <f>VLOOKUP( T_ApifImport[[#This Row],[ld]], T_Aop[], 4, 0)</f>
        <v>24</v>
      </c>
      <c r="D2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5"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5"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 s="8">
        <v>24</v>
      </c>
      <c r="O25" s="240" t="s">
        <v>873</v>
      </c>
    </row>
    <row r="26" spans="2:16" x14ac:dyDescent="0.2">
      <c r="B26" s="45">
        <f>VLOOKUP( T_ApifImport[[#This Row],[Bilans]], T_Bilansi[], 4, 0)</f>
        <v>1</v>
      </c>
      <c r="C26" s="239">
        <f>VLOOKUP( T_ApifImport[[#This Row],[ld]], T_Aop[], 4, 0)</f>
        <v>25</v>
      </c>
      <c r="D2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548860</v>
      </c>
      <c r="E2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548860</v>
      </c>
      <c r="F26"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6"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6"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 s="8">
        <v>25</v>
      </c>
      <c r="O26" s="240" t="s">
        <v>873</v>
      </c>
    </row>
    <row r="27" spans="2:16" x14ac:dyDescent="0.2">
      <c r="B27" s="45">
        <f>VLOOKUP( T_ApifImport[[#This Row],[Bilans]], T_Bilansi[], 4, 0)</f>
        <v>1</v>
      </c>
      <c r="C27" s="239">
        <f>VLOOKUP( T_ApifImport[[#This Row],[ld]], T_Aop[], 4, 0)</f>
        <v>26</v>
      </c>
      <c r="D2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7"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7"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 s="8">
        <v>26</v>
      </c>
      <c r="O27" s="240" t="s">
        <v>873</v>
      </c>
    </row>
    <row r="28" spans="2:16" x14ac:dyDescent="0.2">
      <c r="B28" s="45">
        <f>VLOOKUP( T_ApifImport[[#This Row],[Bilans]], T_Bilansi[], 4, 0)</f>
        <v>1</v>
      </c>
      <c r="C28" s="239">
        <f>VLOOKUP( T_ApifImport[[#This Row],[ld]], T_Aop[], 4, 0)</f>
        <v>27</v>
      </c>
      <c r="D2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548860</v>
      </c>
      <c r="E2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548860</v>
      </c>
      <c r="F28"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8"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8"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 s="8">
        <v>27</v>
      </c>
      <c r="O28" s="240" t="s">
        <v>873</v>
      </c>
    </row>
    <row r="29" spans="2:16" x14ac:dyDescent="0.2">
      <c r="B29" s="45">
        <f>VLOOKUP( T_ApifImport[[#This Row],[Bilans]], T_Bilansi[], 4, 0)</f>
        <v>1</v>
      </c>
      <c r="C29" s="239">
        <f>VLOOKUP( T_ApifImport[[#This Row],[ld]], T_Aop[], 4, 0)</f>
        <v>28</v>
      </c>
      <c r="D2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9"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9"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 s="8">
        <v>28</v>
      </c>
      <c r="O29" s="240" t="s">
        <v>873</v>
      </c>
    </row>
    <row r="30" spans="2:16" x14ac:dyDescent="0.2">
      <c r="B30" s="45">
        <f>VLOOKUP( T_ApifImport[[#This Row],[Bilans]], T_Bilansi[], 4, 0)</f>
        <v>1</v>
      </c>
      <c r="C30" s="239">
        <f>VLOOKUP( T_ApifImport[[#This Row],[ld]], T_Aop[], 4, 0)</f>
        <v>29</v>
      </c>
      <c r="D3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0"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0"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 s="8">
        <v>29</v>
      </c>
      <c r="O30" s="240" t="s">
        <v>873</v>
      </c>
    </row>
    <row r="31" spans="2:16" x14ac:dyDescent="0.2">
      <c r="B31" s="45">
        <f>VLOOKUP( T_ApifImport[[#This Row],[Bilans]], T_Bilansi[], 4, 0)</f>
        <v>1</v>
      </c>
      <c r="C31" s="239">
        <f>VLOOKUP( T_ApifImport[[#This Row],[ld]], T_Aop[], 4, 0)</f>
        <v>30</v>
      </c>
      <c r="D3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43363</v>
      </c>
      <c r="E3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43363</v>
      </c>
      <c r="G31"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48881</v>
      </c>
      <c r="H31"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 s="8">
        <v>30</v>
      </c>
      <c r="O31" s="240" t="s">
        <v>873</v>
      </c>
    </row>
    <row r="32" spans="2:16" x14ac:dyDescent="0.2">
      <c r="B32" s="45">
        <f>VLOOKUP( T_ApifImport[[#This Row],[Bilans]], T_Bilansi[], 4, 0)</f>
        <v>1</v>
      </c>
      <c r="C32" s="239">
        <f>VLOOKUP( T_ApifImport[[#This Row],[ld]], T_Aop[], 4, 0)</f>
        <v>31</v>
      </c>
      <c r="D3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2"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2"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 s="8">
        <v>31</v>
      </c>
      <c r="O32" s="240" t="s">
        <v>873</v>
      </c>
    </row>
    <row r="33" spans="2:15" x14ac:dyDescent="0.2">
      <c r="B33" s="45">
        <f>VLOOKUP( T_ApifImport[[#This Row],[Bilans]], T_Bilansi[], 4, 0)</f>
        <v>1</v>
      </c>
      <c r="C33" s="239">
        <f>VLOOKUP( T_ApifImport[[#This Row],[ld]], T_Aop[], 4, 0)</f>
        <v>32</v>
      </c>
      <c r="D3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43363</v>
      </c>
      <c r="E3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43363</v>
      </c>
      <c r="G33"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48881</v>
      </c>
      <c r="H33"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 s="8">
        <v>32</v>
      </c>
      <c r="O33" s="240" t="s">
        <v>873</v>
      </c>
    </row>
    <row r="34" spans="2:15" x14ac:dyDescent="0.2">
      <c r="B34" s="45">
        <f>VLOOKUP( T_ApifImport[[#This Row],[Bilans]], T_Bilansi[], 4, 0)</f>
        <v>1</v>
      </c>
      <c r="C34" s="239">
        <f>VLOOKUP( T_ApifImport[[#This Row],[ld]], T_Aop[], 4, 0)</f>
        <v>33</v>
      </c>
      <c r="D3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4"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4"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 s="8">
        <v>33</v>
      </c>
      <c r="O34" s="240" t="s">
        <v>873</v>
      </c>
    </row>
    <row r="35" spans="2:15" x14ac:dyDescent="0.2">
      <c r="B35" s="45">
        <f>VLOOKUP( T_ApifImport[[#This Row],[Bilans]], T_Bilansi[], 4, 0)</f>
        <v>1</v>
      </c>
      <c r="C35" s="239">
        <f>VLOOKUP( T_ApifImport[[#This Row],[ld]], T_Aop[], 4, 0)</f>
        <v>34</v>
      </c>
      <c r="D3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5"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5"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 s="8">
        <v>34</v>
      </c>
      <c r="O35" s="240" t="s">
        <v>873</v>
      </c>
    </row>
    <row r="36" spans="2:15" x14ac:dyDescent="0.2">
      <c r="B36" s="45">
        <f>VLOOKUP( T_ApifImport[[#This Row],[Bilans]], T_Bilansi[], 4, 0)</f>
        <v>1</v>
      </c>
      <c r="C36" s="239">
        <f>VLOOKUP( T_ApifImport[[#This Row],[ld]], T_Aop[], 4, 0)</f>
        <v>35</v>
      </c>
      <c r="D3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100645</v>
      </c>
      <c r="E3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100645</v>
      </c>
      <c r="G36"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123540</v>
      </c>
      <c r="H36"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 s="8">
        <v>35</v>
      </c>
      <c r="O36" s="240" t="s">
        <v>873</v>
      </c>
    </row>
    <row r="37" spans="2:15" x14ac:dyDescent="0.2">
      <c r="B37" s="45">
        <f>VLOOKUP( T_ApifImport[[#This Row],[Bilans]], T_Bilansi[], 4, 0)</f>
        <v>1</v>
      </c>
      <c r="C37" s="239">
        <f>VLOOKUP( T_ApifImport[[#This Row],[ld]], T_Aop[], 4, 0)</f>
        <v>36</v>
      </c>
      <c r="D3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62258846</v>
      </c>
      <c r="E3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49697360</v>
      </c>
      <c r="F37"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12561486</v>
      </c>
      <c r="G37"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11982898</v>
      </c>
      <c r="H37"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 s="8">
        <v>36</v>
      </c>
      <c r="O37" s="240" t="s">
        <v>873</v>
      </c>
    </row>
    <row r="38" spans="2:15" x14ac:dyDescent="0.2">
      <c r="B38" s="45">
        <f>VLOOKUP( T_ApifImport[[#This Row],[Bilans]], T_Bilansi[], 4, 0)</f>
        <v>1</v>
      </c>
      <c r="C38" s="239">
        <f>VLOOKUP( T_ApifImport[[#This Row],[ld]], T_Aop[], 4, 0)</f>
        <v>37</v>
      </c>
      <c r="D3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4407798</v>
      </c>
      <c r="E3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1207228</v>
      </c>
      <c r="F38"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3200570</v>
      </c>
      <c r="G38"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3323943</v>
      </c>
      <c r="H38"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 s="8">
        <v>37</v>
      </c>
      <c r="O38" s="240" t="s">
        <v>873</v>
      </c>
    </row>
    <row r="39" spans="2:15" x14ac:dyDescent="0.2">
      <c r="B39" s="45">
        <f>VLOOKUP( T_ApifImport[[#This Row],[Bilans]], T_Bilansi[], 4, 0)</f>
        <v>1</v>
      </c>
      <c r="C39" s="239">
        <f>VLOOKUP( T_ApifImport[[#This Row],[ld]], T_Aop[], 4, 0)</f>
        <v>38</v>
      </c>
      <c r="D3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4315791</v>
      </c>
      <c r="E3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1130901</v>
      </c>
      <c r="F39"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3184890</v>
      </c>
      <c r="G39"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3307559</v>
      </c>
      <c r="H39"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 s="8">
        <v>38</v>
      </c>
      <c r="O39" s="240" t="s">
        <v>873</v>
      </c>
    </row>
    <row r="40" spans="2:15" x14ac:dyDescent="0.2">
      <c r="B40" s="45">
        <f>VLOOKUP( T_ApifImport[[#This Row],[Bilans]], T_Bilansi[], 4, 0)</f>
        <v>1</v>
      </c>
      <c r="C40" s="239">
        <f>VLOOKUP( T_ApifImport[[#This Row],[ld]], T_Aop[], 4, 0)</f>
        <v>39</v>
      </c>
      <c r="D4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0"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0"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 s="8">
        <v>39</v>
      </c>
      <c r="O40" s="240" t="s">
        <v>873</v>
      </c>
    </row>
    <row r="41" spans="2:15" x14ac:dyDescent="0.2">
      <c r="B41" s="45">
        <f>VLOOKUP( T_ApifImport[[#This Row],[Bilans]], T_Bilansi[], 4, 0)</f>
        <v>1</v>
      </c>
      <c r="C41" s="239">
        <f>VLOOKUP( T_ApifImport[[#This Row],[ld]], T_Aop[], 4, 0)</f>
        <v>40</v>
      </c>
      <c r="D4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1"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1"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 s="8">
        <v>40</v>
      </c>
      <c r="O41" s="240" t="s">
        <v>873</v>
      </c>
    </row>
    <row r="42" spans="2:15" x14ac:dyDescent="0.2">
      <c r="B42" s="45">
        <f>VLOOKUP( T_ApifImport[[#This Row],[Bilans]], T_Bilansi[], 4, 0)</f>
        <v>1</v>
      </c>
      <c r="C42" s="239">
        <f>VLOOKUP( T_ApifImport[[#This Row],[ld]], T_Aop[], 4, 0)</f>
        <v>41</v>
      </c>
      <c r="D4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2"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2"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2"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2"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2"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2" s="8">
        <v>41</v>
      </c>
      <c r="O42" s="240" t="s">
        <v>873</v>
      </c>
    </row>
    <row r="43" spans="2:15" x14ac:dyDescent="0.2">
      <c r="B43" s="45">
        <f>VLOOKUP( T_ApifImport[[#This Row],[Bilans]], T_Bilansi[], 4, 0)</f>
        <v>1</v>
      </c>
      <c r="C43" s="239">
        <f>VLOOKUP( T_ApifImport[[#This Row],[ld]], T_Aop[], 4, 0)</f>
        <v>42</v>
      </c>
      <c r="D4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3"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3"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3"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3"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3"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3" s="8">
        <v>42</v>
      </c>
      <c r="O43" s="240" t="s">
        <v>873</v>
      </c>
    </row>
    <row r="44" spans="2:15" x14ac:dyDescent="0.2">
      <c r="B44" s="45">
        <f>VLOOKUP( T_ApifImport[[#This Row],[Bilans]], T_Bilansi[], 4, 0)</f>
        <v>1</v>
      </c>
      <c r="C44" s="239">
        <f>VLOOKUP( T_ApifImport[[#This Row],[ld]], T_Aop[], 4, 0)</f>
        <v>43</v>
      </c>
      <c r="D4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92007</v>
      </c>
      <c r="E4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76327</v>
      </c>
      <c r="F44"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15680</v>
      </c>
      <c r="G44"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16384</v>
      </c>
      <c r="H44"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4"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4"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4"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4"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4"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4" s="8">
        <v>43</v>
      </c>
      <c r="O44" s="240" t="s">
        <v>873</v>
      </c>
    </row>
    <row r="45" spans="2:15" x14ac:dyDescent="0.2">
      <c r="B45" s="45">
        <f>VLOOKUP( T_ApifImport[[#This Row],[Bilans]], T_Bilansi[], 4, 0)</f>
        <v>1</v>
      </c>
      <c r="C45" s="239">
        <f>VLOOKUP( T_ApifImport[[#This Row],[ld]], T_Aop[], 4, 0)</f>
        <v>44</v>
      </c>
      <c r="D4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57851048</v>
      </c>
      <c r="E4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48490132</v>
      </c>
      <c r="F45"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9360916</v>
      </c>
      <c r="G45"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8658955</v>
      </c>
      <c r="H45"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5"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5"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5"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5"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5"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5" s="8">
        <v>44</v>
      </c>
      <c r="O45" s="240" t="s">
        <v>873</v>
      </c>
    </row>
    <row r="46" spans="2:15" x14ac:dyDescent="0.2">
      <c r="B46" s="45">
        <f>VLOOKUP( T_ApifImport[[#This Row],[Bilans]], T_Bilansi[], 4, 0)</f>
        <v>1</v>
      </c>
      <c r="C46" s="239">
        <f>VLOOKUP( T_ApifImport[[#This Row],[ld]], T_Aop[], 4, 0)</f>
        <v>45</v>
      </c>
      <c r="D4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56146052</v>
      </c>
      <c r="E4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47976619</v>
      </c>
      <c r="F46"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8169433</v>
      </c>
      <c r="G46"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6547259</v>
      </c>
      <c r="H46"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6"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6"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6"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6"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6"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6" s="8">
        <v>45</v>
      </c>
      <c r="O46" s="240" t="s">
        <v>873</v>
      </c>
    </row>
    <row r="47" spans="2:15" x14ac:dyDescent="0.2">
      <c r="B47" s="45">
        <f>VLOOKUP( T_ApifImport[[#This Row],[Bilans]], T_Bilansi[], 4, 0)</f>
        <v>1</v>
      </c>
      <c r="C47" s="239">
        <f>VLOOKUP( T_ApifImport[[#This Row],[ld]], T_Aop[], 4, 0)</f>
        <v>46</v>
      </c>
      <c r="D4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5671225</v>
      </c>
      <c r="E4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56712</v>
      </c>
      <c r="F47"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5614513</v>
      </c>
      <c r="G47"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4016862</v>
      </c>
      <c r="H47"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7"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7"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7"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7"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7"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7" s="8">
        <v>46</v>
      </c>
      <c r="O47" s="240" t="s">
        <v>873</v>
      </c>
    </row>
    <row r="48" spans="2:15" x14ac:dyDescent="0.2">
      <c r="B48" s="45">
        <f>VLOOKUP( T_ApifImport[[#This Row],[Bilans]], T_Bilansi[], 4, 0)</f>
        <v>1</v>
      </c>
      <c r="C48" s="239">
        <f>VLOOKUP( T_ApifImport[[#This Row],[ld]], T_Aop[], 4, 0)</f>
        <v>47</v>
      </c>
      <c r="D4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39635728</v>
      </c>
      <c r="E4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39521400</v>
      </c>
      <c r="F48"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114328</v>
      </c>
      <c r="G48"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99806</v>
      </c>
      <c r="H48"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8"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8"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8"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8"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8"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8" s="8">
        <v>47</v>
      </c>
      <c r="O48" s="240" t="s">
        <v>873</v>
      </c>
    </row>
    <row r="49" spans="2:15" x14ac:dyDescent="0.2">
      <c r="B49" s="45">
        <f>VLOOKUP( T_ApifImport[[#This Row],[Bilans]], T_Bilansi[], 4, 0)</f>
        <v>1</v>
      </c>
      <c r="C49" s="239">
        <f>VLOOKUP( T_ApifImport[[#This Row],[ld]], T_Aop[], 4, 0)</f>
        <v>48</v>
      </c>
      <c r="D4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9"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9"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9"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9"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9"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9"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9"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9"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9" s="8">
        <v>48</v>
      </c>
      <c r="O49" s="240" t="s">
        <v>873</v>
      </c>
    </row>
    <row r="50" spans="2:15" x14ac:dyDescent="0.2">
      <c r="B50" s="45">
        <f>VLOOKUP( T_ApifImport[[#This Row],[Bilans]], T_Bilansi[], 4, 0)</f>
        <v>1</v>
      </c>
      <c r="C50" s="239">
        <f>VLOOKUP( T_ApifImport[[#This Row],[ld]], T_Aop[], 4, 0)</f>
        <v>49</v>
      </c>
      <c r="D5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0"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0"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0"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0"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0"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0"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0"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0"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0" s="8">
        <v>49</v>
      </c>
      <c r="O50" s="240" t="s">
        <v>873</v>
      </c>
    </row>
    <row r="51" spans="2:15" x14ac:dyDescent="0.2">
      <c r="B51" s="45">
        <f>VLOOKUP( T_ApifImport[[#This Row],[Bilans]], T_Bilansi[], 4, 0)</f>
        <v>1</v>
      </c>
      <c r="C51" s="239">
        <f>VLOOKUP( T_ApifImport[[#This Row],[ld]], T_Aop[], 4, 0)</f>
        <v>50</v>
      </c>
      <c r="D5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10839099</v>
      </c>
      <c r="E5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8398507</v>
      </c>
      <c r="F51"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2440592</v>
      </c>
      <c r="G51"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2430591</v>
      </c>
      <c r="H51"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1"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1"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1"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1"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1"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1" s="8">
        <v>50</v>
      </c>
      <c r="O51" s="240" t="s">
        <v>873</v>
      </c>
    </row>
    <row r="52" spans="2:15" x14ac:dyDescent="0.2">
      <c r="B52" s="45">
        <f>VLOOKUP( T_ApifImport[[#This Row],[Bilans]], T_Bilansi[], 4, 0)</f>
        <v>1</v>
      </c>
      <c r="C52" s="239">
        <f>VLOOKUP( T_ApifImport[[#This Row],[ld]], T_Aop[], 4, 0)</f>
        <v>51</v>
      </c>
      <c r="D5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2"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2"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2"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2"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2"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2"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2"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2"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2" s="8">
        <v>51</v>
      </c>
      <c r="O52" s="240" t="s">
        <v>873</v>
      </c>
    </row>
    <row r="53" spans="2:15" x14ac:dyDescent="0.2">
      <c r="B53" s="45">
        <f>VLOOKUP( T_ApifImport[[#This Row],[Bilans]], T_Bilansi[], 4, 0)</f>
        <v>1</v>
      </c>
      <c r="C53" s="239">
        <f>VLOOKUP( T_ApifImport[[#This Row],[ld]], T_Aop[], 4, 0)</f>
        <v>52</v>
      </c>
      <c r="D5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519600</v>
      </c>
      <c r="E5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513513</v>
      </c>
      <c r="F53"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6087</v>
      </c>
      <c r="G53"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6112</v>
      </c>
      <c r="H53"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3"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3"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3"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3"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3"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3" s="8">
        <v>52</v>
      </c>
      <c r="O53" s="240" t="s">
        <v>873</v>
      </c>
    </row>
    <row r="54" spans="2:15" x14ac:dyDescent="0.2">
      <c r="B54" s="45">
        <f>VLOOKUP( T_ApifImport[[#This Row],[Bilans]], T_Bilansi[], 4, 0)</f>
        <v>1</v>
      </c>
      <c r="C54" s="239">
        <f>VLOOKUP( T_ApifImport[[#This Row],[ld]], T_Aop[], 4, 0)</f>
        <v>53</v>
      </c>
      <c r="D5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519600</v>
      </c>
      <c r="E5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513513</v>
      </c>
      <c r="F54"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6087</v>
      </c>
      <c r="G54"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6112</v>
      </c>
      <c r="H54"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4"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4"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4"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4"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4"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4" s="8">
        <v>53</v>
      </c>
      <c r="O54" s="240" t="s">
        <v>873</v>
      </c>
    </row>
    <row r="55" spans="2:15" x14ac:dyDescent="0.2">
      <c r="B55" s="45">
        <f>VLOOKUP( T_ApifImport[[#This Row],[Bilans]], T_Bilansi[], 4, 0)</f>
        <v>1</v>
      </c>
      <c r="C55" s="239">
        <f>VLOOKUP( T_ApifImport[[#This Row],[ld]], T_Aop[], 4, 0)</f>
        <v>54</v>
      </c>
      <c r="D5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5"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5"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5"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5"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5"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5"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5"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5"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5" s="8">
        <v>54</v>
      </c>
      <c r="O55" s="240" t="s">
        <v>873</v>
      </c>
    </row>
    <row r="56" spans="2:15" x14ac:dyDescent="0.2">
      <c r="B56" s="45">
        <f>VLOOKUP( T_ApifImport[[#This Row],[Bilans]], T_Bilansi[], 4, 0)</f>
        <v>1</v>
      </c>
      <c r="C56" s="239">
        <f>VLOOKUP( T_ApifImport[[#This Row],[ld]], T_Aop[], 4, 0)</f>
        <v>55</v>
      </c>
      <c r="D5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519600</v>
      </c>
      <c r="E5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513513</v>
      </c>
      <c r="F56"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6087</v>
      </c>
      <c r="G56"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6112</v>
      </c>
      <c r="H56"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6"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6"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6"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6"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6"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6" s="8">
        <v>55</v>
      </c>
      <c r="O56" s="240" t="s">
        <v>873</v>
      </c>
    </row>
    <row r="57" spans="2:15" x14ac:dyDescent="0.2">
      <c r="B57" s="45">
        <f>VLOOKUP( T_ApifImport[[#This Row],[Bilans]], T_Bilansi[], 4, 0)</f>
        <v>1</v>
      </c>
      <c r="C57" s="239">
        <f>VLOOKUP( T_ApifImport[[#This Row],[ld]], T_Aop[], 4, 0)</f>
        <v>56</v>
      </c>
      <c r="D5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7"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7"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7"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7"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7"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7"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7"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7"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7" s="8">
        <v>56</v>
      </c>
      <c r="O57" s="240" t="s">
        <v>873</v>
      </c>
    </row>
    <row r="58" spans="2:15" x14ac:dyDescent="0.2">
      <c r="B58" s="45">
        <f>VLOOKUP( T_ApifImport[[#This Row],[Bilans]], T_Bilansi[], 4, 0)</f>
        <v>1</v>
      </c>
      <c r="C58" s="239">
        <f>VLOOKUP( T_ApifImport[[#This Row],[ld]], T_Aop[], 4, 0)</f>
        <v>57</v>
      </c>
      <c r="D5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8"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8"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8"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8"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8"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8"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8"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8"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8" s="8">
        <v>57</v>
      </c>
      <c r="O58" s="240" t="s">
        <v>873</v>
      </c>
    </row>
    <row r="59" spans="2:15" x14ac:dyDescent="0.2">
      <c r="B59" s="45">
        <f>VLOOKUP( T_ApifImport[[#This Row],[Bilans]], T_Bilansi[], 4, 0)</f>
        <v>1</v>
      </c>
      <c r="C59" s="239">
        <f>VLOOKUP( T_ApifImport[[#This Row],[ld]], T_Aop[], 4, 0)</f>
        <v>58</v>
      </c>
      <c r="D5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9"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9"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9"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9"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9"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9"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9"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9"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9" s="8">
        <v>58</v>
      </c>
      <c r="O59" s="240" t="s">
        <v>873</v>
      </c>
    </row>
    <row r="60" spans="2:15" x14ac:dyDescent="0.2">
      <c r="B60" s="45">
        <f>VLOOKUP( T_ApifImport[[#This Row],[Bilans]], T_Bilansi[], 4, 0)</f>
        <v>1</v>
      </c>
      <c r="C60" s="239">
        <f>VLOOKUP( T_ApifImport[[#This Row],[ld]], T_Aop[], 4, 0)</f>
        <v>59</v>
      </c>
      <c r="D6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0"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0"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0"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0"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0"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0"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0"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0"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0" s="8">
        <v>59</v>
      </c>
      <c r="O60" s="240" t="s">
        <v>873</v>
      </c>
    </row>
    <row r="61" spans="2:15" x14ac:dyDescent="0.2">
      <c r="B61" s="45">
        <f>VLOOKUP( T_ApifImport[[#This Row],[Bilans]], T_Bilansi[], 4, 0)</f>
        <v>1</v>
      </c>
      <c r="C61" s="239">
        <f>VLOOKUP( T_ApifImport[[#This Row],[ld]], T_Aop[], 4, 0)</f>
        <v>60</v>
      </c>
      <c r="D6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1"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1"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1"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1"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1"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1"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1"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1"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1" s="8">
        <v>60</v>
      </c>
      <c r="O61" s="240" t="s">
        <v>873</v>
      </c>
    </row>
    <row r="62" spans="2:15" x14ac:dyDescent="0.2">
      <c r="B62" s="45">
        <f>VLOOKUP( T_ApifImport[[#This Row],[Bilans]], T_Bilansi[], 4, 0)</f>
        <v>1</v>
      </c>
      <c r="C62" s="239">
        <f>VLOOKUP( T_ApifImport[[#This Row],[ld]], T_Aop[], 4, 0)</f>
        <v>61</v>
      </c>
      <c r="D6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1101174</v>
      </c>
      <c r="E6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2"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1101174</v>
      </c>
      <c r="G62"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1667277</v>
      </c>
      <c r="H62"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2"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2"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2"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2"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2"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2" s="8">
        <v>61</v>
      </c>
      <c r="O62" s="240" t="s">
        <v>873</v>
      </c>
    </row>
    <row r="63" spans="2:15" x14ac:dyDescent="0.2">
      <c r="B63" s="45">
        <f>VLOOKUP( T_ApifImport[[#This Row],[Bilans]], T_Bilansi[], 4, 0)</f>
        <v>1</v>
      </c>
      <c r="C63" s="239">
        <f>VLOOKUP( T_ApifImport[[#This Row],[ld]], T_Aop[], 4, 0)</f>
        <v>62</v>
      </c>
      <c r="D6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3"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3"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3"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3"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3"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3"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3"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3"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3" s="8">
        <v>62</v>
      </c>
      <c r="O63" s="240" t="s">
        <v>873</v>
      </c>
    </row>
    <row r="64" spans="2:15" x14ac:dyDescent="0.2">
      <c r="B64" s="45">
        <f>VLOOKUP( T_ApifImport[[#This Row],[Bilans]], T_Bilansi[], 4, 0)</f>
        <v>1</v>
      </c>
      <c r="C64" s="239">
        <f>VLOOKUP( T_ApifImport[[#This Row],[ld]], T_Aop[], 4, 0)</f>
        <v>63</v>
      </c>
      <c r="D6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1101174</v>
      </c>
      <c r="E6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4"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1101174</v>
      </c>
      <c r="G64"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1667277</v>
      </c>
      <c r="H64"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4"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4"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4"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4"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4"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4" s="8">
        <v>63</v>
      </c>
      <c r="O64" s="240" t="s">
        <v>873</v>
      </c>
    </row>
    <row r="65" spans="2:15" x14ac:dyDescent="0.2">
      <c r="B65" s="45">
        <f>VLOOKUP( T_ApifImport[[#This Row],[Bilans]], T_Bilansi[], 4, 0)</f>
        <v>1</v>
      </c>
      <c r="C65" s="239">
        <f>VLOOKUP( T_ApifImport[[#This Row],[ld]], T_Aop[], 4, 0)</f>
        <v>64</v>
      </c>
      <c r="D6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5"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5"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5"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5"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5"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5"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5"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5"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5" s="8">
        <v>64</v>
      </c>
      <c r="O65" s="240" t="s">
        <v>873</v>
      </c>
    </row>
    <row r="66" spans="2:15" x14ac:dyDescent="0.2">
      <c r="B66" s="45">
        <f>VLOOKUP( T_ApifImport[[#This Row],[Bilans]], T_Bilansi[], 4, 0)</f>
        <v>1</v>
      </c>
      <c r="C66" s="239">
        <f>VLOOKUP( T_ApifImport[[#This Row],[ld]], T_Aop[], 4, 0)</f>
        <v>65</v>
      </c>
      <c r="D6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84222</v>
      </c>
      <c r="E6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6"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84222</v>
      </c>
      <c r="G66"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438307</v>
      </c>
      <c r="H66"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6"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6"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6"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6"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6"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6" s="8">
        <v>65</v>
      </c>
      <c r="O66" s="240" t="s">
        <v>873</v>
      </c>
    </row>
    <row r="67" spans="2:15" x14ac:dyDescent="0.2">
      <c r="B67" s="45">
        <f>VLOOKUP( T_ApifImport[[#This Row],[Bilans]], T_Bilansi[], 4, 0)</f>
        <v>1</v>
      </c>
      <c r="C67" s="241">
        <f>VLOOKUP( T_ApifImport[[#This Row],[ld]], T_Aop[], 4, 0)</f>
        <v>66</v>
      </c>
      <c r="D67" s="24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439959353</v>
      </c>
      <c r="E6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274480538</v>
      </c>
      <c r="F67" s="24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165478815</v>
      </c>
      <c r="G67" s="24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165117190</v>
      </c>
      <c r="H67" s="24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7"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7"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7"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7"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7"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7" s="8">
        <v>66</v>
      </c>
      <c r="O67" s="242" t="s">
        <v>873</v>
      </c>
    </row>
    <row r="68" spans="2:15" x14ac:dyDescent="0.2">
      <c r="B68" s="541">
        <f>VLOOKUP( T_ApifImport[[#This Row],[Bilans]], T_Bilansi[], 4, 0)</f>
        <v>1</v>
      </c>
      <c r="C68" s="241">
        <f>VLOOKUP( T_ApifImport[[#This Row],[ld]], T_Aop[], 4, 0)</f>
        <v>67</v>
      </c>
      <c r="D68" s="24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28759409</v>
      </c>
      <c r="E6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8" s="24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28759409</v>
      </c>
      <c r="G68" s="24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28852337</v>
      </c>
      <c r="H68" s="24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8"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8"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8"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8"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8"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8" s="8">
        <v>67</v>
      </c>
      <c r="O68" s="242" t="s">
        <v>873</v>
      </c>
    </row>
    <row r="69" spans="2:15" x14ac:dyDescent="0.2">
      <c r="B69" s="45">
        <f>VLOOKUP( T_ApifImport[[#This Row],[Bilans]], T_Bilansi[], 4, 0)</f>
        <v>2</v>
      </c>
      <c r="C69" s="239">
        <f>VLOOKUP( T_ApifImport[[#This Row],[ld]], T_Aop[], 4, 0)</f>
        <v>101</v>
      </c>
      <c r="D6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115501685</v>
      </c>
      <c r="E6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115215482</v>
      </c>
      <c r="F69"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69"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69"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9"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9"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9"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9"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9"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9" s="8">
        <v>68</v>
      </c>
      <c r="O69" s="240" t="s">
        <v>872</v>
      </c>
    </row>
    <row r="70" spans="2:15" x14ac:dyDescent="0.2">
      <c r="B70" s="45">
        <f>VLOOKUP( T_ApifImport[[#This Row],[Bilans]], T_Bilansi[], 4, 0)</f>
        <v>2</v>
      </c>
      <c r="C70" s="239">
        <f>VLOOKUP( T_ApifImport[[#This Row],[ld]], T_Aop[], 4, 0)</f>
        <v>102</v>
      </c>
      <c r="D7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15795899</v>
      </c>
      <c r="E7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15795899</v>
      </c>
      <c r="F70"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0"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0"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0"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0"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0"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0"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0"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0" s="8">
        <v>69</v>
      </c>
      <c r="O70" s="240" t="s">
        <v>872</v>
      </c>
    </row>
    <row r="71" spans="2:15" x14ac:dyDescent="0.2">
      <c r="B71" s="45">
        <f>VLOOKUP( T_ApifImport[[#This Row],[Bilans]], T_Bilansi[], 4, 0)</f>
        <v>2</v>
      </c>
      <c r="C71" s="239">
        <f>VLOOKUP( T_ApifImport[[#This Row],[ld]], T_Aop[], 4, 0)</f>
        <v>103</v>
      </c>
      <c r="D7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15795899</v>
      </c>
      <c r="E7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15795899</v>
      </c>
      <c r="F71"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1"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1"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1"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1"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1"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1"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1"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1" s="8">
        <v>70</v>
      </c>
      <c r="O71" s="240" t="s">
        <v>872</v>
      </c>
    </row>
    <row r="72" spans="2:15" x14ac:dyDescent="0.2">
      <c r="B72" s="45">
        <f>VLOOKUP( T_ApifImport[[#This Row],[Bilans]], T_Bilansi[], 4, 0)</f>
        <v>2</v>
      </c>
      <c r="C72" s="239">
        <f>VLOOKUP( T_ApifImport[[#This Row],[ld]], T_Aop[], 4, 0)</f>
        <v>104</v>
      </c>
      <c r="D7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15795899</v>
      </c>
      <c r="E7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15795899</v>
      </c>
      <c r="F72"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2"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2"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2"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2"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2"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2"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2"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2" s="8">
        <v>71</v>
      </c>
      <c r="O72" s="240" t="s">
        <v>872</v>
      </c>
    </row>
    <row r="73" spans="2:15" x14ac:dyDescent="0.2">
      <c r="B73" s="45">
        <f>VLOOKUP( T_ApifImport[[#This Row],[Bilans]], T_Bilansi[], 4, 0)</f>
        <v>2</v>
      </c>
      <c r="C73" s="239">
        <f>VLOOKUP( T_ApifImport[[#This Row],[ld]], T_Aop[], 4, 0)</f>
        <v>105</v>
      </c>
      <c r="D7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3"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3"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3"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3"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3"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3"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3"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3"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3" s="8">
        <v>72</v>
      </c>
      <c r="O73" s="240" t="s">
        <v>872</v>
      </c>
    </row>
    <row r="74" spans="2:15" x14ac:dyDescent="0.2">
      <c r="B74" s="45">
        <f>VLOOKUP( T_ApifImport[[#This Row],[Bilans]], T_Bilansi[], 4, 0)</f>
        <v>2</v>
      </c>
      <c r="C74" s="239">
        <f>VLOOKUP( T_ApifImport[[#This Row],[ld]], T_Aop[], 4, 0)</f>
        <v>106</v>
      </c>
      <c r="D7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4"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4"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4"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4"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4"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4"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4"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4"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4" s="8">
        <v>73</v>
      </c>
      <c r="O74" s="240" t="s">
        <v>872</v>
      </c>
    </row>
    <row r="75" spans="2:15" x14ac:dyDescent="0.2">
      <c r="B75" s="45">
        <f>VLOOKUP( T_ApifImport[[#This Row],[Bilans]], T_Bilansi[], 4, 0)</f>
        <v>2</v>
      </c>
      <c r="C75" s="239">
        <f>VLOOKUP( T_ApifImport[[#This Row],[ld]], T_Aop[], 4, 0)</f>
        <v>107</v>
      </c>
      <c r="D7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5"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5"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5"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5"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5"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5"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5"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5"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5" s="8">
        <v>74</v>
      </c>
      <c r="O75" s="240" t="s">
        <v>872</v>
      </c>
    </row>
    <row r="76" spans="2:15" x14ac:dyDescent="0.2">
      <c r="B76" s="45">
        <f>VLOOKUP( T_ApifImport[[#This Row],[Bilans]], T_Bilansi[], 4, 0)</f>
        <v>2</v>
      </c>
      <c r="C76" s="239">
        <f>VLOOKUP( T_ApifImport[[#This Row],[ld]], T_Aop[], 4, 0)</f>
        <v>108</v>
      </c>
      <c r="D7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6"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6"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6"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6"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6"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6"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6"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6"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6" s="8">
        <v>75</v>
      </c>
      <c r="O76" s="240" t="s">
        <v>872</v>
      </c>
    </row>
    <row r="77" spans="2:15" x14ac:dyDescent="0.2">
      <c r="B77" s="45">
        <f>VLOOKUP( T_ApifImport[[#This Row],[Bilans]], T_Bilansi[], 4, 0)</f>
        <v>2</v>
      </c>
      <c r="C77" s="239">
        <f>VLOOKUP( T_ApifImport[[#This Row],[ld]], T_Aop[], 4, 0)</f>
        <v>109</v>
      </c>
      <c r="D7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7"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7"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7"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7"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7"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7"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7"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7"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7" s="8">
        <v>76</v>
      </c>
      <c r="O77" s="240" t="s">
        <v>872</v>
      </c>
    </row>
    <row r="78" spans="2:15" x14ac:dyDescent="0.2">
      <c r="B78" s="45">
        <f>VLOOKUP( T_ApifImport[[#This Row],[Bilans]], T_Bilansi[], 4, 0)</f>
        <v>2</v>
      </c>
      <c r="C78" s="239">
        <f>VLOOKUP( T_ApifImport[[#This Row],[ld]], T_Aop[], 4, 0)</f>
        <v>110</v>
      </c>
      <c r="D7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8"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8"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8"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8"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8"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8"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8"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8"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8" s="8">
        <v>77</v>
      </c>
      <c r="O78" s="240" t="s">
        <v>872</v>
      </c>
    </row>
    <row r="79" spans="2:15" x14ac:dyDescent="0.2">
      <c r="B79" s="45">
        <f>VLOOKUP( T_ApifImport[[#This Row],[Bilans]], T_Bilansi[], 4, 0)</f>
        <v>2</v>
      </c>
      <c r="C79" s="239">
        <f>VLOOKUP( T_ApifImport[[#This Row],[ld]], T_Aop[], 4, 0)</f>
        <v>111</v>
      </c>
      <c r="D7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9"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9"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9"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9"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9"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9"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9"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9"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9" s="8">
        <v>78</v>
      </c>
      <c r="O79" s="240" t="s">
        <v>872</v>
      </c>
    </row>
    <row r="80" spans="2:15" x14ac:dyDescent="0.2">
      <c r="B80" s="45">
        <f>VLOOKUP( T_ApifImport[[#This Row],[Bilans]], T_Bilansi[], 4, 0)</f>
        <v>2</v>
      </c>
      <c r="C80" s="239">
        <f>VLOOKUP( T_ApifImport[[#This Row],[ld]], T_Aop[], 4, 0)</f>
        <v>112</v>
      </c>
      <c r="D8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0"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0"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0"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0"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0"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0"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0"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0"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0" s="8">
        <v>79</v>
      </c>
      <c r="O80" s="240" t="s">
        <v>872</v>
      </c>
    </row>
    <row r="81" spans="2:15" x14ac:dyDescent="0.2">
      <c r="B81" s="45">
        <f>VLOOKUP( T_ApifImport[[#This Row],[Bilans]], T_Bilansi[], 4, 0)</f>
        <v>2</v>
      </c>
      <c r="C81" s="239">
        <f>VLOOKUP( T_ApifImport[[#This Row],[ld]], T_Aop[], 4, 0)</f>
        <v>113</v>
      </c>
      <c r="D8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1"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1"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1"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1"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1"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1"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1"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1"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1" s="8">
        <v>80</v>
      </c>
      <c r="O81" s="240" t="s">
        <v>872</v>
      </c>
    </row>
    <row r="82" spans="2:15" x14ac:dyDescent="0.2">
      <c r="B82" s="45">
        <f>VLOOKUP( T_ApifImport[[#This Row],[Bilans]], T_Bilansi[], 4, 0)</f>
        <v>2</v>
      </c>
      <c r="C82" s="239">
        <f>VLOOKUP( T_ApifImport[[#This Row],[ld]], T_Aop[], 4, 0)</f>
        <v>114</v>
      </c>
      <c r="D8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2"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2"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2"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2"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2"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2"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2"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2"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2" s="8">
        <v>81</v>
      </c>
      <c r="O82" s="240" t="s">
        <v>872</v>
      </c>
    </row>
    <row r="83" spans="2:15" x14ac:dyDescent="0.2">
      <c r="B83" s="45">
        <f>VLOOKUP( T_ApifImport[[#This Row],[Bilans]], T_Bilansi[], 4, 0)</f>
        <v>2</v>
      </c>
      <c r="C83" s="239">
        <f>VLOOKUP( T_ApifImport[[#This Row],[ld]], T_Aop[], 4, 0)</f>
        <v>115</v>
      </c>
      <c r="D8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14953035</v>
      </c>
      <c r="E8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14738412</v>
      </c>
      <c r="F83"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3"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3"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3"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3"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3"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3"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3"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3" s="8">
        <v>82</v>
      </c>
      <c r="O83" s="240" t="s">
        <v>872</v>
      </c>
    </row>
    <row r="84" spans="2:15" x14ac:dyDescent="0.2">
      <c r="B84" s="45">
        <f>VLOOKUP( T_ApifImport[[#This Row],[Bilans]], T_Bilansi[], 4, 0)</f>
        <v>2</v>
      </c>
      <c r="C84" s="239">
        <f>VLOOKUP( T_ApifImport[[#This Row],[ld]], T_Aop[], 4, 0)</f>
        <v>116</v>
      </c>
      <c r="D8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967982</v>
      </c>
      <c r="E8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753359</v>
      </c>
      <c r="F84"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4"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4"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4"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4"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4"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4"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4"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4" s="8">
        <v>83</v>
      </c>
      <c r="O84" s="240" t="s">
        <v>872</v>
      </c>
    </row>
    <row r="85" spans="2:15" x14ac:dyDescent="0.2">
      <c r="B85" s="45">
        <f>VLOOKUP( T_ApifImport[[#This Row],[Bilans]], T_Bilansi[], 4, 0)</f>
        <v>2</v>
      </c>
      <c r="C85" s="239">
        <f>VLOOKUP( T_ApifImport[[#This Row],[ld]], T_Aop[], 4, 0)</f>
        <v>117</v>
      </c>
      <c r="D8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5"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5"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5"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5"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5"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5"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5"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5"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5" s="8">
        <v>84</v>
      </c>
      <c r="O85" s="240" t="s">
        <v>872</v>
      </c>
    </row>
    <row r="86" spans="2:15" x14ac:dyDescent="0.2">
      <c r="B86" s="45">
        <f>VLOOKUP( T_ApifImport[[#This Row],[Bilans]], T_Bilansi[], 4, 0)</f>
        <v>2</v>
      </c>
      <c r="C86" s="239">
        <f>VLOOKUP( T_ApifImport[[#This Row],[ld]], T_Aop[], 4, 0)</f>
        <v>118</v>
      </c>
      <c r="D8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13985053</v>
      </c>
      <c r="E8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13985053</v>
      </c>
      <c r="F86"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6"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6"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6"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6"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6"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6"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6"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6" s="8">
        <v>85</v>
      </c>
      <c r="O86" s="240" t="s">
        <v>872</v>
      </c>
    </row>
    <row r="87" spans="2:15" x14ac:dyDescent="0.2">
      <c r="B87" s="45">
        <f>VLOOKUP( T_ApifImport[[#This Row],[Bilans]], T_Bilansi[], 4, 0)</f>
        <v>2</v>
      </c>
      <c r="C87" s="239">
        <f>VLOOKUP( T_ApifImport[[#This Row],[ld]], T_Aop[], 4, 0)</f>
        <v>119</v>
      </c>
      <c r="D8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39197536</v>
      </c>
      <c r="E8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41208804</v>
      </c>
      <c r="F87"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7"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7"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7"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7"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7"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7"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7"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7" s="8">
        <v>86</v>
      </c>
      <c r="O87" s="240" t="s">
        <v>872</v>
      </c>
    </row>
    <row r="88" spans="2:15" x14ac:dyDescent="0.2">
      <c r="B88" s="45">
        <f>VLOOKUP( T_ApifImport[[#This Row],[Bilans]], T_Bilansi[], 4, 0)</f>
        <v>2</v>
      </c>
      <c r="C88" s="239">
        <f>VLOOKUP( T_ApifImport[[#This Row],[ld]], T_Aop[], 4, 0)</f>
        <v>120</v>
      </c>
      <c r="D8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39197536</v>
      </c>
      <c r="E8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41208804</v>
      </c>
      <c r="F88"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8"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8"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8"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8"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8"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8"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8"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8" s="8">
        <v>87</v>
      </c>
      <c r="O88" s="240" t="s">
        <v>872</v>
      </c>
    </row>
    <row r="89" spans="2:15" x14ac:dyDescent="0.2">
      <c r="B89" s="45">
        <f>VLOOKUP( T_ApifImport[[#This Row],[Bilans]], T_Bilansi[], 4, 0)</f>
        <v>2</v>
      </c>
      <c r="C89" s="239">
        <f>VLOOKUP( T_ApifImport[[#This Row],[ld]], T_Aop[], 4, 0)</f>
        <v>121</v>
      </c>
      <c r="D8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9"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9"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9"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9"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9"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9"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9"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9"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9" s="8">
        <v>88</v>
      </c>
      <c r="O89" s="240" t="s">
        <v>872</v>
      </c>
    </row>
    <row r="90" spans="2:15" x14ac:dyDescent="0.2">
      <c r="B90" s="45">
        <f>VLOOKUP( T_ApifImport[[#This Row],[Bilans]], T_Bilansi[], 4, 0)</f>
        <v>2</v>
      </c>
      <c r="C90" s="239">
        <f>VLOOKUP( T_ApifImport[[#This Row],[ld]], T_Aop[], 4, 0)</f>
        <v>122</v>
      </c>
      <c r="D9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0"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0"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0"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0"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0"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0"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0"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0"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0" s="8">
        <v>89</v>
      </c>
      <c r="O90" s="240" t="s">
        <v>872</v>
      </c>
    </row>
    <row r="91" spans="2:15" x14ac:dyDescent="0.2">
      <c r="B91" s="45">
        <f>VLOOKUP( T_ApifImport[[#This Row],[Bilans]], T_Bilansi[], 4, 0)</f>
        <v>2</v>
      </c>
      <c r="C91" s="239">
        <f>VLOOKUP( T_ApifImport[[#This Row],[ld]], T_Aop[], 4, 0)</f>
        <v>123</v>
      </c>
      <c r="D9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1"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1"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1"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1"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1"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1"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1"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1"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1" s="8">
        <v>90</v>
      </c>
      <c r="O91" s="240" t="s">
        <v>872</v>
      </c>
    </row>
    <row r="92" spans="2:15" x14ac:dyDescent="0.2">
      <c r="B92" s="45">
        <f>VLOOKUP( T_ApifImport[[#This Row],[Bilans]], T_Bilansi[], 4, 0)</f>
        <v>2</v>
      </c>
      <c r="C92" s="239">
        <f>VLOOKUP( T_ApifImport[[#This Row],[ld]], T_Aop[], 4, 0)</f>
        <v>124</v>
      </c>
      <c r="D9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45555215</v>
      </c>
      <c r="E9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43472367</v>
      </c>
      <c r="F92"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2"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2"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2"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2"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2"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2"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2"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2" s="8">
        <v>91</v>
      </c>
      <c r="O92" s="240" t="s">
        <v>872</v>
      </c>
    </row>
    <row r="93" spans="2:15" x14ac:dyDescent="0.2">
      <c r="B93" s="45">
        <f>VLOOKUP( T_ApifImport[[#This Row],[Bilans]], T_Bilansi[], 4, 0)</f>
        <v>2</v>
      </c>
      <c r="C93" s="239">
        <f>VLOOKUP( T_ApifImport[[#This Row],[ld]], T_Aop[], 4, 0)</f>
        <v>125</v>
      </c>
      <c r="D9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43043122</v>
      </c>
      <c r="E9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39143710</v>
      </c>
      <c r="F93"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3"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3"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3"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3"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3"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3"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3"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3" s="8">
        <v>92</v>
      </c>
      <c r="O93" s="240" t="s">
        <v>872</v>
      </c>
    </row>
    <row r="94" spans="2:15" x14ac:dyDescent="0.2">
      <c r="B94" s="45">
        <f>VLOOKUP( T_ApifImport[[#This Row],[Bilans]], T_Bilansi[], 4, 0)</f>
        <v>2</v>
      </c>
      <c r="C94" s="239">
        <f>VLOOKUP( T_ApifImport[[#This Row],[ld]], T_Aop[], 4, 0)</f>
        <v>126</v>
      </c>
      <c r="D9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2512093</v>
      </c>
      <c r="E9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4328657</v>
      </c>
      <c r="F94"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4"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4"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4"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4"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4"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4"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4"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4" s="8">
        <v>93</v>
      </c>
      <c r="O94" s="240" t="s">
        <v>872</v>
      </c>
    </row>
    <row r="95" spans="2:15" x14ac:dyDescent="0.2">
      <c r="B95" s="45">
        <f>VLOOKUP( T_ApifImport[[#This Row],[Bilans]], T_Bilansi[], 4, 0)</f>
        <v>2</v>
      </c>
      <c r="C95" s="239">
        <f>VLOOKUP( T_ApifImport[[#This Row],[ld]], T_Aop[], 4, 0)</f>
        <v>127</v>
      </c>
      <c r="D9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5"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5"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5"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5"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5"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5"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5"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5"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5" s="8">
        <v>94</v>
      </c>
      <c r="O95" s="240" t="s">
        <v>872</v>
      </c>
    </row>
    <row r="96" spans="2:15" x14ac:dyDescent="0.2">
      <c r="B96" s="45">
        <f>VLOOKUP( T_ApifImport[[#This Row],[Bilans]], T_Bilansi[], 4, 0)</f>
        <v>2</v>
      </c>
      <c r="C96" s="239">
        <f>VLOOKUP( T_ApifImport[[#This Row],[ld]], T_Aop[], 4, 0)</f>
        <v>128</v>
      </c>
      <c r="D9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6"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6"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6"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6"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6"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6"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6"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6"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6" s="8">
        <v>95</v>
      </c>
      <c r="O96" s="240" t="s">
        <v>872</v>
      </c>
    </row>
    <row r="97" spans="2:15" x14ac:dyDescent="0.2">
      <c r="B97" s="45">
        <f>VLOOKUP( T_ApifImport[[#This Row],[Bilans]], T_Bilansi[], 4, 0)</f>
        <v>2</v>
      </c>
      <c r="C97" s="239">
        <f>VLOOKUP( T_ApifImport[[#This Row],[ld]], T_Aop[], 4, 0)</f>
        <v>129</v>
      </c>
      <c r="D9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7"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7"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7"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7"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7"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7"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7"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7"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7" s="8">
        <v>96</v>
      </c>
      <c r="O97" s="240" t="s">
        <v>872</v>
      </c>
    </row>
    <row r="98" spans="2:15" x14ac:dyDescent="0.2">
      <c r="B98" s="45">
        <f>VLOOKUP( T_ApifImport[[#This Row],[Bilans]], T_Bilansi[], 4, 0)</f>
        <v>2</v>
      </c>
      <c r="C98" s="239">
        <f>VLOOKUP( T_ApifImport[[#This Row],[ld]], T_Aop[], 4, 0)</f>
        <v>130</v>
      </c>
      <c r="D9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8"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8"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8"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8"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8"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8"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8"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8"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8" s="8">
        <v>97</v>
      </c>
      <c r="O98" s="240" t="s">
        <v>872</v>
      </c>
    </row>
    <row r="99" spans="2:15" x14ac:dyDescent="0.2">
      <c r="B99" s="45">
        <f>VLOOKUP( T_ApifImport[[#This Row],[Bilans]], T_Bilansi[], 4, 0)</f>
        <v>2</v>
      </c>
      <c r="C99" s="239">
        <f>VLOOKUP( T_ApifImport[[#This Row],[ld]], T_Aop[], 4, 0)</f>
        <v>131</v>
      </c>
      <c r="D9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9"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9"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9"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9"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9"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9"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9"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9"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9" s="8">
        <v>98</v>
      </c>
      <c r="O99" s="240" t="s">
        <v>872</v>
      </c>
    </row>
    <row r="100" spans="2:15" x14ac:dyDescent="0.2">
      <c r="B100" s="45">
        <f>VLOOKUP( T_ApifImport[[#This Row],[Bilans]], T_Bilansi[], 4, 0)</f>
        <v>2</v>
      </c>
      <c r="C100" s="239">
        <f>VLOOKUP( T_ApifImport[[#This Row],[ld]], T_Aop[], 4, 0)</f>
        <v>132</v>
      </c>
      <c r="D10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31554154</v>
      </c>
      <c r="E10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33018158</v>
      </c>
      <c r="F100"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0"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0"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0"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0"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0"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0"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0"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0" s="8">
        <v>99</v>
      </c>
      <c r="O100" s="240" t="s">
        <v>872</v>
      </c>
    </row>
    <row r="101" spans="2:15" x14ac:dyDescent="0.2">
      <c r="B101" s="45">
        <f>VLOOKUP( T_ApifImport[[#This Row],[Bilans]], T_Bilansi[], 4, 0)</f>
        <v>2</v>
      </c>
      <c r="C101" s="239">
        <f>VLOOKUP( T_ApifImport[[#This Row],[ld]], T_Aop[], 4, 0)</f>
        <v>133</v>
      </c>
      <c r="D10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1041750</v>
      </c>
      <c r="E10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729736</v>
      </c>
      <c r="F101"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1"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1"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1"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1"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1"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1"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1"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1" s="8">
        <v>100</v>
      </c>
      <c r="O101" s="240" t="s">
        <v>872</v>
      </c>
    </row>
    <row r="102" spans="2:15" x14ac:dyDescent="0.2">
      <c r="B102" s="45">
        <f>VLOOKUP( T_ApifImport[[#This Row],[Bilans]], T_Bilansi[], 4, 0)</f>
        <v>2</v>
      </c>
      <c r="C102" s="239">
        <f>VLOOKUP( T_ApifImport[[#This Row],[ld]], T_Aop[], 4, 0)</f>
        <v>134</v>
      </c>
      <c r="D10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2"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2"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2"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2"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2"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2"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2"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2"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2" s="8">
        <v>101</v>
      </c>
      <c r="O102" s="240" t="s">
        <v>872</v>
      </c>
    </row>
    <row r="103" spans="2:15" x14ac:dyDescent="0.2">
      <c r="B103" s="45">
        <f>VLOOKUP( T_ApifImport[[#This Row],[Bilans]], T_Bilansi[], 4, 0)</f>
        <v>2</v>
      </c>
      <c r="C103" s="239">
        <f>VLOOKUP( T_ApifImport[[#This Row],[ld]], T_Aop[], 4, 0)</f>
        <v>135</v>
      </c>
      <c r="D10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677095</v>
      </c>
      <c r="E10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687496</v>
      </c>
      <c r="F103"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3"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3"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3"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3"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3"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3"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3"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3" s="8">
        <v>102</v>
      </c>
      <c r="O103" s="240" t="s">
        <v>872</v>
      </c>
    </row>
    <row r="104" spans="2:15" x14ac:dyDescent="0.2">
      <c r="B104" s="45">
        <f>VLOOKUP( T_ApifImport[[#This Row],[Bilans]], T_Bilansi[], 4, 0)</f>
        <v>2</v>
      </c>
      <c r="C104" s="239">
        <f>VLOOKUP( T_ApifImport[[#This Row],[ld]], T_Aop[], 4, 0)</f>
        <v>136</v>
      </c>
      <c r="D10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364655</v>
      </c>
      <c r="E10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42240</v>
      </c>
      <c r="F104"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4"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4"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4"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4"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4"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4"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4"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4" s="8">
        <v>103</v>
      </c>
      <c r="O104" s="240" t="s">
        <v>872</v>
      </c>
    </row>
    <row r="105" spans="2:15" x14ac:dyDescent="0.2">
      <c r="B105" s="45">
        <f>VLOOKUP( T_ApifImport[[#This Row],[Bilans]], T_Bilansi[], 4, 0)</f>
        <v>2</v>
      </c>
      <c r="C105" s="239">
        <f>VLOOKUP( T_ApifImport[[#This Row],[ld]], T_Aop[], 4, 0)</f>
        <v>137</v>
      </c>
      <c r="D10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16449272</v>
      </c>
      <c r="E10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18920021</v>
      </c>
      <c r="F105"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5"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5"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5"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5"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5"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5"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5"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5" s="8">
        <v>104</v>
      </c>
      <c r="O105" s="240" t="s">
        <v>872</v>
      </c>
    </row>
    <row r="106" spans="2:15" x14ac:dyDescent="0.2">
      <c r="B106" s="45">
        <f>VLOOKUP( T_ApifImport[[#This Row],[Bilans]], T_Bilansi[], 4, 0)</f>
        <v>2</v>
      </c>
      <c r="C106" s="239">
        <f>VLOOKUP( T_ApifImport[[#This Row],[ld]], T_Aop[], 4, 0)</f>
        <v>138</v>
      </c>
      <c r="D10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12661297</v>
      </c>
      <c r="E10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13148617</v>
      </c>
      <c r="F106"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6"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6"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6"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6"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6"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6"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6"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6" s="8">
        <v>105</v>
      </c>
      <c r="O106" s="240" t="s">
        <v>872</v>
      </c>
    </row>
    <row r="107" spans="2:15" x14ac:dyDescent="0.2">
      <c r="B107" s="45">
        <f>VLOOKUP( T_ApifImport[[#This Row],[Bilans]], T_Bilansi[], 4, 0)</f>
        <v>2</v>
      </c>
      <c r="C107" s="239">
        <f>VLOOKUP( T_ApifImport[[#This Row],[ld]], T_Aop[], 4, 0)</f>
        <v>139</v>
      </c>
      <c r="D10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7"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7"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7"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7"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7"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7"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7"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7"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7" s="8">
        <v>106</v>
      </c>
      <c r="O107" s="240" t="s">
        <v>872</v>
      </c>
    </row>
    <row r="108" spans="2:15" x14ac:dyDescent="0.2">
      <c r="B108" s="45">
        <f>VLOOKUP( T_ApifImport[[#This Row],[Bilans]], T_Bilansi[], 4, 0)</f>
        <v>2</v>
      </c>
      <c r="C108" s="239">
        <f>VLOOKUP( T_ApifImport[[#This Row],[ld]], T_Aop[], 4, 0)</f>
        <v>140</v>
      </c>
      <c r="D10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2865920</v>
      </c>
      <c r="E10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3222279</v>
      </c>
      <c r="F108"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8"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8"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8"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8"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8"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8"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8"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8" s="8">
        <v>107</v>
      </c>
      <c r="O108" s="240" t="s">
        <v>872</v>
      </c>
    </row>
    <row r="109" spans="2:15" x14ac:dyDescent="0.2">
      <c r="B109" s="45">
        <f>VLOOKUP( T_ApifImport[[#This Row],[Bilans]], T_Bilansi[], 4, 0)</f>
        <v>2</v>
      </c>
      <c r="C109" s="239">
        <f>VLOOKUP( T_ApifImport[[#This Row],[ld]], T_Aop[], 4, 0)</f>
        <v>141</v>
      </c>
      <c r="D10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759581</v>
      </c>
      <c r="E10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2232195</v>
      </c>
      <c r="F109"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9"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9"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9"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9"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9"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9"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9"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9" s="8">
        <v>108</v>
      </c>
      <c r="O109" s="240" t="s">
        <v>872</v>
      </c>
    </row>
    <row r="110" spans="2:15" x14ac:dyDescent="0.2">
      <c r="B110" s="45">
        <f>VLOOKUP( T_ApifImport[[#This Row],[Bilans]], T_Bilansi[], 4, 0)</f>
        <v>2</v>
      </c>
      <c r="C110" s="239">
        <f>VLOOKUP( T_ApifImport[[#This Row],[ld]], T_Aop[], 4, 0)</f>
        <v>142</v>
      </c>
      <c r="D11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67196</v>
      </c>
      <c r="E11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108806</v>
      </c>
      <c r="F110"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0"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0"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0"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0"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0"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0"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0"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0" s="8">
        <v>109</v>
      </c>
      <c r="O110" s="240" t="s">
        <v>872</v>
      </c>
    </row>
    <row r="111" spans="2:15" x14ac:dyDescent="0.2">
      <c r="B111" s="45">
        <f>VLOOKUP( T_ApifImport[[#This Row],[Bilans]], T_Bilansi[], 4, 0)</f>
        <v>2</v>
      </c>
      <c r="C111" s="239">
        <f>VLOOKUP( T_ApifImport[[#This Row],[ld]], T_Aop[], 4, 0)</f>
        <v>143</v>
      </c>
      <c r="D11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1"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1"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1"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1"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1"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1"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1"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1"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1" s="8">
        <v>110</v>
      </c>
      <c r="O111" s="240" t="s">
        <v>872</v>
      </c>
    </row>
    <row r="112" spans="2:15" x14ac:dyDescent="0.2">
      <c r="B112" s="45">
        <f>VLOOKUP( T_ApifImport[[#This Row],[Bilans]], T_Bilansi[], 4, 0)</f>
        <v>2</v>
      </c>
      <c r="C112" s="239">
        <f>VLOOKUP( T_ApifImport[[#This Row],[ld]], T_Aop[], 4, 0)</f>
        <v>144</v>
      </c>
      <c r="D11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95278</v>
      </c>
      <c r="E11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208124</v>
      </c>
      <c r="F112"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2"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2"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2"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2"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2"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2"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2"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2" s="8">
        <v>111</v>
      </c>
      <c r="O112" s="240" t="s">
        <v>872</v>
      </c>
    </row>
    <row r="113" spans="2:15" x14ac:dyDescent="0.2">
      <c r="B113" s="45">
        <f>VLOOKUP( T_ApifImport[[#This Row],[Bilans]], T_Bilansi[], 4, 0)</f>
        <v>2</v>
      </c>
      <c r="C113" s="239">
        <f>VLOOKUP( T_ApifImport[[#This Row],[ld]], T_Aop[], 4, 0)</f>
        <v>145</v>
      </c>
      <c r="D11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14063132</v>
      </c>
      <c r="E11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13368401</v>
      </c>
      <c r="F113"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3"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3"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3"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3"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3"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3"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3"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3" s="8">
        <v>112</v>
      </c>
      <c r="O113" s="240" t="s">
        <v>872</v>
      </c>
    </row>
    <row r="114" spans="2:15" x14ac:dyDescent="0.2">
      <c r="B114" s="45">
        <f>VLOOKUP( T_ApifImport[[#This Row],[Bilans]], T_Bilansi[], 4, 0)</f>
        <v>2</v>
      </c>
      <c r="C114" s="239">
        <f>VLOOKUP( T_ApifImport[[#This Row],[ld]], T_Aop[], 4, 0)</f>
        <v>146</v>
      </c>
      <c r="D11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6738170</v>
      </c>
      <c r="E11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6835465</v>
      </c>
      <c r="F114"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4"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4"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4"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4"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4"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4"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4"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4" s="8">
        <v>113</v>
      </c>
      <c r="O114" s="240" t="s">
        <v>872</v>
      </c>
    </row>
    <row r="115" spans="2:15" x14ac:dyDescent="0.2">
      <c r="B115" s="45">
        <f>VLOOKUP( T_ApifImport[[#This Row],[Bilans]], T_Bilansi[], 4, 0)</f>
        <v>2</v>
      </c>
      <c r="C115" s="239">
        <f>VLOOKUP( T_ApifImport[[#This Row],[ld]], T_Aop[], 4, 0)</f>
        <v>147</v>
      </c>
      <c r="D11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11684806</v>
      </c>
      <c r="E11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10048085</v>
      </c>
      <c r="F115"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5"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5"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5"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5"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5"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5"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5"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5" s="8">
        <v>114</v>
      </c>
      <c r="O115" s="240" t="s">
        <v>872</v>
      </c>
    </row>
    <row r="116" spans="2:15" x14ac:dyDescent="0.2">
      <c r="B116" s="45">
        <f>VLOOKUP( T_ApifImport[[#This Row],[Bilans]], T_Bilansi[], 4, 0)</f>
        <v>2</v>
      </c>
      <c r="C116" s="239">
        <f>VLOOKUP( T_ApifImport[[#This Row],[ld]], T_Aop[], 4, 0)</f>
        <v>148</v>
      </c>
      <c r="D11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3127869</v>
      </c>
      <c r="E11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3065475</v>
      </c>
      <c r="F116"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6"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6"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6"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6"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6"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6"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6"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6" s="8">
        <v>115</v>
      </c>
      <c r="O116" s="240" t="s">
        <v>872</v>
      </c>
    </row>
    <row r="117" spans="2:15" x14ac:dyDescent="0.2">
      <c r="B117" s="45">
        <f>VLOOKUP( T_ApifImport[[#This Row],[Bilans]], T_Bilansi[], 4, 0)</f>
        <v>2</v>
      </c>
      <c r="C117" s="239">
        <f>VLOOKUP( T_ApifImport[[#This Row],[ld]], T_Aop[], 4, 0)</f>
        <v>149</v>
      </c>
      <c r="D11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1058803</v>
      </c>
      <c r="E11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1058803</v>
      </c>
      <c r="F117"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7"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7"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7"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7"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7"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7"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7"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7" s="8">
        <v>116</v>
      </c>
      <c r="O117" s="240" t="s">
        <v>872</v>
      </c>
    </row>
    <row r="118" spans="2:15" x14ac:dyDescent="0.2">
      <c r="B118" s="45">
        <f>VLOOKUP( T_ApifImport[[#This Row],[Bilans]], T_Bilansi[], 4, 0)</f>
        <v>2</v>
      </c>
      <c r="C118" s="239">
        <f>VLOOKUP( T_ApifImport[[#This Row],[ld]], T_Aop[], 4, 0)</f>
        <v>150</v>
      </c>
      <c r="D11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2030868</v>
      </c>
      <c r="E11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1970914</v>
      </c>
      <c r="F118"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8"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8"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8"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8"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8"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8"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8"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8" s="8">
        <v>117</v>
      </c>
      <c r="O118" s="240" t="s">
        <v>872</v>
      </c>
    </row>
    <row r="119" spans="2:15" x14ac:dyDescent="0.2">
      <c r="B119" s="45">
        <f>VLOOKUP( T_ApifImport[[#This Row],[Bilans]], T_Bilansi[], 4, 0)</f>
        <v>2</v>
      </c>
      <c r="C119" s="239">
        <f>VLOOKUP( T_ApifImport[[#This Row],[ld]], T_Aop[], 4, 0)</f>
        <v>151</v>
      </c>
      <c r="D11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38198</v>
      </c>
      <c r="E11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35758</v>
      </c>
      <c r="F119"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9"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9"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9"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9"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9"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9"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9"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9" s="8">
        <v>118</v>
      </c>
      <c r="O119" s="240" t="s">
        <v>872</v>
      </c>
    </row>
    <row r="120" spans="2:15" x14ac:dyDescent="0.2">
      <c r="B120" s="45">
        <f>VLOOKUP( T_ApifImport[[#This Row],[Bilans]], T_Bilansi[], 4, 0)</f>
        <v>2</v>
      </c>
      <c r="C120" s="239">
        <f>VLOOKUP( T_ApifImport[[#This Row],[ld]], T_Aop[], 4, 0)</f>
        <v>152</v>
      </c>
      <c r="D12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0"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0"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0"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0"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0"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0"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0"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0"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0" s="8">
        <v>119</v>
      </c>
      <c r="O120" s="240" t="s">
        <v>872</v>
      </c>
    </row>
    <row r="121" spans="2:15" x14ac:dyDescent="0.2">
      <c r="B121" s="45">
        <f>VLOOKUP( T_ApifImport[[#This Row],[Bilans]], T_Bilansi[], 4, 0)</f>
        <v>2</v>
      </c>
      <c r="C121" s="239">
        <f>VLOOKUP( T_ApifImport[[#This Row],[ld]], T_Aop[], 4, 0)</f>
        <v>153</v>
      </c>
      <c r="D12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1"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1"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1"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1"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1"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1"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1"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1"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1" s="8">
        <v>120</v>
      </c>
      <c r="O121" s="240" t="s">
        <v>872</v>
      </c>
    </row>
    <row r="122" spans="2:15" x14ac:dyDescent="0.2">
      <c r="B122" s="45">
        <f>VLOOKUP( T_ApifImport[[#This Row],[Bilans]], T_Bilansi[], 4, 0)</f>
        <v>2</v>
      </c>
      <c r="C122" s="239">
        <f>VLOOKUP( T_ApifImport[[#This Row],[ld]], T_Aop[], 4, 0)</f>
        <v>154</v>
      </c>
      <c r="D12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2"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2"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2"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2"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2"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2"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2"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2"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2" s="8">
        <v>121</v>
      </c>
      <c r="O122" s="240" t="s">
        <v>872</v>
      </c>
    </row>
    <row r="123" spans="2:15" x14ac:dyDescent="0.2">
      <c r="B123" s="45">
        <f>VLOOKUP( T_ApifImport[[#This Row],[Bilans]], T_Bilansi[], 4, 0)</f>
        <v>2</v>
      </c>
      <c r="C123" s="239">
        <f>VLOOKUP( T_ApifImport[[#This Row],[ld]], T_Aop[], 4, 0)</f>
        <v>155</v>
      </c>
      <c r="D12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5501013</v>
      </c>
      <c r="E12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4061698</v>
      </c>
      <c r="F123"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3"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3"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3"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3"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3"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3"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3"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3" s="8">
        <v>122</v>
      </c>
      <c r="O123" s="240" t="s">
        <v>872</v>
      </c>
    </row>
    <row r="124" spans="2:15" x14ac:dyDescent="0.2">
      <c r="B124" s="45">
        <f>VLOOKUP( T_ApifImport[[#This Row],[Bilans]], T_Bilansi[], 4, 0)</f>
        <v>2</v>
      </c>
      <c r="C124" s="239">
        <f>VLOOKUP( T_ApifImport[[#This Row],[ld]], T_Aop[], 4, 0)</f>
        <v>156</v>
      </c>
      <c r="D12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416142</v>
      </c>
      <c r="E12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439015</v>
      </c>
      <c r="F124"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4"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4"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4"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4"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4"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4"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4"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4" s="8">
        <v>123</v>
      </c>
      <c r="O124" s="240" t="s">
        <v>872</v>
      </c>
    </row>
    <row r="125" spans="2:15" x14ac:dyDescent="0.2">
      <c r="B125" s="45">
        <f>VLOOKUP( T_ApifImport[[#This Row],[Bilans]], T_Bilansi[], 4, 0)</f>
        <v>2</v>
      </c>
      <c r="C125" s="239">
        <f>VLOOKUP( T_ApifImport[[#This Row],[ld]], T_Aop[], 4, 0)</f>
        <v>157</v>
      </c>
      <c r="D12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4184279</v>
      </c>
      <c r="E12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2770834</v>
      </c>
      <c r="F125"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5"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5"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5"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5"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5"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5"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5"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5" s="8">
        <v>124</v>
      </c>
      <c r="O125" s="240" t="s">
        <v>872</v>
      </c>
    </row>
    <row r="126" spans="2:15" x14ac:dyDescent="0.2">
      <c r="B126" s="45">
        <f>VLOOKUP( T_ApifImport[[#This Row],[Bilans]], T_Bilansi[], 4, 0)</f>
        <v>2</v>
      </c>
      <c r="C126" s="239">
        <f>VLOOKUP( T_ApifImport[[#This Row],[ld]], T_Aop[], 4, 0)</f>
        <v>158</v>
      </c>
      <c r="D12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776721</v>
      </c>
      <c r="E12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839786</v>
      </c>
      <c r="F126"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6"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6"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6"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6"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6"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6"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6"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6" s="8">
        <v>125</v>
      </c>
      <c r="O126" s="240" t="s">
        <v>872</v>
      </c>
    </row>
    <row r="127" spans="2:15" x14ac:dyDescent="0.2">
      <c r="B127" s="45">
        <f>VLOOKUP( T_ApifImport[[#This Row],[Bilans]], T_Bilansi[], 4, 0)</f>
        <v>2</v>
      </c>
      <c r="C127" s="239">
        <f>VLOOKUP( T_ApifImport[[#This Row],[ld]], T_Aop[], 4, 0)</f>
        <v>159</v>
      </c>
      <c r="D12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123871</v>
      </c>
      <c r="E12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12063</v>
      </c>
      <c r="F127"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7"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7"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7"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7"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7"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7"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7"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7" s="8">
        <v>126</v>
      </c>
      <c r="O127" s="240" t="s">
        <v>872</v>
      </c>
    </row>
    <row r="128" spans="2:15" x14ac:dyDescent="0.2">
      <c r="B128" s="45">
        <f>VLOOKUP( T_ApifImport[[#This Row],[Bilans]], T_Bilansi[], 4, 0)</f>
        <v>2</v>
      </c>
      <c r="C128" s="239">
        <f>VLOOKUP( T_ApifImport[[#This Row],[ld]], T_Aop[], 4, 0)</f>
        <v>160</v>
      </c>
      <c r="D12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8"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8"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8"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8"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8"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8"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8"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8"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8" s="8">
        <v>127</v>
      </c>
      <c r="O128" s="240" t="s">
        <v>872</v>
      </c>
    </row>
    <row r="129" spans="2:15" x14ac:dyDescent="0.2">
      <c r="B129" s="45">
        <f>VLOOKUP( T_ApifImport[[#This Row],[Bilans]], T_Bilansi[], 4, 0)</f>
        <v>2</v>
      </c>
      <c r="C129" s="239">
        <f>VLOOKUP( T_ApifImport[[#This Row],[ld]], T_Aop[], 4, 0)</f>
        <v>161</v>
      </c>
      <c r="D12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419687</v>
      </c>
      <c r="E12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430566</v>
      </c>
      <c r="F129"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9"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9"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9"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9"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9"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9"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9"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9" s="8">
        <v>128</v>
      </c>
      <c r="O129" s="240" t="s">
        <v>872</v>
      </c>
    </row>
    <row r="130" spans="2:15" x14ac:dyDescent="0.2">
      <c r="B130" s="45">
        <f>VLOOKUP( T_ApifImport[[#This Row],[Bilans]], T_Bilansi[], 4, 0)</f>
        <v>2</v>
      </c>
      <c r="C130" s="239">
        <f>VLOOKUP( T_ApifImport[[#This Row],[ld]], T_Aop[], 4, 0)</f>
        <v>162</v>
      </c>
      <c r="D13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1074560</v>
      </c>
      <c r="E13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1096186</v>
      </c>
      <c r="F130"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0"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0"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0"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0"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0"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0"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0"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0" s="8">
        <v>129</v>
      </c>
      <c r="O130" s="240" t="s">
        <v>872</v>
      </c>
    </row>
    <row r="131" spans="2:15" x14ac:dyDescent="0.2">
      <c r="B131" s="45">
        <f>VLOOKUP( T_ApifImport[[#This Row],[Bilans]], T_Bilansi[], 4, 0)</f>
        <v>2</v>
      </c>
      <c r="C131" s="239">
        <f>VLOOKUP( T_ApifImport[[#This Row],[ld]], T_Aop[], 4, 0)</f>
        <v>163</v>
      </c>
      <c r="D13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229161</v>
      </c>
      <c r="E13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27208</v>
      </c>
      <c r="F131"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1"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1"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1"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1"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1"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1"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1"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1" s="8">
        <v>130</v>
      </c>
      <c r="O131" s="240" t="s">
        <v>872</v>
      </c>
    </row>
    <row r="132" spans="2:15" x14ac:dyDescent="0.2">
      <c r="B132" s="45">
        <f>VLOOKUP( T_ApifImport[[#This Row],[Bilans]], T_Bilansi[], 4, 0)</f>
        <v>2</v>
      </c>
      <c r="C132" s="239">
        <f>VLOOKUP( T_ApifImport[[#This Row],[ld]], T_Aop[], 4, 0)</f>
        <v>164</v>
      </c>
      <c r="D13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304709</v>
      </c>
      <c r="E13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222500</v>
      </c>
      <c r="F132"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2"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2"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2"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2"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2"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2"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2"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2" s="8">
        <v>131</v>
      </c>
      <c r="O132" s="240" t="s">
        <v>872</v>
      </c>
    </row>
    <row r="133" spans="2:15" x14ac:dyDescent="0.2">
      <c r="B133" s="45">
        <f>VLOOKUP( T_ApifImport[[#This Row],[Bilans]], T_Bilansi[], 4, 0)</f>
        <v>2</v>
      </c>
      <c r="C133" s="239">
        <f>VLOOKUP( T_ApifImport[[#This Row],[ld]], T_Aop[], 4, 0)</f>
        <v>165</v>
      </c>
      <c r="D13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51010</v>
      </c>
      <c r="E13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53995</v>
      </c>
      <c r="F133"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3"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3"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3"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3"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3"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3"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3"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3" s="8">
        <v>132</v>
      </c>
      <c r="O133" s="240" t="s">
        <v>872</v>
      </c>
    </row>
    <row r="134" spans="2:15" x14ac:dyDescent="0.2">
      <c r="B134" s="45">
        <f>VLOOKUP( T_ApifImport[[#This Row],[Bilans]], T_Bilansi[], 4, 0)</f>
        <v>2</v>
      </c>
      <c r="C134" s="239">
        <f>VLOOKUP( T_ApifImport[[#This Row],[ld]], T_Aop[], 4, 0)</f>
        <v>166</v>
      </c>
      <c r="D13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203325</v>
      </c>
      <c r="E13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45155</v>
      </c>
      <c r="F134"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4"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4"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4"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4"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4"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4"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4"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4" s="8">
        <v>133</v>
      </c>
      <c r="O134" s="240" t="s">
        <v>872</v>
      </c>
    </row>
    <row r="135" spans="2:15" x14ac:dyDescent="0.2">
      <c r="B135" s="45">
        <f>VLOOKUP( T_ApifImport[[#This Row],[Bilans]], T_Bilansi[], 4, 0)</f>
        <v>2</v>
      </c>
      <c r="C135" s="239">
        <f>VLOOKUP( T_ApifImport[[#This Row],[ld]], T_Aop[], 4, 0)</f>
        <v>167</v>
      </c>
      <c r="D13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773472</v>
      </c>
      <c r="E13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1045302</v>
      </c>
      <c r="F135"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5"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5"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5"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5"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5"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5"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5"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5" s="8">
        <v>134</v>
      </c>
      <c r="O135" s="240" t="s">
        <v>872</v>
      </c>
    </row>
    <row r="136" spans="2:15" x14ac:dyDescent="0.2">
      <c r="B136" s="45">
        <f>VLOOKUP( T_ApifImport[[#This Row],[Bilans]], T_Bilansi[], 4, 0)</f>
        <v>2</v>
      </c>
      <c r="C136" s="239">
        <f>VLOOKUP( T_ApifImport[[#This Row],[ld]], T_Aop[], 4, 0)</f>
        <v>168</v>
      </c>
      <c r="D13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6"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6"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6"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6"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6"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6"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6"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6"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6" s="8">
        <v>135</v>
      </c>
      <c r="O136" s="240" t="s">
        <v>872</v>
      </c>
    </row>
    <row r="137" spans="2:15" x14ac:dyDescent="0.2">
      <c r="B137" s="45">
        <f>VLOOKUP( T_ApifImport[[#This Row],[Bilans]], T_Bilansi[], 4, 0)</f>
        <v>2</v>
      </c>
      <c r="C137" s="239">
        <f>VLOOKUP( T_ApifImport[[#This Row],[ld]], T_Aop[], 4, 0)</f>
        <v>0</v>
      </c>
      <c r="D13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7"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7"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7"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7"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7"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7"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7"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7"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7" s="8">
        <v>136</v>
      </c>
      <c r="O137" s="240" t="s">
        <v>872</v>
      </c>
    </row>
    <row r="138" spans="2:15" x14ac:dyDescent="0.2">
      <c r="B138" s="45">
        <f>VLOOKUP( T_ApifImport[[#This Row],[Bilans]], T_Bilansi[], 4, 0)</f>
        <v>2</v>
      </c>
      <c r="C138" s="239">
        <f>VLOOKUP( T_ApifImport[[#This Row],[ld]], T_Aop[], 4, 0)</f>
        <v>169</v>
      </c>
      <c r="D13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165478815</v>
      </c>
      <c r="E13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165117190</v>
      </c>
      <c r="F138"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8"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8"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8"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8"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8"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8"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8"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8" s="8">
        <v>137</v>
      </c>
      <c r="O138" s="240" t="s">
        <v>872</v>
      </c>
    </row>
    <row r="139" spans="2:15" x14ac:dyDescent="0.2">
      <c r="B139" s="541">
        <f>VLOOKUP( T_ApifImport[[#This Row],[Bilans]], T_Bilansi[], 4, 0)</f>
        <v>2</v>
      </c>
      <c r="C139" s="279">
        <f>VLOOKUP( T_ApifImport[[#This Row],[ld]], T_Aop[], 4, 0)</f>
        <v>170</v>
      </c>
      <c r="D139" s="28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28759409</v>
      </c>
      <c r="E139" s="28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28852337</v>
      </c>
      <c r="F139" s="28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9" s="28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9" s="28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9"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9"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9"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9"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9"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9" s="278">
        <v>138</v>
      </c>
      <c r="O139" s="280" t="s">
        <v>872</v>
      </c>
    </row>
    <row r="140" spans="2:15" x14ac:dyDescent="0.2">
      <c r="B140" s="45">
        <f>VLOOKUP( T_ApifImport[[#This Row],[Bilans]], T_Bilansi[], 4, 0)</f>
        <v>3</v>
      </c>
      <c r="C140" s="239">
        <f>VLOOKUP( T_ApifImport[[#This Row],[ld]], T_Aop[], 4, 0)</f>
        <v>201</v>
      </c>
      <c r="D14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37375470</v>
      </c>
      <c r="E14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38853665</v>
      </c>
      <c r="F140"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0"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0"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0"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0"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0"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0"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0"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0" s="8">
        <v>139</v>
      </c>
      <c r="O140" s="240" t="s">
        <v>255</v>
      </c>
    </row>
    <row r="141" spans="2:15" x14ac:dyDescent="0.2">
      <c r="B141" s="45">
        <f>VLOOKUP( T_ApifImport[[#This Row],[Bilans]], T_Bilansi[], 4, 0)</f>
        <v>3</v>
      </c>
      <c r="C141" s="239">
        <f>VLOOKUP( T_ApifImport[[#This Row],[ld]], T_Aop[], 4, 0)</f>
        <v>202</v>
      </c>
      <c r="D14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86618</v>
      </c>
      <c r="E14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12250</v>
      </c>
      <c r="F141"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1"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1"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1"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1"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1"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1"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1"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1" s="8">
        <v>140</v>
      </c>
      <c r="O141" s="240" t="s">
        <v>255</v>
      </c>
    </row>
    <row r="142" spans="2:15" x14ac:dyDescent="0.2">
      <c r="B142" s="45">
        <f>VLOOKUP( T_ApifImport[[#This Row],[Bilans]], T_Bilansi[], 4, 0)</f>
        <v>3</v>
      </c>
      <c r="C142" s="239">
        <f>VLOOKUP( T_ApifImport[[#This Row],[ld]], T_Aop[], 4, 0)</f>
        <v>203</v>
      </c>
      <c r="D14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2"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2"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2"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2"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2"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2"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2"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2"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2" s="8">
        <v>141</v>
      </c>
      <c r="O142" s="240" t="s">
        <v>255</v>
      </c>
    </row>
    <row r="143" spans="2:15" x14ac:dyDescent="0.2">
      <c r="B143" s="45">
        <f>VLOOKUP( T_ApifImport[[#This Row],[Bilans]], T_Bilansi[], 4, 0)</f>
        <v>3</v>
      </c>
      <c r="C143" s="239">
        <f>VLOOKUP( T_ApifImport[[#This Row],[ld]], T_Aop[], 4, 0)</f>
        <v>204</v>
      </c>
      <c r="D14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86618</v>
      </c>
      <c r="E14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12250</v>
      </c>
      <c r="F143"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3"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3"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3"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3"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3"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3"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3"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3" s="8">
        <v>142</v>
      </c>
      <c r="O143" s="240" t="s">
        <v>255</v>
      </c>
    </row>
    <row r="144" spans="2:15" x14ac:dyDescent="0.2">
      <c r="B144" s="45">
        <f>VLOOKUP( T_ApifImport[[#This Row],[Bilans]], T_Bilansi[], 4, 0)</f>
        <v>3</v>
      </c>
      <c r="C144" s="239">
        <f>VLOOKUP( T_ApifImport[[#This Row],[ld]], T_Aop[], 4, 0)</f>
        <v>205</v>
      </c>
      <c r="D14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4"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4"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4"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4"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4"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4"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4"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4"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4" s="8">
        <v>143</v>
      </c>
      <c r="O144" s="240" t="s">
        <v>255</v>
      </c>
    </row>
    <row r="145" spans="2:15" x14ac:dyDescent="0.2">
      <c r="B145" s="45">
        <f>VLOOKUP( T_ApifImport[[#This Row],[Bilans]], T_Bilansi[], 4, 0)</f>
        <v>3</v>
      </c>
      <c r="C145" s="239">
        <f>VLOOKUP( T_ApifImport[[#This Row],[ld]], T_Aop[], 4, 0)</f>
        <v>206</v>
      </c>
      <c r="D14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5"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5"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5"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5"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5"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5"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5"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5"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5" s="8">
        <v>144</v>
      </c>
      <c r="O145" s="240" t="s">
        <v>255</v>
      </c>
    </row>
    <row r="146" spans="2:15" x14ac:dyDescent="0.2">
      <c r="B146" s="45">
        <f>VLOOKUP( T_ApifImport[[#This Row],[Bilans]], T_Bilansi[], 4, 0)</f>
        <v>3</v>
      </c>
      <c r="C146" s="239">
        <f>VLOOKUP( T_ApifImport[[#This Row],[ld]], T_Aop[], 4, 0)</f>
        <v>207</v>
      </c>
      <c r="D14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6"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6"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6"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6"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6"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6"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6"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6"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6" s="8">
        <v>145</v>
      </c>
      <c r="O146" s="240" t="s">
        <v>255</v>
      </c>
    </row>
    <row r="147" spans="2:15" x14ac:dyDescent="0.2">
      <c r="B147" s="45">
        <f>VLOOKUP( T_ApifImport[[#This Row],[Bilans]], T_Bilansi[], 4, 0)</f>
        <v>3</v>
      </c>
      <c r="C147" s="239">
        <f>VLOOKUP( T_ApifImport[[#This Row],[ld]], T_Aop[], 4, 0)</f>
        <v>208</v>
      </c>
      <c r="D14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7"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7"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7"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7"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7"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7"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7"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7"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7" s="8">
        <v>146</v>
      </c>
      <c r="O147" s="240" t="s">
        <v>255</v>
      </c>
    </row>
    <row r="148" spans="2:15" x14ac:dyDescent="0.2">
      <c r="B148" s="45">
        <f>VLOOKUP( T_ApifImport[[#This Row],[Bilans]], T_Bilansi[], 4, 0)</f>
        <v>3</v>
      </c>
      <c r="C148" s="239">
        <f>VLOOKUP( T_ApifImport[[#This Row],[ld]], T_Aop[], 4, 0)</f>
        <v>209</v>
      </c>
      <c r="D14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8"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8"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8"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8"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8"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8"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8"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8"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8" s="8">
        <v>147</v>
      </c>
      <c r="O148" s="240" t="s">
        <v>255</v>
      </c>
    </row>
    <row r="149" spans="2:15" x14ac:dyDescent="0.2">
      <c r="B149" s="45">
        <f>VLOOKUP( T_ApifImport[[#This Row],[Bilans]], T_Bilansi[], 4, 0)</f>
        <v>3</v>
      </c>
      <c r="C149" s="239">
        <f>VLOOKUP( T_ApifImport[[#This Row],[ld]], T_Aop[], 4, 0)</f>
        <v>210</v>
      </c>
      <c r="D14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35517645</v>
      </c>
      <c r="E14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34164231</v>
      </c>
      <c r="F149"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9"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9"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9"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9"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9"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9"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9"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9" s="8">
        <v>148</v>
      </c>
      <c r="O149" s="240" t="s">
        <v>255</v>
      </c>
    </row>
    <row r="150" spans="2:15" x14ac:dyDescent="0.2">
      <c r="B150" s="45">
        <f>VLOOKUP( T_ApifImport[[#This Row],[Bilans]], T_Bilansi[], 4, 0)</f>
        <v>3</v>
      </c>
      <c r="C150" s="239">
        <f>VLOOKUP( T_ApifImport[[#This Row],[ld]], T_Aop[], 4, 0)</f>
        <v>211</v>
      </c>
      <c r="D15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34009955</v>
      </c>
      <c r="E15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32641758</v>
      </c>
      <c r="F150"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0"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0"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0"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0"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0"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0"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0"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0" s="8">
        <v>149</v>
      </c>
      <c r="O150" s="240" t="s">
        <v>255</v>
      </c>
    </row>
    <row r="151" spans="2:15" x14ac:dyDescent="0.2">
      <c r="B151" s="45">
        <f>VLOOKUP( T_ApifImport[[#This Row],[Bilans]], T_Bilansi[], 4, 0)</f>
        <v>3</v>
      </c>
      <c r="C151" s="239">
        <f>VLOOKUP( T_ApifImport[[#This Row],[ld]], T_Aop[], 4, 0)</f>
        <v>212</v>
      </c>
      <c r="D15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1507690</v>
      </c>
      <c r="E15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1522473</v>
      </c>
      <c r="F151"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1"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1"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1"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1"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1"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1"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1"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1" s="8">
        <v>150</v>
      </c>
      <c r="O151" s="240" t="s">
        <v>255</v>
      </c>
    </row>
    <row r="152" spans="2:15" x14ac:dyDescent="0.2">
      <c r="B152" s="45">
        <f>VLOOKUP( T_ApifImport[[#This Row],[Bilans]], T_Bilansi[], 4, 0)</f>
        <v>3</v>
      </c>
      <c r="C152" s="239">
        <f>VLOOKUP( T_ApifImport[[#This Row],[ld]], T_Aop[], 4, 0)</f>
        <v>213</v>
      </c>
      <c r="D15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2"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2"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2"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2"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2"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2"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2"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2"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2" s="8">
        <v>151</v>
      </c>
      <c r="O152" s="240" t="s">
        <v>255</v>
      </c>
    </row>
    <row r="153" spans="2:15" x14ac:dyDescent="0.2">
      <c r="B153" s="45">
        <f>VLOOKUP( T_ApifImport[[#This Row],[Bilans]], T_Bilansi[], 4, 0)</f>
        <v>3</v>
      </c>
      <c r="C153" s="239">
        <f>VLOOKUP( T_ApifImport[[#This Row],[ld]], T_Aop[], 4, 0)</f>
        <v>214</v>
      </c>
      <c r="D15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3"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3"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3"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3"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3"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3"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3"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3"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3" s="8">
        <v>152</v>
      </c>
      <c r="O153" s="240" t="s">
        <v>255</v>
      </c>
    </row>
    <row r="154" spans="2:15" x14ac:dyDescent="0.2">
      <c r="B154" s="45">
        <f>VLOOKUP( T_ApifImport[[#This Row],[Bilans]], T_Bilansi[], 4, 0)</f>
        <v>3</v>
      </c>
      <c r="C154" s="239">
        <f>VLOOKUP( T_ApifImport[[#This Row],[ld]], T_Aop[], 4, 0)</f>
        <v>215</v>
      </c>
      <c r="D15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4"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4"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4"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4"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4"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4"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4"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4"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4" s="8">
        <v>153</v>
      </c>
      <c r="O154" s="240" t="s">
        <v>255</v>
      </c>
    </row>
    <row r="155" spans="2:15" x14ac:dyDescent="0.2">
      <c r="B155" s="45">
        <f>VLOOKUP( T_ApifImport[[#This Row],[Bilans]], T_Bilansi[], 4, 0)</f>
        <v>3</v>
      </c>
      <c r="C155" s="239">
        <f>VLOOKUP( T_ApifImport[[#This Row],[ld]], T_Aop[], 4, 0)</f>
        <v>216</v>
      </c>
      <c r="D15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5"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5"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5"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5"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5"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5"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5"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5"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5" s="8">
        <v>154</v>
      </c>
      <c r="O155" s="240" t="s">
        <v>255</v>
      </c>
    </row>
    <row r="156" spans="2:15" x14ac:dyDescent="0.2">
      <c r="B156" s="45">
        <f>VLOOKUP( T_ApifImport[[#This Row],[Bilans]], T_Bilansi[], 4, 0)</f>
        <v>3</v>
      </c>
      <c r="C156" s="239">
        <f>VLOOKUP( T_ApifImport[[#This Row],[ld]], T_Aop[], 4, 0)</f>
        <v>217</v>
      </c>
      <c r="D15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6"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6"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6"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6"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6"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6"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6"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6"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6" s="8">
        <v>155</v>
      </c>
      <c r="O156" s="240" t="s">
        <v>255</v>
      </c>
    </row>
    <row r="157" spans="2:15" x14ac:dyDescent="0.2">
      <c r="B157" s="45">
        <f>VLOOKUP( T_ApifImport[[#This Row],[Bilans]], T_Bilansi[], 4, 0)</f>
        <v>3</v>
      </c>
      <c r="C157" s="239">
        <f>VLOOKUP( T_ApifImport[[#This Row],[ld]], T_Aop[], 4, 0)</f>
        <v>218</v>
      </c>
      <c r="D15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1771207</v>
      </c>
      <c r="E15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4677184</v>
      </c>
      <c r="F157"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7"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7"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7"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7"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7"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7"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7"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7" s="8">
        <v>156</v>
      </c>
      <c r="O157" s="240" t="s">
        <v>255</v>
      </c>
    </row>
    <row r="158" spans="2:15" x14ac:dyDescent="0.2">
      <c r="B158" s="45">
        <f>VLOOKUP( T_ApifImport[[#This Row],[Bilans]], T_Bilansi[], 4, 0)</f>
        <v>3</v>
      </c>
      <c r="C158" s="239">
        <f>VLOOKUP( T_ApifImport[[#This Row],[ld]], T_Aop[], 4, 0)</f>
        <v>219</v>
      </c>
      <c r="D15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35891924</v>
      </c>
      <c r="E15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36167755</v>
      </c>
      <c r="F158"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8"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8"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8"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8"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8"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8"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8"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8" s="8">
        <v>157</v>
      </c>
      <c r="O158" s="240" t="s">
        <v>255</v>
      </c>
    </row>
    <row r="159" spans="2:15" x14ac:dyDescent="0.2">
      <c r="B159" s="45">
        <f>VLOOKUP( T_ApifImport[[#This Row],[Bilans]], T_Bilansi[], 4, 0)</f>
        <v>3</v>
      </c>
      <c r="C159" s="239">
        <f>VLOOKUP( T_ApifImport[[#This Row],[ld]], T_Aop[], 4, 0)</f>
        <v>220</v>
      </c>
      <c r="D15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9316018</v>
      </c>
      <c r="E15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9377381</v>
      </c>
      <c r="F159"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9"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9"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9"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9"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9"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9"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9"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9" s="8">
        <v>158</v>
      </c>
      <c r="O159" s="240" t="s">
        <v>255</v>
      </c>
    </row>
    <row r="160" spans="2:15" x14ac:dyDescent="0.2">
      <c r="B160" s="45">
        <f>VLOOKUP( T_ApifImport[[#This Row],[Bilans]], T_Bilansi[], 4, 0)</f>
        <v>3</v>
      </c>
      <c r="C160" s="239">
        <f>VLOOKUP( T_ApifImport[[#This Row],[ld]], T_Aop[], 4, 0)</f>
        <v>221</v>
      </c>
      <c r="D16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638810</v>
      </c>
      <c r="E16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674412</v>
      </c>
      <c r="F160"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0"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0"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0"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0"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0"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0"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0"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0" s="8">
        <v>159</v>
      </c>
      <c r="O160" s="240" t="s">
        <v>255</v>
      </c>
    </row>
    <row r="161" spans="2:15" x14ac:dyDescent="0.2">
      <c r="B161" s="45">
        <f>VLOOKUP( T_ApifImport[[#This Row],[Bilans]], T_Bilansi[], 4, 0)</f>
        <v>3</v>
      </c>
      <c r="C161" s="239">
        <f>VLOOKUP( T_ApifImport[[#This Row],[ld]], T_Aop[], 4, 0)</f>
        <v>222</v>
      </c>
      <c r="D16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643061</v>
      </c>
      <c r="E16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671196</v>
      </c>
      <c r="F161"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1"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1"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1"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1"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1"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1"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1"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1" s="8">
        <v>160</v>
      </c>
      <c r="O161" s="240" t="s">
        <v>255</v>
      </c>
    </row>
    <row r="162" spans="2:15" x14ac:dyDescent="0.2">
      <c r="B162" s="45">
        <f>VLOOKUP( T_ApifImport[[#This Row],[Bilans]], T_Bilansi[], 4, 0)</f>
        <v>3</v>
      </c>
      <c r="C162" s="239">
        <f>VLOOKUP( T_ApifImport[[#This Row],[ld]], T_Aop[], 4, 0)</f>
        <v>223</v>
      </c>
      <c r="D16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14016944</v>
      </c>
      <c r="E16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13950942</v>
      </c>
      <c r="F162"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2"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2"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2"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2"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2"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2"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2"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2" s="8">
        <v>161</v>
      </c>
      <c r="O162" s="240" t="s">
        <v>255</v>
      </c>
    </row>
    <row r="163" spans="2:15" x14ac:dyDescent="0.2">
      <c r="B163" s="45">
        <f>VLOOKUP( T_ApifImport[[#This Row],[Bilans]], T_Bilansi[], 4, 0)</f>
        <v>3</v>
      </c>
      <c r="C163" s="239">
        <f>VLOOKUP( T_ApifImport[[#This Row],[ld]], T_Aop[], 4, 0)</f>
        <v>224</v>
      </c>
      <c r="D16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11329453</v>
      </c>
      <c r="E16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11279885</v>
      </c>
      <c r="F163"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3"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3"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3"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3"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3"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3"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3"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3" s="8">
        <v>162</v>
      </c>
      <c r="O163" s="240" t="s">
        <v>255</v>
      </c>
    </row>
    <row r="164" spans="2:15" x14ac:dyDescent="0.2">
      <c r="B164" s="45">
        <f>VLOOKUP( T_ApifImport[[#This Row],[Bilans]], T_Bilansi[], 4, 0)</f>
        <v>3</v>
      </c>
      <c r="C164" s="239">
        <f>VLOOKUP( T_ApifImport[[#This Row],[ld]], T_Aop[], 4, 0)</f>
        <v>225</v>
      </c>
      <c r="D16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2687491</v>
      </c>
      <c r="E16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2671057</v>
      </c>
      <c r="F164"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4"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4"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4"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4"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4"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4"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4"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4" s="8">
        <v>163</v>
      </c>
      <c r="O164" s="240" t="s">
        <v>255</v>
      </c>
    </row>
    <row r="165" spans="2:15" x14ac:dyDescent="0.2">
      <c r="B165" s="45">
        <f>VLOOKUP( T_ApifImport[[#This Row],[Bilans]], T_Bilansi[], 4, 0)</f>
        <v>3</v>
      </c>
      <c r="C165" s="239">
        <f>VLOOKUP( T_ApifImport[[#This Row],[ld]], T_Aop[], 4, 0)</f>
        <v>226</v>
      </c>
      <c r="D16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856245</v>
      </c>
      <c r="E16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1198825</v>
      </c>
      <c r="F165"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5"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5"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5"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5"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5"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5"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5"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5" s="8">
        <v>164</v>
      </c>
      <c r="O165" s="240" t="s">
        <v>255</v>
      </c>
    </row>
    <row r="166" spans="2:15" x14ac:dyDescent="0.2">
      <c r="B166" s="45">
        <f>VLOOKUP( T_ApifImport[[#This Row],[Bilans]], T_Bilansi[], 4, 0)</f>
        <v>3</v>
      </c>
      <c r="C166" s="239">
        <f>VLOOKUP( T_ApifImport[[#This Row],[ld]], T_Aop[], 4, 0)</f>
        <v>227</v>
      </c>
      <c r="D16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6398860</v>
      </c>
      <c r="E16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6286280</v>
      </c>
      <c r="F166"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6"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6"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6"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6"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6"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6"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6"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6" s="8">
        <v>165</v>
      </c>
      <c r="O166" s="240" t="s">
        <v>255</v>
      </c>
    </row>
    <row r="167" spans="2:15" x14ac:dyDescent="0.2">
      <c r="B167" s="45">
        <f>VLOOKUP( T_ApifImport[[#This Row],[Bilans]], T_Bilansi[], 4, 0)</f>
        <v>3</v>
      </c>
      <c r="C167" s="239">
        <f>VLOOKUP( T_ApifImport[[#This Row],[ld]], T_Aop[], 4, 0)</f>
        <v>228</v>
      </c>
      <c r="D16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5953212</v>
      </c>
      <c r="E16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6217686</v>
      </c>
      <c r="F167"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7"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7"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7"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7"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7"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7"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7"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7" s="8">
        <v>166</v>
      </c>
      <c r="O167" s="240" t="s">
        <v>255</v>
      </c>
    </row>
    <row r="168" spans="2:15" x14ac:dyDescent="0.2">
      <c r="B168" s="45">
        <f>VLOOKUP( T_ApifImport[[#This Row],[Bilans]], T_Bilansi[], 4, 0)</f>
        <v>3</v>
      </c>
      <c r="C168" s="239">
        <f>VLOOKUP( T_ApifImport[[#This Row],[ld]], T_Aop[], 4, 0)</f>
        <v>229</v>
      </c>
      <c r="D16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5935302</v>
      </c>
      <c r="E16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6194044</v>
      </c>
      <c r="F168"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8"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8"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8"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8"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8"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8"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8"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8" s="8">
        <v>167</v>
      </c>
      <c r="O168" s="240" t="s">
        <v>255</v>
      </c>
    </row>
    <row r="169" spans="2:15" x14ac:dyDescent="0.2">
      <c r="B169" s="45">
        <f>VLOOKUP( T_ApifImport[[#This Row],[Bilans]], T_Bilansi[], 4, 0)</f>
        <v>3</v>
      </c>
      <c r="C169" s="239">
        <f>VLOOKUP( T_ApifImport[[#This Row],[ld]], T_Aop[], 4, 0)</f>
        <v>230</v>
      </c>
      <c r="D16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5179</v>
      </c>
      <c r="E16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3539</v>
      </c>
      <c r="F169"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9"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9"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9"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9"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9"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9"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9"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9" s="8">
        <v>168</v>
      </c>
      <c r="O169" s="240" t="s">
        <v>255</v>
      </c>
    </row>
    <row r="170" spans="2:15" x14ac:dyDescent="0.2">
      <c r="B170" s="45">
        <f>VLOOKUP( T_ApifImport[[#This Row],[Bilans]], T_Bilansi[], 4, 0)</f>
        <v>3</v>
      </c>
      <c r="C170" s="239">
        <f>VLOOKUP( T_ApifImport[[#This Row],[ld]], T_Aop[], 4, 0)</f>
        <v>231</v>
      </c>
      <c r="D17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12731</v>
      </c>
      <c r="E17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20103</v>
      </c>
      <c r="F170"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0"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0"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0"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0"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0"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0"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0"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0" s="8">
        <v>169</v>
      </c>
      <c r="O170" s="240" t="s">
        <v>255</v>
      </c>
    </row>
    <row r="171" spans="2:15" x14ac:dyDescent="0.2">
      <c r="B171" s="45">
        <f>VLOOKUP( T_ApifImport[[#This Row],[Bilans]], T_Bilansi[], 4, 0)</f>
        <v>3</v>
      </c>
      <c r="C171" s="239">
        <f>VLOOKUP( T_ApifImport[[#This Row],[ld]], T_Aop[], 4, 0)</f>
        <v>232</v>
      </c>
      <c r="D17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1"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1"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1"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1"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1"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1"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1"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1"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1" s="8">
        <v>170</v>
      </c>
      <c r="O171" s="240" t="s">
        <v>255</v>
      </c>
    </row>
    <row r="172" spans="2:15" x14ac:dyDescent="0.2">
      <c r="B172" s="45">
        <f>VLOOKUP( T_ApifImport[[#This Row],[Bilans]], T_Bilansi[], 4, 0)</f>
        <v>3</v>
      </c>
      <c r="C172" s="239">
        <f>VLOOKUP( T_ApifImport[[#This Row],[ld]], T_Aop[], 4, 0)</f>
        <v>233</v>
      </c>
      <c r="D17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445648</v>
      </c>
      <c r="E17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68594</v>
      </c>
      <c r="F172"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2"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2"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2"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2"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2"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2"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2"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2" s="8">
        <v>171</v>
      </c>
      <c r="O172" s="240" t="s">
        <v>255</v>
      </c>
    </row>
    <row r="173" spans="2:15" x14ac:dyDescent="0.2">
      <c r="B173" s="45">
        <f>VLOOKUP( T_ApifImport[[#This Row],[Bilans]], T_Bilansi[], 4, 0)</f>
        <v>3</v>
      </c>
      <c r="C173" s="239">
        <f>VLOOKUP( T_ApifImport[[#This Row],[ld]], T_Aop[], 4, 0)</f>
        <v>234</v>
      </c>
      <c r="D17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3759526</v>
      </c>
      <c r="E17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3734878</v>
      </c>
      <c r="F173"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3"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3"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3"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3"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3"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3"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3"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3" s="8">
        <v>172</v>
      </c>
      <c r="O173" s="240" t="s">
        <v>255</v>
      </c>
    </row>
    <row r="174" spans="2:15" x14ac:dyDescent="0.2">
      <c r="B174" s="45">
        <f>VLOOKUP( T_ApifImport[[#This Row],[Bilans]], T_Bilansi[], 4, 0)</f>
        <v>3</v>
      </c>
      <c r="C174" s="239">
        <f>VLOOKUP( T_ApifImport[[#This Row],[ld]], T_Aop[], 4, 0)</f>
        <v>235</v>
      </c>
      <c r="D17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124988</v>
      </c>
      <c r="E17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112042</v>
      </c>
      <c r="F174"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4"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4"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4"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4"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4"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4"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4"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4" s="8">
        <v>173</v>
      </c>
      <c r="O174" s="240" t="s">
        <v>255</v>
      </c>
    </row>
    <row r="175" spans="2:15" x14ac:dyDescent="0.2">
      <c r="B175" s="45">
        <f>VLOOKUP( T_ApifImport[[#This Row],[Bilans]], T_Bilansi[], 4, 0)</f>
        <v>3</v>
      </c>
      <c r="C175" s="239">
        <f>VLOOKUP( T_ApifImport[[#This Row],[ld]], T_Aop[], 4, 0)</f>
        <v>236</v>
      </c>
      <c r="D17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137472</v>
      </c>
      <c r="E17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161799</v>
      </c>
      <c r="F175"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5"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5"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5"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5"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5"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5"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5"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5" s="8">
        <v>174</v>
      </c>
      <c r="O175" s="240" t="s">
        <v>255</v>
      </c>
    </row>
    <row r="176" spans="2:15" x14ac:dyDescent="0.2">
      <c r="B176" s="45">
        <f>VLOOKUP( T_ApifImport[[#This Row],[Bilans]], T_Bilansi[], 4, 0)</f>
        <v>3</v>
      </c>
      <c r="C176" s="239">
        <f>VLOOKUP( T_ApifImport[[#This Row],[ld]], T_Aop[], 4, 0)</f>
        <v>237</v>
      </c>
      <c r="D17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1483546</v>
      </c>
      <c r="E17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2685910</v>
      </c>
      <c r="F176"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6"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6"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6"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6"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6"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6"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6"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6" s="8">
        <v>175</v>
      </c>
      <c r="O176" s="240" t="s">
        <v>255</v>
      </c>
    </row>
    <row r="177" spans="2:15" x14ac:dyDescent="0.2">
      <c r="B177" s="45">
        <f>VLOOKUP( T_ApifImport[[#This Row],[Bilans]], T_Bilansi[], 4, 0)</f>
        <v>3</v>
      </c>
      <c r="C177" s="239">
        <f>VLOOKUP( T_ApifImport[[#This Row],[ld]], T_Aop[], 4, 0)</f>
        <v>238</v>
      </c>
      <c r="D17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7"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7"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7"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7"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7"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7"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7"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7"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7" s="8">
        <v>176</v>
      </c>
      <c r="O177" s="240" t="s">
        <v>255</v>
      </c>
    </row>
    <row r="178" spans="2:15" x14ac:dyDescent="0.2">
      <c r="B178" s="45">
        <f>VLOOKUP( T_ApifImport[[#This Row],[Bilans]], T_Bilansi[], 4, 0)</f>
        <v>3</v>
      </c>
      <c r="C178" s="239">
        <f>VLOOKUP( T_ApifImport[[#This Row],[ld]], T_Aop[], 4, 0)</f>
        <v>239</v>
      </c>
      <c r="D17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103583</v>
      </c>
      <c r="E17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119834</v>
      </c>
      <c r="F178"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8"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8"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8"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8"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8"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8"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8"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8" s="8">
        <v>177</v>
      </c>
      <c r="O178" s="240" t="s">
        <v>255</v>
      </c>
    </row>
    <row r="179" spans="2:15" x14ac:dyDescent="0.2">
      <c r="B179" s="45">
        <f>VLOOKUP( T_ApifImport[[#This Row],[Bilans]], T_Bilansi[], 4, 0)</f>
        <v>3</v>
      </c>
      <c r="C179" s="239">
        <f>VLOOKUP( T_ApifImport[[#This Row],[ld]], T_Aop[], 4, 0)</f>
        <v>240</v>
      </c>
      <c r="D17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103575</v>
      </c>
      <c r="E17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119827</v>
      </c>
      <c r="F179"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9"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9"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9"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9"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9"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9"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9"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9" s="8">
        <v>178</v>
      </c>
      <c r="O179" s="240" t="s">
        <v>255</v>
      </c>
    </row>
    <row r="180" spans="2:15" x14ac:dyDescent="0.2">
      <c r="B180" s="45">
        <f>VLOOKUP( T_ApifImport[[#This Row],[Bilans]], T_Bilansi[], 4, 0)</f>
        <v>3</v>
      </c>
      <c r="C180" s="239">
        <f>VLOOKUP( T_ApifImport[[#This Row],[ld]], T_Aop[], 4, 0)</f>
        <v>241</v>
      </c>
      <c r="D18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0"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0"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0"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0"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0"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0"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0"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0"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0" s="8">
        <v>179</v>
      </c>
      <c r="O180" s="240" t="s">
        <v>255</v>
      </c>
    </row>
    <row r="181" spans="2:15" x14ac:dyDescent="0.2">
      <c r="B181" s="45">
        <f>VLOOKUP( T_ApifImport[[#This Row],[Bilans]], T_Bilansi[], 4, 0)</f>
        <v>3</v>
      </c>
      <c r="C181" s="239">
        <f>VLOOKUP( T_ApifImport[[#This Row],[ld]], T_Aop[], 4, 0)</f>
        <v>242</v>
      </c>
      <c r="D18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1"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1"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1"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1"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1"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1"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1"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1"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1" s="8">
        <v>180</v>
      </c>
      <c r="O181" s="240" t="s">
        <v>255</v>
      </c>
    </row>
    <row r="182" spans="2:15" x14ac:dyDescent="0.2">
      <c r="B182" s="45">
        <f>VLOOKUP( T_ApifImport[[#This Row],[Bilans]], T_Bilansi[], 4, 0)</f>
        <v>3</v>
      </c>
      <c r="C182" s="239">
        <f>VLOOKUP( T_ApifImport[[#This Row],[ld]], T_Aop[], 4, 0)</f>
        <v>243</v>
      </c>
      <c r="D18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v>
      </c>
      <c r="E18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v>
      </c>
      <c r="F182"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2"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2"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2"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2"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2"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2"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2"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2" s="8">
        <v>181</v>
      </c>
      <c r="O182" s="240" t="s">
        <v>255</v>
      </c>
    </row>
    <row r="183" spans="2:15" x14ac:dyDescent="0.2">
      <c r="B183" s="45">
        <f>VLOOKUP( T_ApifImport[[#This Row],[Bilans]], T_Bilansi[], 4, 0)</f>
        <v>3</v>
      </c>
      <c r="C183" s="239">
        <f>VLOOKUP( T_ApifImport[[#This Row],[ld]], T_Aop[], 4, 0)</f>
        <v>244</v>
      </c>
      <c r="D18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898951</v>
      </c>
      <c r="E18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976584</v>
      </c>
      <c r="F183"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3"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3"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3"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3"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3"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3"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3"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3" s="8">
        <v>182</v>
      </c>
      <c r="O183" s="240" t="s">
        <v>255</v>
      </c>
    </row>
    <row r="184" spans="2:15" x14ac:dyDescent="0.2">
      <c r="B184" s="45">
        <f>VLOOKUP( T_ApifImport[[#This Row],[Bilans]], T_Bilansi[], 4, 0)</f>
        <v>3</v>
      </c>
      <c r="C184" s="239">
        <f>VLOOKUP( T_ApifImport[[#This Row],[ld]], T_Aop[], 4, 0)</f>
        <v>245</v>
      </c>
      <c r="D18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898945</v>
      </c>
      <c r="E18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976580</v>
      </c>
      <c r="F184"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4"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4"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4"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4"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4"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4"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4"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4" s="8">
        <v>183</v>
      </c>
      <c r="O184" s="240" t="s">
        <v>255</v>
      </c>
    </row>
    <row r="185" spans="2:15" x14ac:dyDescent="0.2">
      <c r="B185" s="45">
        <f>VLOOKUP( T_ApifImport[[#This Row],[Bilans]], T_Bilansi[], 4, 0)</f>
        <v>3</v>
      </c>
      <c r="C185" s="239">
        <f>VLOOKUP( T_ApifImport[[#This Row],[ld]], T_Aop[], 4, 0)</f>
        <v>246</v>
      </c>
      <c r="D18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5"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5"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5"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5"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5"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5"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5"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5"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5" s="8">
        <v>184</v>
      </c>
      <c r="O185" s="240" t="s">
        <v>255</v>
      </c>
    </row>
    <row r="186" spans="2:15" x14ac:dyDescent="0.2">
      <c r="B186" s="45">
        <f>VLOOKUP( T_ApifImport[[#This Row],[Bilans]], T_Bilansi[], 4, 0)</f>
        <v>3</v>
      </c>
      <c r="C186" s="239">
        <f>VLOOKUP( T_ApifImport[[#This Row],[ld]], T_Aop[], 4, 0)</f>
        <v>247</v>
      </c>
      <c r="D18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6"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6"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6"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6"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6"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6"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6"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6"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6" s="8">
        <v>185</v>
      </c>
      <c r="O186" s="240" t="s">
        <v>255</v>
      </c>
    </row>
    <row r="187" spans="2:15" x14ac:dyDescent="0.2">
      <c r="B187" s="45">
        <f>VLOOKUP( T_ApifImport[[#This Row],[Bilans]], T_Bilansi[], 4, 0)</f>
        <v>3</v>
      </c>
      <c r="C187" s="239">
        <f>VLOOKUP( T_ApifImport[[#This Row],[ld]], T_Aop[], 4, 0)</f>
        <v>248</v>
      </c>
      <c r="D18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v>
      </c>
      <c r="E18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v>
      </c>
      <c r="F187"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7"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7"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7"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7"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7"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7"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7"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7" s="8">
        <v>186</v>
      </c>
      <c r="O187" s="240" t="s">
        <v>255</v>
      </c>
    </row>
    <row r="188" spans="2:15" x14ac:dyDescent="0.2">
      <c r="B188" s="45">
        <f>VLOOKUP( T_ApifImport[[#This Row],[Bilans]], T_Bilansi[], 4, 0)</f>
        <v>3</v>
      </c>
      <c r="C188" s="239">
        <f>VLOOKUP( T_ApifImport[[#This Row],[ld]], T_Aop[], 4, 0)</f>
        <v>249</v>
      </c>
      <c r="D18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688178</v>
      </c>
      <c r="E18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1829160</v>
      </c>
      <c r="F188"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8"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8"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8"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8"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8"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8"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8"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8" s="8">
        <v>187</v>
      </c>
      <c r="O188" s="240" t="s">
        <v>255</v>
      </c>
    </row>
    <row r="189" spans="2:15" x14ac:dyDescent="0.2">
      <c r="B189" s="45">
        <f>VLOOKUP( T_ApifImport[[#This Row],[Bilans]], T_Bilansi[], 4, 0)</f>
        <v>3</v>
      </c>
      <c r="C189" s="239">
        <f>VLOOKUP( T_ApifImport[[#This Row],[ld]], T_Aop[], 4, 0)</f>
        <v>250</v>
      </c>
      <c r="D18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9"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9"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9"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9"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9"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9"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9"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9"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9" s="8">
        <v>188</v>
      </c>
      <c r="O189" s="240" t="s">
        <v>255</v>
      </c>
    </row>
    <row r="190" spans="2:15" x14ac:dyDescent="0.2">
      <c r="B190" s="45">
        <f>VLOOKUP( T_ApifImport[[#This Row],[Bilans]], T_Bilansi[], 4, 0)</f>
        <v>3</v>
      </c>
      <c r="C190" s="239">
        <f>VLOOKUP( T_ApifImport[[#This Row],[ld]], T_Aop[], 4, 0)</f>
        <v>251</v>
      </c>
      <c r="D19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224212</v>
      </c>
      <c r="E19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550910</v>
      </c>
      <c r="F190"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0"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0"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0"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0"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0"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0"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0"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0" s="8">
        <v>189</v>
      </c>
      <c r="O190" s="240" t="s">
        <v>255</v>
      </c>
    </row>
    <row r="191" spans="2:15" x14ac:dyDescent="0.2">
      <c r="B191" s="45">
        <f>VLOOKUP( T_ApifImport[[#This Row],[Bilans]], T_Bilansi[], 4, 0)</f>
        <v>3</v>
      </c>
      <c r="C191" s="239">
        <f>VLOOKUP( T_ApifImport[[#This Row],[ld]], T_Aop[], 4, 0)</f>
        <v>252</v>
      </c>
      <c r="D19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1"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1"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1"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1"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1"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1"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1"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1"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1" s="8">
        <v>190</v>
      </c>
      <c r="O191" s="240" t="s">
        <v>255</v>
      </c>
    </row>
    <row r="192" spans="2:15" x14ac:dyDescent="0.2">
      <c r="B192" s="45">
        <f>VLOOKUP( T_ApifImport[[#This Row],[Bilans]], T_Bilansi[], 4, 0)</f>
        <v>3</v>
      </c>
      <c r="C192" s="239">
        <f>VLOOKUP( T_ApifImport[[#This Row],[ld]], T_Aop[], 4, 0)</f>
        <v>253</v>
      </c>
      <c r="D19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2"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2"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2"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2"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2"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2"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2"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2"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2" s="8">
        <v>191</v>
      </c>
      <c r="O192" s="240" t="s">
        <v>255</v>
      </c>
    </row>
    <row r="193" spans="2:15" x14ac:dyDescent="0.2">
      <c r="B193" s="45">
        <f>VLOOKUP( T_ApifImport[[#This Row],[Bilans]], T_Bilansi[], 4, 0)</f>
        <v>3</v>
      </c>
      <c r="C193" s="239">
        <f>VLOOKUP( T_ApifImport[[#This Row],[ld]], T_Aop[], 4, 0)</f>
        <v>254</v>
      </c>
      <c r="D19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3"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3"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3"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3"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3"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3"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3"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3"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3" s="8">
        <v>192</v>
      </c>
      <c r="O193" s="240" t="s">
        <v>255</v>
      </c>
    </row>
    <row r="194" spans="2:15" x14ac:dyDescent="0.2">
      <c r="B194" s="45">
        <f>VLOOKUP( T_ApifImport[[#This Row],[Bilans]], T_Bilansi[], 4, 0)</f>
        <v>3</v>
      </c>
      <c r="C194" s="239">
        <f>VLOOKUP( T_ApifImport[[#This Row],[ld]], T_Aop[], 4, 0)</f>
        <v>255</v>
      </c>
      <c r="D19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4"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4"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4"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4"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4"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4"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4"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4"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4" s="8">
        <v>193</v>
      </c>
      <c r="O194" s="240" t="s">
        <v>255</v>
      </c>
    </row>
    <row r="195" spans="2:15" x14ac:dyDescent="0.2">
      <c r="B195" s="45">
        <f>VLOOKUP( T_ApifImport[[#This Row],[Bilans]], T_Bilansi[], 4, 0)</f>
        <v>3</v>
      </c>
      <c r="C195" s="239">
        <f>VLOOKUP( T_ApifImport[[#This Row],[ld]], T_Aop[], 4, 0)</f>
        <v>256</v>
      </c>
      <c r="D19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5"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5"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5"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5"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5"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5"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5"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5"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5" s="8">
        <v>194</v>
      </c>
      <c r="O195" s="240" t="s">
        <v>255</v>
      </c>
    </row>
    <row r="196" spans="2:15" x14ac:dyDescent="0.2">
      <c r="B196" s="45">
        <f>VLOOKUP( T_ApifImport[[#This Row],[Bilans]], T_Bilansi[], 4, 0)</f>
        <v>3</v>
      </c>
      <c r="C196" s="239">
        <f>VLOOKUP( T_ApifImport[[#This Row],[ld]], T_Aop[], 4, 0)</f>
        <v>257</v>
      </c>
      <c r="D19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6"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6"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6"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6"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6"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6"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6"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6"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6" s="8">
        <v>195</v>
      </c>
      <c r="O196" s="240" t="s">
        <v>255</v>
      </c>
    </row>
    <row r="197" spans="2:15" x14ac:dyDescent="0.2">
      <c r="B197" s="45">
        <f>VLOOKUP( T_ApifImport[[#This Row],[Bilans]], T_Bilansi[], 4, 0)</f>
        <v>3</v>
      </c>
      <c r="C197" s="239">
        <f>VLOOKUP( T_ApifImport[[#This Row],[ld]], T_Aop[], 4, 0)</f>
        <v>258</v>
      </c>
      <c r="D19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764</v>
      </c>
      <c r="E19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486</v>
      </c>
      <c r="F197"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7"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7"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7"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7"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7"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7"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7"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7" s="8">
        <v>196</v>
      </c>
      <c r="O197" s="240" t="s">
        <v>255</v>
      </c>
    </row>
    <row r="198" spans="2:15" x14ac:dyDescent="0.2">
      <c r="B198" s="45">
        <f>VLOOKUP( T_ApifImport[[#This Row],[Bilans]], T_Bilansi[], 4, 0)</f>
        <v>3</v>
      </c>
      <c r="C198" s="239">
        <f>VLOOKUP( T_ApifImport[[#This Row],[ld]], T_Aop[], 4, 0)</f>
        <v>259</v>
      </c>
      <c r="D19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223448</v>
      </c>
      <c r="E19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550424</v>
      </c>
      <c r="F198"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8"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8"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8"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8"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8"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8"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8"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8" s="8">
        <v>197</v>
      </c>
      <c r="O198" s="240" t="s">
        <v>255</v>
      </c>
    </row>
    <row r="199" spans="2:15" x14ac:dyDescent="0.2">
      <c r="B199" s="45">
        <f>VLOOKUP( T_ApifImport[[#This Row],[Bilans]], T_Bilansi[], 4, 0)</f>
        <v>3</v>
      </c>
      <c r="C199" s="239">
        <f>VLOOKUP( T_ApifImport[[#This Row],[ld]], T_Aop[], 4, 0)</f>
        <v>260</v>
      </c>
      <c r="D19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9"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9"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9"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9"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9"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9"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9"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9"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9" s="8">
        <v>198</v>
      </c>
      <c r="O199" s="240" t="s">
        <v>255</v>
      </c>
    </row>
    <row r="200" spans="2:15" x14ac:dyDescent="0.2">
      <c r="B200" s="45">
        <f>VLOOKUP( T_ApifImport[[#This Row],[Bilans]], T_Bilansi[], 4, 0)</f>
        <v>3</v>
      </c>
      <c r="C200" s="239">
        <f>VLOOKUP( T_ApifImport[[#This Row],[ld]], T_Aop[], 4, 0)</f>
        <v>261</v>
      </c>
      <c r="D20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88088</v>
      </c>
      <c r="E20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163126</v>
      </c>
      <c r="F200"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0"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0"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0"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0"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0"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0"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0"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0" s="8">
        <v>199</v>
      </c>
      <c r="O200" s="240" t="s">
        <v>255</v>
      </c>
    </row>
    <row r="201" spans="2:15" x14ac:dyDescent="0.2">
      <c r="B201" s="45">
        <f>VLOOKUP( T_ApifImport[[#This Row],[Bilans]], T_Bilansi[], 4, 0)</f>
        <v>3</v>
      </c>
      <c r="C201" s="239">
        <f>VLOOKUP( T_ApifImport[[#This Row],[ld]], T_Aop[], 4, 0)</f>
        <v>262</v>
      </c>
      <c r="D20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31661</v>
      </c>
      <c r="E20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89380</v>
      </c>
      <c r="F201"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1"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1"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1"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1"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1"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1"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1"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1" s="8">
        <v>200</v>
      </c>
      <c r="O201" s="240" t="s">
        <v>255</v>
      </c>
    </row>
    <row r="202" spans="2:15" x14ac:dyDescent="0.2">
      <c r="B202" s="45">
        <f>VLOOKUP( T_ApifImport[[#This Row],[Bilans]], T_Bilansi[], 4, 0)</f>
        <v>3</v>
      </c>
      <c r="C202" s="239">
        <f>VLOOKUP( T_ApifImport[[#This Row],[ld]], T_Aop[], 4, 0)</f>
        <v>263</v>
      </c>
      <c r="D20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2"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2"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2"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2"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2"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2"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2"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2"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2" s="8">
        <v>201</v>
      </c>
      <c r="O202" s="240" t="s">
        <v>255</v>
      </c>
    </row>
    <row r="203" spans="2:15" x14ac:dyDescent="0.2">
      <c r="B203" s="45">
        <f>VLOOKUP( T_ApifImport[[#This Row],[Bilans]], T_Bilansi[], 4, 0)</f>
        <v>3</v>
      </c>
      <c r="C203" s="239">
        <f>VLOOKUP( T_ApifImport[[#This Row],[ld]], T_Aop[], 4, 0)</f>
        <v>264</v>
      </c>
      <c r="D20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3"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3"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3"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3"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3"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3"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3"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3"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3" s="8">
        <v>202</v>
      </c>
      <c r="O203" s="240" t="s">
        <v>255</v>
      </c>
    </row>
    <row r="204" spans="2:15" x14ac:dyDescent="0.2">
      <c r="B204" s="45">
        <f>VLOOKUP( T_ApifImport[[#This Row],[Bilans]], T_Bilansi[], 4, 0)</f>
        <v>3</v>
      </c>
      <c r="C204" s="239">
        <f>VLOOKUP( T_ApifImport[[#This Row],[ld]], T_Aop[], 4, 0)</f>
        <v>265</v>
      </c>
      <c r="D20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4"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4"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4"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4"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4"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4"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4"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4"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4" s="8">
        <v>203</v>
      </c>
      <c r="O204" s="48" t="s">
        <v>255</v>
      </c>
    </row>
    <row r="205" spans="2:15" x14ac:dyDescent="0.2">
      <c r="B205" s="45">
        <f>VLOOKUP( T_ApifImport[[#This Row],[Bilans]], T_Bilansi[], 4, 0)</f>
        <v>3</v>
      </c>
      <c r="C205" s="239">
        <f>VLOOKUP( T_ApifImport[[#This Row],[ld]], T_Aop[], 4, 0)</f>
        <v>266</v>
      </c>
      <c r="D20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5"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5"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5"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5"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5"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5"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5"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5"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5" s="8">
        <v>204</v>
      </c>
      <c r="O205" s="48" t="s">
        <v>255</v>
      </c>
    </row>
    <row r="206" spans="2:15" x14ac:dyDescent="0.2">
      <c r="B206" s="45">
        <f>VLOOKUP( T_ApifImport[[#This Row],[Bilans]], T_Bilansi[], 4, 0)</f>
        <v>3</v>
      </c>
      <c r="C206" s="239">
        <f>VLOOKUP( T_ApifImport[[#This Row],[ld]], T_Aop[], 4, 0)</f>
        <v>267</v>
      </c>
      <c r="D20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6"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6"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6"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6"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6"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6"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6"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6"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6" s="8">
        <v>205</v>
      </c>
      <c r="O206" s="48" t="s">
        <v>255</v>
      </c>
    </row>
    <row r="207" spans="2:15" x14ac:dyDescent="0.2">
      <c r="B207" s="45">
        <f>VLOOKUP( T_ApifImport[[#This Row],[Bilans]], T_Bilansi[], 4, 0)</f>
        <v>3</v>
      </c>
      <c r="C207" s="239">
        <f>VLOOKUP( T_ApifImport[[#This Row],[ld]], T_Aop[], 4, 0)</f>
        <v>268</v>
      </c>
      <c r="D20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v>
      </c>
      <c r="E20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7"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7"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7"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7"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7"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7"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7"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7"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7" s="8">
        <v>206</v>
      </c>
      <c r="O207" s="48" t="s">
        <v>255</v>
      </c>
    </row>
    <row r="208" spans="2:15" x14ac:dyDescent="0.2">
      <c r="B208" s="45">
        <f>VLOOKUP( T_ApifImport[[#This Row],[Bilans]], T_Bilansi[], 4, 0)</f>
        <v>3</v>
      </c>
      <c r="C208" s="239">
        <f>VLOOKUP( T_ApifImport[[#This Row],[ld]], T_Aop[], 4, 0)</f>
        <v>269</v>
      </c>
      <c r="D20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8"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8"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8"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8"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8"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8"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8"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8"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8" s="8">
        <v>207</v>
      </c>
      <c r="O208" s="48" t="s">
        <v>255</v>
      </c>
    </row>
    <row r="209" spans="2:15" x14ac:dyDescent="0.2">
      <c r="B209" s="45">
        <f>VLOOKUP( T_ApifImport[[#This Row],[Bilans]], T_Bilansi[], 4, 0)</f>
        <v>3</v>
      </c>
      <c r="C209" s="239">
        <f>VLOOKUP( T_ApifImport[[#This Row],[ld]], T_Aop[], 4, 0)</f>
        <v>270</v>
      </c>
      <c r="D20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56414</v>
      </c>
      <c r="E20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73746</v>
      </c>
      <c r="F209"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9"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9"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9"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9"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9"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9"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9"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9" s="8">
        <v>208</v>
      </c>
      <c r="O209" s="48" t="s">
        <v>255</v>
      </c>
    </row>
    <row r="210" spans="2:15" x14ac:dyDescent="0.2">
      <c r="B210" s="45">
        <f>VLOOKUP( T_ApifImport[[#This Row],[Bilans]], T_Bilansi[], 4, 0)</f>
        <v>3</v>
      </c>
      <c r="C210" s="239">
        <f>VLOOKUP( T_ApifImport[[#This Row],[ld]], T_Aop[], 4, 0)</f>
        <v>271</v>
      </c>
      <c r="D21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136124</v>
      </c>
      <c r="E21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387784</v>
      </c>
      <c r="F210"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0"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0"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0"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0"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0"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0"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0"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0" s="8">
        <v>209</v>
      </c>
      <c r="O210" s="48" t="s">
        <v>255</v>
      </c>
    </row>
    <row r="211" spans="2:15" x14ac:dyDescent="0.2">
      <c r="B211" s="45">
        <f>VLOOKUP( T_ApifImport[[#This Row],[Bilans]], T_Bilansi[], 4, 0)</f>
        <v>3</v>
      </c>
      <c r="C211" s="239">
        <f>VLOOKUP( T_ApifImport[[#This Row],[ld]], T_Aop[], 4, 0)</f>
        <v>272</v>
      </c>
      <c r="D21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1"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1"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1"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1"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1"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1"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1"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1"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1" s="8">
        <v>210</v>
      </c>
      <c r="O211" s="48" t="s">
        <v>255</v>
      </c>
    </row>
    <row r="212" spans="2:15" x14ac:dyDescent="0.2">
      <c r="B212" s="45">
        <f>VLOOKUP( T_ApifImport[[#This Row],[Bilans]], T_Bilansi[], 4, 0)</f>
        <v>3</v>
      </c>
      <c r="C212" s="239">
        <f>VLOOKUP( T_ApifImport[[#This Row],[ld]], T_Aop[], 4, 0)</f>
        <v>273</v>
      </c>
      <c r="D21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1335977</v>
      </c>
      <c r="F212"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2"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2"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2"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2"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2"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2"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2"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2" s="8">
        <v>211</v>
      </c>
      <c r="O212" s="48" t="s">
        <v>255</v>
      </c>
    </row>
    <row r="213" spans="2:15" x14ac:dyDescent="0.2">
      <c r="B213" s="45">
        <f>VLOOKUP( T_ApifImport[[#This Row],[Bilans]], T_Bilansi[], 4, 0)</f>
        <v>3</v>
      </c>
      <c r="C213" s="239">
        <f>VLOOKUP( T_ApifImport[[#This Row],[ld]], T_Aop[], 4, 0)</f>
        <v>274</v>
      </c>
      <c r="D21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1335977</v>
      </c>
      <c r="F213"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3"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3"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3"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3"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3"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3"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3"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3" s="8">
        <v>212</v>
      </c>
      <c r="O213" s="48" t="s">
        <v>255</v>
      </c>
    </row>
    <row r="214" spans="2:15" x14ac:dyDescent="0.2">
      <c r="B214" s="45">
        <f>VLOOKUP( T_ApifImport[[#This Row],[Bilans]], T_Bilansi[], 4, 0)</f>
        <v>3</v>
      </c>
      <c r="C214" s="239">
        <f>VLOOKUP( T_ApifImport[[#This Row],[ld]], T_Aop[], 4, 0)</f>
        <v>275</v>
      </c>
      <c r="D21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10442</v>
      </c>
      <c r="F214"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4"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4"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4"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4"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4"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4"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4"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4" s="8">
        <v>213</v>
      </c>
      <c r="O214" s="48" t="s">
        <v>255</v>
      </c>
    </row>
    <row r="215" spans="2:15" x14ac:dyDescent="0.2">
      <c r="B215" s="45">
        <f>VLOOKUP( T_ApifImport[[#This Row],[Bilans]], T_Bilansi[], 4, 0)</f>
        <v>3</v>
      </c>
      <c r="C215" s="239">
        <f>VLOOKUP( T_ApifImport[[#This Row],[ld]], T_Aop[], 4, 0)</f>
        <v>276</v>
      </c>
      <c r="D21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1295711</v>
      </c>
      <c r="F215"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5"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5"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5"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5"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5"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5"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5"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5" s="8">
        <v>214</v>
      </c>
      <c r="O215" s="48" t="s">
        <v>255</v>
      </c>
    </row>
    <row r="216" spans="2:15" x14ac:dyDescent="0.2">
      <c r="B216" s="45">
        <f>VLOOKUP( T_ApifImport[[#This Row],[Bilans]], T_Bilansi[], 4, 0)</f>
        <v>3</v>
      </c>
      <c r="C216" s="239">
        <f>VLOOKUP( T_ApifImport[[#This Row],[ld]], T_Aop[], 4, 0)</f>
        <v>277</v>
      </c>
      <c r="D21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6"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6"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6"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6"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6"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6"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6"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6"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6" s="8">
        <v>215</v>
      </c>
      <c r="O216" s="48" t="s">
        <v>255</v>
      </c>
    </row>
    <row r="217" spans="2:15" x14ac:dyDescent="0.2">
      <c r="B217" s="45">
        <f>VLOOKUP( T_ApifImport[[#This Row],[Bilans]], T_Bilansi[], 4, 0)</f>
        <v>3</v>
      </c>
      <c r="C217" s="239">
        <f>VLOOKUP( T_ApifImport[[#This Row],[ld]], T_Aop[], 4, 0)</f>
        <v>278</v>
      </c>
      <c r="D21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7"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7"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7"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7"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7"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7"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7"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7"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7" s="8">
        <v>216</v>
      </c>
      <c r="O217" s="48" t="s">
        <v>255</v>
      </c>
    </row>
    <row r="218" spans="2:15" x14ac:dyDescent="0.2">
      <c r="B218" s="45">
        <f>VLOOKUP( T_ApifImport[[#This Row],[Bilans]], T_Bilansi[], 4, 0)</f>
        <v>3</v>
      </c>
      <c r="C218" s="239">
        <f>VLOOKUP( T_ApifImport[[#This Row],[ld]], T_Aop[], 4, 0)</f>
        <v>279</v>
      </c>
      <c r="D21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29824</v>
      </c>
      <c r="F218"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8"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8"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8"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8"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8"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8"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8"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8" s="8">
        <v>217</v>
      </c>
      <c r="O218" s="48" t="s">
        <v>255</v>
      </c>
    </row>
    <row r="219" spans="2:15" x14ac:dyDescent="0.2">
      <c r="B219" s="45">
        <f>VLOOKUP( T_ApifImport[[#This Row],[Bilans]], T_Bilansi[], 4, 0)</f>
        <v>3</v>
      </c>
      <c r="C219" s="239">
        <f>VLOOKUP( T_ApifImport[[#This Row],[ld]], T_Aop[], 4, 0)</f>
        <v>280</v>
      </c>
      <c r="D21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9"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9"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9"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9"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9"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9"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9"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9"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9" s="8">
        <v>218</v>
      </c>
      <c r="O219" s="48" t="s">
        <v>255</v>
      </c>
    </row>
    <row r="220" spans="2:15" x14ac:dyDescent="0.2">
      <c r="B220" s="45">
        <f>VLOOKUP( T_ApifImport[[#This Row],[Bilans]], T_Bilansi[], 4, 0)</f>
        <v>3</v>
      </c>
      <c r="C220" s="239">
        <f>VLOOKUP( T_ApifImport[[#This Row],[ld]], T_Aop[], 4, 0)</f>
        <v>281</v>
      </c>
      <c r="D22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0"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0"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0"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0"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0"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0"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0"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0"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0" s="8">
        <v>219</v>
      </c>
      <c r="O220" s="48" t="s">
        <v>255</v>
      </c>
    </row>
    <row r="221" spans="2:15" x14ac:dyDescent="0.2">
      <c r="B221" s="45">
        <f>VLOOKUP( T_ApifImport[[#This Row],[Bilans]], T_Bilansi[], 4, 0)</f>
        <v>3</v>
      </c>
      <c r="C221" s="239">
        <f>VLOOKUP( T_ApifImport[[#This Row],[ld]], T_Aop[], 4, 0)</f>
        <v>282</v>
      </c>
      <c r="D22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1"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1"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1"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1"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1"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1"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1"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1"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1" s="8">
        <v>220</v>
      </c>
      <c r="O221" s="48" t="s">
        <v>255</v>
      </c>
    </row>
    <row r="222" spans="2:15" x14ac:dyDescent="0.2">
      <c r="B222" s="45">
        <f>VLOOKUP( T_ApifImport[[#This Row],[Bilans]], T_Bilansi[], 4, 0)</f>
        <v>3</v>
      </c>
      <c r="C222" s="239">
        <f>VLOOKUP( T_ApifImport[[#This Row],[ld]], T_Aop[], 4, 0)</f>
        <v>283</v>
      </c>
      <c r="D22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2"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2"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2"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2"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2"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2"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2"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2"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2" s="8">
        <v>221</v>
      </c>
      <c r="O222" s="48" t="s">
        <v>255</v>
      </c>
    </row>
    <row r="223" spans="2:15" x14ac:dyDescent="0.2">
      <c r="B223" s="45">
        <f>VLOOKUP( T_ApifImport[[#This Row],[Bilans]], T_Bilansi[], 4, 0)</f>
        <v>3</v>
      </c>
      <c r="C223" s="239">
        <f>VLOOKUP( T_ApifImport[[#This Row],[ld]], T_Aop[], 4, 0)</f>
        <v>284</v>
      </c>
      <c r="D22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3"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3"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3"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3"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3"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3"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3"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3"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3" s="8">
        <v>222</v>
      </c>
      <c r="O223" s="48" t="s">
        <v>255</v>
      </c>
    </row>
    <row r="224" spans="2:15" x14ac:dyDescent="0.2">
      <c r="B224" s="45">
        <f>VLOOKUP( T_ApifImport[[#This Row],[Bilans]], T_Bilansi[], 4, 0)</f>
        <v>3</v>
      </c>
      <c r="C224" s="239">
        <f>VLOOKUP( T_ApifImport[[#This Row],[ld]], T_Aop[], 4, 0)</f>
        <v>285</v>
      </c>
      <c r="D22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4"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4"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4"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4"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4"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4"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4"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4"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4" s="8">
        <v>223</v>
      </c>
      <c r="O224" s="48" t="s">
        <v>255</v>
      </c>
    </row>
    <row r="225" spans="2:15" x14ac:dyDescent="0.2">
      <c r="B225" s="45">
        <f>VLOOKUP( T_ApifImport[[#This Row],[Bilans]], T_Bilansi[], 4, 0)</f>
        <v>3</v>
      </c>
      <c r="C225" s="239">
        <f>VLOOKUP( T_ApifImport[[#This Row],[ld]], T_Aop[], 4, 0)</f>
        <v>286</v>
      </c>
      <c r="D22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168816</v>
      </c>
      <c r="E22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1455033</v>
      </c>
      <c r="F225"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5"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5"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5"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5"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5"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5"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5"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5" s="8">
        <v>224</v>
      </c>
      <c r="O225" s="48" t="s">
        <v>255</v>
      </c>
    </row>
    <row r="226" spans="2:15" x14ac:dyDescent="0.2">
      <c r="B226" s="45">
        <f>VLOOKUP( T_ApifImport[[#This Row],[Bilans]], T_Bilansi[], 4, 0)</f>
        <v>3</v>
      </c>
      <c r="C226" s="239">
        <f>VLOOKUP( T_ApifImport[[#This Row],[ld]], T_Aop[], 4, 0)</f>
        <v>287</v>
      </c>
      <c r="D22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76927</v>
      </c>
      <c r="E22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1313317</v>
      </c>
      <c r="F226"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6"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6"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6"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6"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6"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6"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6"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6" s="8">
        <v>225</v>
      </c>
      <c r="O226" s="48" t="s">
        <v>255</v>
      </c>
    </row>
    <row r="227" spans="2:15" x14ac:dyDescent="0.2">
      <c r="B227" s="45">
        <f>VLOOKUP( T_ApifImport[[#This Row],[Bilans]], T_Bilansi[], 4, 0)</f>
        <v>3</v>
      </c>
      <c r="C227" s="239">
        <f>VLOOKUP( T_ApifImport[[#This Row],[ld]], T_Aop[], 4, 0)</f>
        <v>288</v>
      </c>
      <c r="D22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797207</v>
      </c>
      <c r="F227"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7"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7"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7"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7"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7"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7"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7"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7" s="8">
        <v>226</v>
      </c>
      <c r="O227" s="48" t="s">
        <v>255</v>
      </c>
    </row>
    <row r="228" spans="2:15" x14ac:dyDescent="0.2">
      <c r="B228" s="45">
        <f>VLOOKUP( T_ApifImport[[#This Row],[Bilans]], T_Bilansi[], 4, 0)</f>
        <v>3</v>
      </c>
      <c r="C228" s="239">
        <f>VLOOKUP( T_ApifImport[[#This Row],[ld]], T_Aop[], 4, 0)</f>
        <v>289</v>
      </c>
      <c r="D22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516110</v>
      </c>
      <c r="F228"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8"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8"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8"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8"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8"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8"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8"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8" s="8">
        <v>227</v>
      </c>
      <c r="O228" s="48" t="s">
        <v>255</v>
      </c>
    </row>
    <row r="229" spans="2:15" x14ac:dyDescent="0.2">
      <c r="B229" s="45">
        <f>VLOOKUP( T_ApifImport[[#This Row],[Bilans]], T_Bilansi[], 4, 0)</f>
        <v>3</v>
      </c>
      <c r="C229" s="239">
        <f>VLOOKUP( T_ApifImport[[#This Row],[ld]], T_Aop[], 4, 0)</f>
        <v>290</v>
      </c>
      <c r="D22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9"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9"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9"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9"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9"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9"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9"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9"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9" s="8">
        <v>228</v>
      </c>
      <c r="O229" s="48" t="s">
        <v>255</v>
      </c>
    </row>
    <row r="230" spans="2:15" x14ac:dyDescent="0.2">
      <c r="B230" s="45">
        <f>VLOOKUP( T_ApifImport[[#This Row],[Bilans]], T_Bilansi[], 4, 0)</f>
        <v>3</v>
      </c>
      <c r="C230" s="239">
        <f>VLOOKUP( T_ApifImport[[#This Row],[ld]], T_Aop[], 4, 0)</f>
        <v>291</v>
      </c>
      <c r="D23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0"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0"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0"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0"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0"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0"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0"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0"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0" s="8">
        <v>229</v>
      </c>
      <c r="O230" s="48" t="s">
        <v>255</v>
      </c>
    </row>
    <row r="231" spans="2:15" x14ac:dyDescent="0.2">
      <c r="B231" s="45">
        <f>VLOOKUP( T_ApifImport[[#This Row],[Bilans]], T_Bilansi[], 4, 0)</f>
        <v>3</v>
      </c>
      <c r="C231" s="239">
        <f>VLOOKUP( T_ApifImport[[#This Row],[ld]], T_Aop[], 4, 0)</f>
        <v>292</v>
      </c>
      <c r="D23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76927</v>
      </c>
      <c r="E23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1"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1"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1"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1"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1"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1"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1"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1"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1" s="8">
        <v>230</v>
      </c>
      <c r="O231" s="48" t="s">
        <v>255</v>
      </c>
    </row>
    <row r="232" spans="2:15" x14ac:dyDescent="0.2">
      <c r="B232" s="45">
        <f>VLOOKUP( T_ApifImport[[#This Row],[Bilans]], T_Bilansi[], 4, 0)</f>
        <v>3</v>
      </c>
      <c r="C232" s="239">
        <f>VLOOKUP( T_ApifImport[[#This Row],[ld]], T_Aop[], 4, 0)</f>
        <v>293</v>
      </c>
      <c r="D23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2"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2"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2"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2"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2"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2"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2"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2"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2" s="8">
        <v>231</v>
      </c>
      <c r="O232" s="48" t="s">
        <v>255</v>
      </c>
    </row>
    <row r="233" spans="2:15" x14ac:dyDescent="0.2">
      <c r="B233" s="45">
        <f>VLOOKUP( T_ApifImport[[#This Row],[Bilans]], T_Bilansi[], 4, 0)</f>
        <v>3</v>
      </c>
      <c r="C233" s="239">
        <f>VLOOKUP( T_ApifImport[[#This Row],[ld]], T_Aop[], 4, 0)</f>
        <v>294</v>
      </c>
      <c r="D23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91889</v>
      </c>
      <c r="E23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141716</v>
      </c>
      <c r="F233"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3"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3"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3"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3"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3"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3"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3"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3" s="8">
        <v>232</v>
      </c>
      <c r="O233" s="48" t="s">
        <v>255</v>
      </c>
    </row>
    <row r="234" spans="2:15" x14ac:dyDescent="0.2">
      <c r="B234" s="45">
        <f>VLOOKUP( T_ApifImport[[#This Row],[Bilans]], T_Bilansi[], 4, 0)</f>
        <v>3</v>
      </c>
      <c r="C234" s="239">
        <f>VLOOKUP( T_ApifImport[[#This Row],[ld]], T_Aop[], 4, 0)</f>
        <v>295</v>
      </c>
      <c r="D23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4"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4"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4"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4"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4"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4"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4"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4"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4" s="8">
        <v>233</v>
      </c>
      <c r="O234" s="48" t="s">
        <v>255</v>
      </c>
    </row>
    <row r="235" spans="2:15" x14ac:dyDescent="0.2">
      <c r="B235" s="45">
        <f>VLOOKUP( T_ApifImport[[#This Row],[Bilans]], T_Bilansi[], 4, 0)</f>
        <v>3</v>
      </c>
      <c r="C235" s="239">
        <f>VLOOKUP( T_ApifImport[[#This Row],[ld]], T_Aop[], 4, 0)</f>
        <v>296</v>
      </c>
      <c r="D23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5"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5"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5"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5"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5"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5"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5"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5"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5" s="8">
        <v>234</v>
      </c>
      <c r="O235" s="48" t="s">
        <v>255</v>
      </c>
    </row>
    <row r="236" spans="2:15" x14ac:dyDescent="0.2">
      <c r="B236" s="45">
        <f>VLOOKUP( T_ApifImport[[#This Row],[Bilans]], T_Bilansi[], 4, 0)</f>
        <v>3</v>
      </c>
      <c r="C236" s="239">
        <f>VLOOKUP( T_ApifImport[[#This Row],[ld]], T_Aop[], 4, 0)</f>
        <v>297</v>
      </c>
      <c r="D23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91889</v>
      </c>
      <c r="E23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141716</v>
      </c>
      <c r="F236"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6"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6"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6"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6"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6"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6"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6"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6" s="8">
        <v>235</v>
      </c>
      <c r="O236" s="48" t="s">
        <v>255</v>
      </c>
    </row>
    <row r="237" spans="2:15" x14ac:dyDescent="0.2">
      <c r="B237" s="45">
        <f>VLOOKUP( T_ApifImport[[#This Row],[Bilans]], T_Bilansi[], 4, 0)</f>
        <v>3</v>
      </c>
      <c r="C237" s="239">
        <f>VLOOKUP( T_ApifImport[[#This Row],[ld]], T_Aop[], 4, 0)</f>
        <v>298</v>
      </c>
      <c r="D23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7"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7"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7"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7"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7"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7"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7"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7"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7" s="8">
        <v>236</v>
      </c>
      <c r="O237" s="48" t="s">
        <v>255</v>
      </c>
    </row>
    <row r="238" spans="2:15" x14ac:dyDescent="0.2">
      <c r="B238" s="45">
        <f>VLOOKUP( T_ApifImport[[#This Row],[Bilans]], T_Bilansi[], 4, 0)</f>
        <v>3</v>
      </c>
      <c r="C238" s="239">
        <f>VLOOKUP( T_ApifImport[[#This Row],[ld]], T_Aop[], 4, 0)</f>
        <v>299</v>
      </c>
      <c r="D23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8"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8"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8"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8"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8"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8"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8"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8"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8" s="8">
        <v>237</v>
      </c>
      <c r="O238" s="48" t="s">
        <v>255</v>
      </c>
    </row>
    <row r="239" spans="2:15" x14ac:dyDescent="0.2">
      <c r="B239" s="45">
        <f>VLOOKUP( T_ApifImport[[#This Row],[Bilans]], T_Bilansi[], 4, 0)</f>
        <v>3</v>
      </c>
      <c r="C239" s="239">
        <f>VLOOKUP( T_ApifImport[[#This Row],[ld]], T_Aop[], 4, 0)</f>
        <v>300</v>
      </c>
      <c r="D23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168816</v>
      </c>
      <c r="E23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119056</v>
      </c>
      <c r="F239"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9"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9"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9"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9"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9"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9"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9"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9" s="8">
        <v>238</v>
      </c>
      <c r="O239" s="48" t="s">
        <v>255</v>
      </c>
    </row>
    <row r="240" spans="2:15" x14ac:dyDescent="0.2">
      <c r="B240" s="45">
        <f>VLOOKUP( T_ApifImport[[#This Row],[Bilans]], T_Bilansi[], 4, 0)</f>
        <v>3</v>
      </c>
      <c r="C240" s="239">
        <f>VLOOKUP( T_ApifImport[[#This Row],[ld]], T_Aop[], 4, 0)</f>
        <v>301</v>
      </c>
      <c r="D24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431</v>
      </c>
      <c r="E24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455</v>
      </c>
      <c r="F240"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0"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0"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0"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0"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0"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0"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0"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0" s="8">
        <v>239</v>
      </c>
      <c r="O240" s="48" t="s">
        <v>255</v>
      </c>
    </row>
    <row r="241" spans="2:15" x14ac:dyDescent="0.2">
      <c r="B241" s="45">
        <f>VLOOKUP( T_ApifImport[[#This Row],[Bilans]], T_Bilansi[], 4, 0)</f>
        <v>3</v>
      </c>
      <c r="C241" s="239">
        <f>VLOOKUP( T_ApifImport[[#This Row],[ld]], T_Aop[], 4, 0)</f>
        <v>302</v>
      </c>
      <c r="D24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11422</v>
      </c>
      <c r="E24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5094</v>
      </c>
      <c r="F241"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1"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1"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1"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1"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1"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1"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1"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1" s="8">
        <v>240</v>
      </c>
      <c r="O241" s="48" t="s">
        <v>255</v>
      </c>
    </row>
    <row r="242" spans="2:15" x14ac:dyDescent="0.2">
      <c r="B242" s="45">
        <f>VLOOKUP( T_ApifImport[[#This Row],[Bilans]], T_Bilansi[], 4, 0)</f>
        <v>3</v>
      </c>
      <c r="C242" s="239">
        <f>VLOOKUP( T_ApifImport[[#This Row],[ld]], T_Aop[], 4, 0)</f>
        <v>303</v>
      </c>
      <c r="D24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2"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2"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2"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2"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2"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2"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2"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2"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2" s="8">
        <v>241</v>
      </c>
      <c r="O242" s="48" t="s">
        <v>255</v>
      </c>
    </row>
    <row r="243" spans="2:15" x14ac:dyDescent="0.2">
      <c r="B243" s="45">
        <f>VLOOKUP( T_ApifImport[[#This Row],[Bilans]], T_Bilansi[], 4, 0)</f>
        <v>3</v>
      </c>
      <c r="C243" s="239">
        <f>VLOOKUP( T_ApifImport[[#This Row],[ld]], T_Aop[], 4, 0)</f>
        <v>304</v>
      </c>
      <c r="D24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3"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3"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3"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3"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3"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3"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3"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3"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3" s="8">
        <v>242</v>
      </c>
      <c r="O243" s="48" t="s">
        <v>255</v>
      </c>
    </row>
    <row r="244" spans="2:15" x14ac:dyDescent="0.2">
      <c r="B244" s="45">
        <f>VLOOKUP( T_ApifImport[[#This Row],[Bilans]], T_Bilansi[], 4, 0)</f>
        <v>3</v>
      </c>
      <c r="C244" s="239">
        <f>VLOOKUP( T_ApifImport[[#This Row],[ld]], T_Aop[], 4, 0)</f>
        <v>305</v>
      </c>
      <c r="D24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37703696</v>
      </c>
      <c r="E24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40860841</v>
      </c>
      <c r="F244"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4"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4"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4"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4"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4"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4"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4"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4" s="8">
        <v>243</v>
      </c>
      <c r="O244" s="48" t="s">
        <v>255</v>
      </c>
    </row>
    <row r="245" spans="2:15" x14ac:dyDescent="0.2">
      <c r="B245" s="45">
        <f>VLOOKUP( T_ApifImport[[#This Row],[Bilans]], T_Bilansi[], 4, 0)</f>
        <v>3</v>
      </c>
      <c r="C245" s="239">
        <f>VLOOKUP( T_ApifImport[[#This Row],[ld]], T_Aop[], 4, 0)</f>
        <v>306</v>
      </c>
      <c r="D24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37059201</v>
      </c>
      <c r="E24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38767592</v>
      </c>
      <c r="F245"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5"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5"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5"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5"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5"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5"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5"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5" s="8">
        <v>244</v>
      </c>
      <c r="O245" s="48" t="s">
        <v>255</v>
      </c>
    </row>
    <row r="246" spans="2:15" x14ac:dyDescent="0.2">
      <c r="B246" s="45">
        <f>VLOOKUP( T_ApifImport[[#This Row],[Bilans]], T_Bilansi[], 4, 0)</f>
        <v>3</v>
      </c>
      <c r="C246" s="239">
        <f>VLOOKUP( T_ApifImport[[#This Row],[ld]], T_Aop[], 4, 0)</f>
        <v>307</v>
      </c>
      <c r="D24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644495</v>
      </c>
      <c r="E24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2093249</v>
      </c>
      <c r="F246"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6"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6"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6"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6"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6"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6"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6"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6" s="8">
        <v>245</v>
      </c>
      <c r="O246" s="48" t="s">
        <v>255</v>
      </c>
    </row>
    <row r="247" spans="2:15" x14ac:dyDescent="0.2">
      <c r="B247" s="45">
        <f>VLOOKUP( T_ApifImport[[#This Row],[Bilans]], T_Bilansi[], 4, 0)</f>
        <v>3</v>
      </c>
      <c r="C247" s="239">
        <f>VLOOKUP( T_ApifImport[[#This Row],[ld]], T_Aop[], 4, 0)</f>
        <v>308</v>
      </c>
      <c r="D24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7"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7"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7"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7"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7"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7"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7"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7"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7" s="8">
        <v>246</v>
      </c>
      <c r="O247" s="48" t="s">
        <v>255</v>
      </c>
    </row>
    <row r="248" spans="2:15" x14ac:dyDescent="0.2">
      <c r="B248" s="45">
        <f>VLOOKUP( T_ApifImport[[#This Row],[Bilans]], T_Bilansi[], 4, 0)</f>
        <v>3</v>
      </c>
      <c r="C248" s="239">
        <f>VLOOKUP( T_ApifImport[[#This Row],[ld]], T_Aop[], 4, 0)</f>
        <v>309</v>
      </c>
      <c r="D24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218070</v>
      </c>
      <c r="E24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68932</v>
      </c>
      <c r="F248"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8"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8"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8"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8"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8"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8"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8"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8" s="8">
        <v>247</v>
      </c>
      <c r="O248" s="48" t="s">
        <v>255</v>
      </c>
    </row>
    <row r="249" spans="2:15" x14ac:dyDescent="0.2">
      <c r="B249" s="45">
        <f>VLOOKUP( T_ApifImport[[#This Row],[Bilans]], T_Bilansi[], 4, 0)</f>
        <v>3</v>
      </c>
      <c r="C249" s="239">
        <f>VLOOKUP( T_ApifImport[[#This Row],[ld]], T_Aop[], 4, 0)</f>
        <v>310</v>
      </c>
      <c r="D24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22895</v>
      </c>
      <c r="E24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9"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9"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9"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9"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9"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9"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9"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9"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9" s="8">
        <v>248</v>
      </c>
      <c r="O249" s="48" t="s">
        <v>255</v>
      </c>
    </row>
    <row r="250" spans="2:15" x14ac:dyDescent="0.2">
      <c r="B250" s="45">
        <f>VLOOKUP( T_ApifImport[[#This Row],[Bilans]], T_Bilansi[], 4, 0)</f>
        <v>3</v>
      </c>
      <c r="C250" s="239">
        <f>VLOOKUP( T_ApifImport[[#This Row],[ld]], T_Aop[], 4, 0)</f>
        <v>311</v>
      </c>
      <c r="D25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22895</v>
      </c>
      <c r="E25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0"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0"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0"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0"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0"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0"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0"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0"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0" s="8">
        <v>249</v>
      </c>
      <c r="O250" s="48" t="s">
        <v>255</v>
      </c>
    </row>
    <row r="251" spans="2:15" x14ac:dyDescent="0.2">
      <c r="B251" s="45">
        <f>VLOOKUP( T_ApifImport[[#This Row],[Bilans]], T_Bilansi[], 4, 0)</f>
        <v>3</v>
      </c>
      <c r="C251" s="239">
        <f>VLOOKUP( T_ApifImport[[#This Row],[ld]], T_Aop[], 4, 0)</f>
        <v>312</v>
      </c>
      <c r="D25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1"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1"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1"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1"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1"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1"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1"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1"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1" s="8">
        <v>250</v>
      </c>
      <c r="O251" s="48" t="s">
        <v>255</v>
      </c>
    </row>
    <row r="252" spans="2:15" x14ac:dyDescent="0.2">
      <c r="B252" s="45">
        <f>VLOOKUP( T_ApifImport[[#This Row],[Bilans]], T_Bilansi[], 4, 0)</f>
        <v>3</v>
      </c>
      <c r="C252" s="239">
        <f>VLOOKUP( T_ApifImport[[#This Row],[ld]], T_Aop[], 4, 0)</f>
        <v>313</v>
      </c>
      <c r="D25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97295</v>
      </c>
      <c r="E25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83082</v>
      </c>
      <c r="F252"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2"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2"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2"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2"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2"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2"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2"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2" s="8">
        <v>251</v>
      </c>
      <c r="O252" s="48" t="s">
        <v>255</v>
      </c>
    </row>
    <row r="253" spans="2:15" x14ac:dyDescent="0.2">
      <c r="B253" s="45">
        <f>VLOOKUP( T_ApifImport[[#This Row],[Bilans]], T_Bilansi[], 4, 0)</f>
        <v>3</v>
      </c>
      <c r="C253" s="239">
        <f>VLOOKUP( T_ApifImport[[#This Row],[ld]], T_Aop[], 4, 0)</f>
        <v>314</v>
      </c>
      <c r="D25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3255</v>
      </c>
      <c r="F253"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3"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3"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3"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3"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3"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3"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3"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3" s="8">
        <v>252</v>
      </c>
      <c r="O253" s="48" t="s">
        <v>255</v>
      </c>
    </row>
    <row r="254" spans="2:15" x14ac:dyDescent="0.2">
      <c r="B254" s="45">
        <f>VLOOKUP( T_ApifImport[[#This Row],[Bilans]], T_Bilansi[], 4, 0)</f>
        <v>3</v>
      </c>
      <c r="C254" s="239">
        <f>VLOOKUP( T_ApifImport[[#This Row],[ld]], T_Aop[], 4, 0)</f>
        <v>315</v>
      </c>
      <c r="D25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97295</v>
      </c>
      <c r="E25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79827</v>
      </c>
      <c r="F254"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4"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4"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4"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4"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4"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4"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4"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4" s="8">
        <v>253</v>
      </c>
      <c r="O254" s="48" t="s">
        <v>255</v>
      </c>
    </row>
    <row r="255" spans="2:15" x14ac:dyDescent="0.2">
      <c r="B255" s="45">
        <f>VLOOKUP( T_ApifImport[[#This Row],[Bilans]], T_Bilansi[], 4, 0)</f>
        <v>3</v>
      </c>
      <c r="C255" s="239">
        <f>VLOOKUP( T_ApifImport[[#This Row],[ld]], T_Aop[], 4, 0)</f>
        <v>316</v>
      </c>
      <c r="D25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500825</v>
      </c>
      <c r="E25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2107399</v>
      </c>
      <c r="F255"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5"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5"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5"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5"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5"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5"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5"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5" s="8">
        <v>254</v>
      </c>
      <c r="O255" s="48" t="s">
        <v>255</v>
      </c>
    </row>
    <row r="256" spans="2:15" x14ac:dyDescent="0.2">
      <c r="B256" s="45">
        <f>VLOOKUP( T_ApifImport[[#This Row],[Bilans]], T_Bilansi[], 4, 0)</f>
        <v>3</v>
      </c>
      <c r="C256" s="239">
        <f>VLOOKUP( T_ApifImport[[#This Row],[ld]], T_Aop[], 4, 0)</f>
        <v>317</v>
      </c>
      <c r="D25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6"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6"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6"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6"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6"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6"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6"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6"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6" s="8">
        <v>255</v>
      </c>
      <c r="O256" s="48" t="s">
        <v>255</v>
      </c>
    </row>
    <row r="257" spans="2:15" x14ac:dyDescent="0.2">
      <c r="B257" s="45">
        <f>VLOOKUP( T_ApifImport[[#This Row],[Bilans]], T_Bilansi[], 4, 0)</f>
        <v>3</v>
      </c>
      <c r="C257" s="239">
        <f>VLOOKUP( T_ApifImport[[#This Row],[ld]], T_Aop[], 4, 0)</f>
        <v>318</v>
      </c>
      <c r="D25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7"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7"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7"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7"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7"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7"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7"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7"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7" s="8">
        <v>256</v>
      </c>
      <c r="O257" s="48" t="s">
        <v>255</v>
      </c>
    </row>
    <row r="258" spans="2:15" x14ac:dyDescent="0.2">
      <c r="B258" s="45">
        <f>VLOOKUP( T_ApifImport[[#This Row],[Bilans]], T_Bilansi[], 4, 0)</f>
        <v>3</v>
      </c>
      <c r="C258" s="239">
        <f>VLOOKUP( T_ApifImport[[#This Row],[ld]], T_Aop[], 4, 0)</f>
        <v>319</v>
      </c>
      <c r="D25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325536</v>
      </c>
      <c r="E25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1369809</v>
      </c>
      <c r="F258"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8"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8"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8"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8"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8"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8"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8"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8" s="8">
        <v>257</v>
      </c>
      <c r="O258" s="48" t="s">
        <v>255</v>
      </c>
    </row>
    <row r="259" spans="2:15" x14ac:dyDescent="0.2">
      <c r="B259" s="45">
        <f>VLOOKUP( T_ApifImport[[#This Row],[Bilans]], T_Bilansi[], 4, 0)</f>
        <v>3</v>
      </c>
      <c r="C259" s="239">
        <f>VLOOKUP( T_ApifImport[[#This Row],[ld]], T_Aop[], 4, 0)</f>
        <v>320</v>
      </c>
      <c r="D25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175289</v>
      </c>
      <c r="E25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737590</v>
      </c>
      <c r="F259"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9"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9"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9"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9"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9"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9"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9"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9" s="8">
        <v>258</v>
      </c>
      <c r="O259" s="48" t="s">
        <v>255</v>
      </c>
    </row>
    <row r="260" spans="2:15" x14ac:dyDescent="0.2">
      <c r="B260" s="45">
        <f>VLOOKUP( T_ApifImport[[#This Row],[Bilans]], T_Bilansi[], 4, 0)</f>
        <v>3</v>
      </c>
      <c r="C260" s="239">
        <f>VLOOKUP( T_ApifImport[[#This Row],[ld]], T_Aop[], 4, 0)</f>
        <v>321</v>
      </c>
      <c r="D26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0,137</v>
      </c>
      <c r="E26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0.13339999999999999</v>
      </c>
      <c r="F260"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0"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0"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0"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0"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0"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0"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0"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0" s="8">
        <v>259</v>
      </c>
      <c r="O260" s="48" t="s">
        <v>255</v>
      </c>
    </row>
    <row r="261" spans="2:15" x14ac:dyDescent="0.2">
      <c r="B261" s="45">
        <f>VLOOKUP( T_ApifImport[[#This Row],[Bilans]], T_Bilansi[], 4, 0)</f>
        <v>3</v>
      </c>
      <c r="C261" s="239">
        <f>VLOOKUP( T_ApifImport[[#This Row],[ld]], T_Aop[], 4, 0)</f>
        <v>322</v>
      </c>
      <c r="D26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1"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1"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1"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1"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1"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1"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1"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1"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1" s="8">
        <v>260</v>
      </c>
      <c r="O261" s="48" t="s">
        <v>255</v>
      </c>
    </row>
    <row r="262" spans="2:15" x14ac:dyDescent="0.2">
      <c r="B262" s="45">
        <f>VLOOKUP( T_ApifImport[[#This Row],[Bilans]], T_Bilansi[], 4, 0)</f>
        <v>3</v>
      </c>
      <c r="C262" s="239">
        <f>VLOOKUP( T_ApifImport[[#This Row],[ld]], T_Aop[], 4, 0)</f>
        <v>323</v>
      </c>
      <c r="D26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403</v>
      </c>
      <c r="E26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425</v>
      </c>
      <c r="F262"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2"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2"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2"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2"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2"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2"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2"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2" s="8">
        <v>261</v>
      </c>
      <c r="O262" s="48" t="s">
        <v>255</v>
      </c>
    </row>
    <row r="263" spans="2:15" x14ac:dyDescent="0.2">
      <c r="B263" s="45">
        <f>VLOOKUP( T_ApifImport[[#This Row],[Bilans]], T_Bilansi[], 4, 0)</f>
        <v>3</v>
      </c>
      <c r="C263" s="239">
        <f>VLOOKUP( T_ApifImport[[#This Row],[ld]], T_Aop[], 4, 0)</f>
        <v>324</v>
      </c>
      <c r="D26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400</v>
      </c>
      <c r="E26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409</v>
      </c>
      <c r="F263"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3"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3"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3"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3"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3"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3"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3"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3" s="8">
        <v>262</v>
      </c>
      <c r="O263" s="48" t="s">
        <v>255</v>
      </c>
    </row>
    <row r="264" spans="2:15" x14ac:dyDescent="0.2">
      <c r="B264" s="45">
        <f>VLOOKUP( T_ApifImport[[#This Row],[Bilans]], T_Bilansi[], 4, 0)</f>
        <v>3</v>
      </c>
      <c r="C264" s="239">
        <f>VLOOKUP( T_ApifImport[[#This Row],[ld]], T_Aop[], 4, 0)</f>
        <v>400</v>
      </c>
      <c r="D26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500825</v>
      </c>
      <c r="E26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2107399</v>
      </c>
      <c r="F264"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4"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4"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4"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4"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4"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4"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4"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4" s="8">
        <v>263</v>
      </c>
      <c r="O264" s="48" t="s">
        <v>264</v>
      </c>
    </row>
    <row r="265" spans="2:15" x14ac:dyDescent="0.2">
      <c r="B265" s="45">
        <f>VLOOKUP( T_ApifImport[[#This Row],[Bilans]], T_Bilansi[], 4, 0)</f>
        <v>3</v>
      </c>
      <c r="C265" s="239">
        <f>VLOOKUP( T_ApifImport[[#This Row],[ld]], T_Aop[], 4, 0)</f>
        <v>401</v>
      </c>
      <c r="D26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5"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5"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5"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5"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5"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5"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5"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5"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5" s="8">
        <v>264</v>
      </c>
      <c r="O265" s="48" t="s">
        <v>264</v>
      </c>
    </row>
    <row r="266" spans="2:15" x14ac:dyDescent="0.2">
      <c r="B266" s="45">
        <f>VLOOKUP( T_ApifImport[[#This Row],[Bilans]], T_Bilansi[], 4, 0)</f>
        <v>3</v>
      </c>
      <c r="C266" s="239">
        <f>VLOOKUP( T_ApifImport[[#This Row],[ld]], T_Aop[], 4, 0)</f>
        <v>402</v>
      </c>
      <c r="D26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6"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6"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6"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6"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6"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6"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6"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6"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6" s="8">
        <v>265</v>
      </c>
      <c r="O266" s="48" t="s">
        <v>264</v>
      </c>
    </row>
    <row r="267" spans="2:15" x14ac:dyDescent="0.2">
      <c r="B267" s="45">
        <f>VLOOKUP( T_ApifImport[[#This Row],[Bilans]], T_Bilansi[], 4, 0)</f>
        <v>3</v>
      </c>
      <c r="C267" s="239">
        <f>VLOOKUP( T_ApifImport[[#This Row],[ld]], T_Aop[], 4, 0)</f>
        <v>403</v>
      </c>
      <c r="D26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7"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7"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7"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7"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7"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7"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7"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7"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7" s="8">
        <v>266</v>
      </c>
      <c r="O267" s="48" t="s">
        <v>264</v>
      </c>
    </row>
    <row r="268" spans="2:15" x14ac:dyDescent="0.2">
      <c r="B268" s="45">
        <f>VLOOKUP( T_ApifImport[[#This Row],[Bilans]], T_Bilansi[], 4, 0)</f>
        <v>3</v>
      </c>
      <c r="C268" s="239">
        <f>VLOOKUP( T_ApifImport[[#This Row],[ld]], T_Aop[], 4, 0)</f>
        <v>404</v>
      </c>
      <c r="D26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8"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8"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8"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8"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8"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8"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8"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8"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8" s="8">
        <v>267</v>
      </c>
      <c r="O268" s="48" t="s">
        <v>264</v>
      </c>
    </row>
    <row r="269" spans="2:15" x14ac:dyDescent="0.2">
      <c r="B269" s="45">
        <f>VLOOKUP( T_ApifImport[[#This Row],[Bilans]], T_Bilansi[], 4, 0)</f>
        <v>3</v>
      </c>
      <c r="C269" s="239">
        <f>VLOOKUP( T_ApifImport[[#This Row],[ld]], T_Aop[], 4, 0)</f>
        <v>405</v>
      </c>
      <c r="D26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9"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9"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9"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9"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9"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9"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9"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9"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9" s="8">
        <v>268</v>
      </c>
      <c r="O269" s="48" t="s">
        <v>264</v>
      </c>
    </row>
    <row r="270" spans="2:15" x14ac:dyDescent="0.2">
      <c r="B270" s="45">
        <f>VLOOKUP( T_ApifImport[[#This Row],[Bilans]], T_Bilansi[], 4, 0)</f>
        <v>3</v>
      </c>
      <c r="C270" s="239">
        <f>VLOOKUP( T_ApifImport[[#This Row],[ld]], T_Aop[], 4, 0)</f>
        <v>406</v>
      </c>
      <c r="D27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0"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0"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0"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0"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0"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0"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0"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0"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0" s="8">
        <v>269</v>
      </c>
      <c r="O270" s="48" t="s">
        <v>264</v>
      </c>
    </row>
    <row r="271" spans="2:15" x14ac:dyDescent="0.2">
      <c r="B271" s="45">
        <f>VLOOKUP( T_ApifImport[[#This Row],[Bilans]], T_Bilansi[], 4, 0)</f>
        <v>3</v>
      </c>
      <c r="C271" s="239">
        <f>VLOOKUP( T_ApifImport[[#This Row],[ld]], T_Aop[], 4, 0)</f>
        <v>407</v>
      </c>
      <c r="D27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1"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1"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1"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1"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1"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1"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1"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1"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1" s="8">
        <v>270</v>
      </c>
      <c r="O271" s="48" t="s">
        <v>264</v>
      </c>
    </row>
    <row r="272" spans="2:15" x14ac:dyDescent="0.2">
      <c r="B272" s="45">
        <f>VLOOKUP( T_ApifImport[[#This Row],[Bilans]], T_Bilansi[], 4, 0)</f>
        <v>3</v>
      </c>
      <c r="C272" s="239">
        <f>VLOOKUP( T_ApifImport[[#This Row],[ld]], T_Aop[], 4, 0)</f>
        <v>408</v>
      </c>
      <c r="D27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-2011268</v>
      </c>
      <c r="E27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-2221258</v>
      </c>
      <c r="F272"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2"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2"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2"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2"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2"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2"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2"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2" s="8">
        <v>271</v>
      </c>
      <c r="O272" s="48" t="s">
        <v>264</v>
      </c>
    </row>
    <row r="273" spans="2:15" x14ac:dyDescent="0.2">
      <c r="B273" s="45">
        <f>VLOOKUP( T_ApifImport[[#This Row],[Bilans]], T_Bilansi[], 4, 0)</f>
        <v>3</v>
      </c>
      <c r="C273" s="239">
        <f>VLOOKUP( T_ApifImport[[#This Row],[ld]], T_Aop[], 4, 0)</f>
        <v>409</v>
      </c>
      <c r="D27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-2011268</v>
      </c>
      <c r="E27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-2221258</v>
      </c>
      <c r="F273"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3"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3"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3"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3"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3"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3"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3"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3" s="8">
        <v>272</v>
      </c>
      <c r="O273" s="48" t="s">
        <v>264</v>
      </c>
    </row>
    <row r="274" spans="2:15" x14ac:dyDescent="0.2">
      <c r="B274" s="45">
        <f>VLOOKUP( T_ApifImport[[#This Row],[Bilans]], T_Bilansi[], 4, 0)</f>
        <v>3</v>
      </c>
      <c r="C274" s="239">
        <f>VLOOKUP( T_ApifImport[[#This Row],[ld]], T_Aop[], 4, 0)</f>
        <v>410</v>
      </c>
      <c r="D27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4"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4"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4"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4"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4"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4"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4"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4"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4" s="8">
        <v>273</v>
      </c>
      <c r="O274" s="48" t="s">
        <v>264</v>
      </c>
    </row>
    <row r="275" spans="2:15" x14ac:dyDescent="0.2">
      <c r="B275" s="45">
        <f>VLOOKUP( T_ApifImport[[#This Row],[Bilans]], T_Bilansi[], 4, 0)</f>
        <v>3</v>
      </c>
      <c r="C275" s="239">
        <f>VLOOKUP( T_ApifImport[[#This Row],[ld]], T_Aop[], 4, 0)</f>
        <v>411</v>
      </c>
      <c r="D27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5"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5"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5"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5"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5"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5"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5"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5"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5" s="8">
        <v>274</v>
      </c>
      <c r="O275" s="48" t="s">
        <v>264</v>
      </c>
    </row>
    <row r="276" spans="2:15" x14ac:dyDescent="0.2">
      <c r="B276" s="45">
        <f>VLOOKUP( T_ApifImport[[#This Row],[Bilans]], T_Bilansi[], 4, 0)</f>
        <v>3</v>
      </c>
      <c r="C276" s="239">
        <f>VLOOKUP( T_ApifImport[[#This Row],[ld]], T_Aop[], 4, 0)</f>
        <v>412</v>
      </c>
      <c r="D27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6"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6"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6"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6"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6"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6"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6"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6"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6" s="8">
        <v>275</v>
      </c>
      <c r="O276" s="48" t="s">
        <v>264</v>
      </c>
    </row>
    <row r="277" spans="2:15" x14ac:dyDescent="0.2">
      <c r="B277" s="45">
        <f>VLOOKUP( T_ApifImport[[#This Row],[Bilans]], T_Bilansi[], 4, 0)</f>
        <v>3</v>
      </c>
      <c r="C277" s="239">
        <f>VLOOKUP( T_ApifImport[[#This Row],[ld]], T_Aop[], 4, 0)</f>
        <v>413</v>
      </c>
      <c r="D27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7"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7"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7"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7"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7"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7"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7"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7"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7" s="8">
        <v>276</v>
      </c>
      <c r="O277" s="48" t="s">
        <v>264</v>
      </c>
    </row>
    <row r="278" spans="2:15" x14ac:dyDescent="0.2">
      <c r="B278" s="45">
        <f>VLOOKUP( T_ApifImport[[#This Row],[Bilans]], T_Bilansi[], 4, 0)</f>
        <v>3</v>
      </c>
      <c r="C278" s="239">
        <f>VLOOKUP( T_ApifImport[[#This Row],[ld]], T_Aop[], 4, 0)</f>
        <v>414</v>
      </c>
      <c r="D27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8"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8"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8"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8"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8"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8"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8"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8"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8" s="8">
        <v>277</v>
      </c>
      <c r="O278" s="48" t="s">
        <v>264</v>
      </c>
    </row>
    <row r="279" spans="2:15" x14ac:dyDescent="0.2">
      <c r="B279" s="45">
        <f>VLOOKUP( T_ApifImport[[#This Row],[Bilans]], T_Bilansi[], 4, 0)</f>
        <v>3</v>
      </c>
      <c r="C279" s="239">
        <f>VLOOKUP( T_ApifImport[[#This Row],[ld]], T_Aop[], 4, 0)</f>
        <v>415</v>
      </c>
      <c r="D27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2011268</v>
      </c>
      <c r="E27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2221258</v>
      </c>
      <c r="F279"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9"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9"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9"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9"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9"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9"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9"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9" s="8">
        <v>278</v>
      </c>
      <c r="O279" s="48" t="s">
        <v>264</v>
      </c>
    </row>
    <row r="280" spans="2:15" x14ac:dyDescent="0.2">
      <c r="B280" s="45">
        <f>VLOOKUP( T_ApifImport[[#This Row],[Bilans]], T_Bilansi[], 4, 0)</f>
        <v>3</v>
      </c>
      <c r="C280" s="239">
        <f>VLOOKUP( T_ApifImport[[#This Row],[ld]], T_Aop[], 4, 0)</f>
        <v>416</v>
      </c>
      <c r="D28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2512093</v>
      </c>
      <c r="E28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4328657</v>
      </c>
      <c r="F280"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0"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0"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0"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0"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0"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0"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0"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0" s="8">
        <v>280</v>
      </c>
      <c r="O280" s="48" t="s">
        <v>264</v>
      </c>
    </row>
    <row r="281" spans="2:15" x14ac:dyDescent="0.2">
      <c r="B281" s="45">
        <f>VLOOKUP( T_ApifImport[[#This Row],[Bilans]], T_Bilansi[], 4, 0)</f>
        <v>3</v>
      </c>
      <c r="C281" s="239">
        <f>VLOOKUP( T_ApifImport[[#This Row],[ld]], T_Aop[], 4, 0)</f>
        <v>417</v>
      </c>
      <c r="D28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1"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1"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1"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1"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1"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1"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1"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1"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1" s="8">
        <v>282</v>
      </c>
      <c r="O281" s="48" t="s">
        <v>264</v>
      </c>
    </row>
    <row r="282" spans="2:15" x14ac:dyDescent="0.2">
      <c r="B282" s="541">
        <f>VLOOKUP( T_ApifImport[[#This Row],[Bilans]], T_Bilansi[], 4, 0)</f>
        <v>3</v>
      </c>
      <c r="C282" s="282">
        <f>VLOOKUP( T_ApifImport[[#This Row],[ld]], T_Aop[], 4, 0)</f>
        <v>418</v>
      </c>
      <c r="D282" s="28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2" s="28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2" s="28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2" s="28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2" s="28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2"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2"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2"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2"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2"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2" s="281">
        <v>283</v>
      </c>
      <c r="O282" s="284" t="s">
        <v>264</v>
      </c>
    </row>
    <row r="283" spans="2:15" x14ac:dyDescent="0.2">
      <c r="B283" s="45">
        <f>VLOOKUP( T_ApifImport[[#This Row],[Bilans]], T_Bilansi[], 4, 0)</f>
        <v>5</v>
      </c>
      <c r="C283" s="239">
        <f>VLOOKUP( T_ApifImport[[#This Row],[ld]], T_Aop[], 4, 0)</f>
        <v>501</v>
      </c>
      <c r="D28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40513761</v>
      </c>
      <c r="E28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40423121</v>
      </c>
      <c r="F283"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3"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3"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3"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3"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3"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3"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3"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3" s="8">
        <v>284</v>
      </c>
      <c r="O283" s="48" t="s">
        <v>133</v>
      </c>
    </row>
    <row r="284" spans="2:15" x14ac:dyDescent="0.2">
      <c r="B284" s="45">
        <f>VLOOKUP( T_ApifImport[[#This Row],[Bilans]], T_Bilansi[], 4, 0)</f>
        <v>5</v>
      </c>
      <c r="C284" s="239">
        <f>VLOOKUP( T_ApifImport[[#This Row],[ld]], T_Aop[], 4, 0)</f>
        <v>502</v>
      </c>
      <c r="D28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40230753</v>
      </c>
      <c r="E28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40130950</v>
      </c>
      <c r="F284"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4"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4"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4"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4"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4"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4"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4"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4" s="8">
        <v>285</v>
      </c>
      <c r="O284" s="48" t="s">
        <v>133</v>
      </c>
    </row>
    <row r="285" spans="2:15" x14ac:dyDescent="0.2">
      <c r="B285" s="45">
        <f>VLOOKUP( T_ApifImport[[#This Row],[Bilans]], T_Bilansi[], 4, 0)</f>
        <v>5</v>
      </c>
      <c r="C285" s="239">
        <f>VLOOKUP( T_ApifImport[[#This Row],[ld]], T_Aop[], 4, 0)</f>
        <v>503</v>
      </c>
      <c r="D28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5"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5"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5"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5"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5"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5"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5"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5"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5" s="8">
        <v>286</v>
      </c>
      <c r="O285" s="48" t="s">
        <v>133</v>
      </c>
    </row>
    <row r="286" spans="2:15" x14ac:dyDescent="0.2">
      <c r="B286" s="45">
        <f>VLOOKUP( T_ApifImport[[#This Row],[Bilans]], T_Bilansi[], 4, 0)</f>
        <v>5</v>
      </c>
      <c r="C286" s="239">
        <f>VLOOKUP( T_ApifImport[[#This Row],[ld]], T_Aop[], 4, 0)</f>
        <v>504</v>
      </c>
      <c r="D28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6"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6"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6"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6"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6"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6"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6"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6"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6" s="8">
        <v>287</v>
      </c>
      <c r="O286" s="48" t="s">
        <v>133</v>
      </c>
    </row>
    <row r="287" spans="2:15" x14ac:dyDescent="0.2">
      <c r="B287" s="45">
        <f>VLOOKUP( T_ApifImport[[#This Row],[Bilans]], T_Bilansi[], 4, 0)</f>
        <v>5</v>
      </c>
      <c r="C287" s="239">
        <f>VLOOKUP( T_ApifImport[[#This Row],[ld]], T_Aop[], 4, 0)</f>
        <v>505</v>
      </c>
      <c r="D28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283008</v>
      </c>
      <c r="E28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292171</v>
      </c>
      <c r="F287"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7"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7"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7"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7"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7"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7"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7"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7" s="8">
        <v>288</v>
      </c>
      <c r="O287" s="48" t="s">
        <v>133</v>
      </c>
    </row>
    <row r="288" spans="2:15" x14ac:dyDescent="0.2">
      <c r="B288" s="45">
        <f>VLOOKUP( T_ApifImport[[#This Row],[Bilans]], T_Bilansi[], 4, 0)</f>
        <v>5</v>
      </c>
      <c r="C288" s="239">
        <f>VLOOKUP( T_ApifImport[[#This Row],[ld]], T_Aop[], 4, 0)</f>
        <v>506</v>
      </c>
      <c r="D28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35851699</v>
      </c>
      <c r="E28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34244083</v>
      </c>
      <c r="F288"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8"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8"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8"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8"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8"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8"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8"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8" s="8">
        <v>289</v>
      </c>
      <c r="O288" s="48" t="s">
        <v>133</v>
      </c>
    </row>
    <row r="289" spans="2:15" x14ac:dyDescent="0.2">
      <c r="B289" s="45">
        <f>VLOOKUP( T_ApifImport[[#This Row],[Bilans]], T_Bilansi[], 4, 0)</f>
        <v>5</v>
      </c>
      <c r="C289" s="239">
        <f>VLOOKUP( T_ApifImport[[#This Row],[ld]], T_Aop[], 4, 0)</f>
        <v>507</v>
      </c>
      <c r="D28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17379908</v>
      </c>
      <c r="E28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16456933</v>
      </c>
      <c r="F289"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9"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9"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9"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9"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9"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9"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9"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9" s="8">
        <v>290</v>
      </c>
      <c r="O289" s="48" t="s">
        <v>133</v>
      </c>
    </row>
    <row r="290" spans="2:15" x14ac:dyDescent="0.2">
      <c r="B290" s="45">
        <f>VLOOKUP( T_ApifImport[[#This Row],[Bilans]], T_Bilansi[], 4, 0)</f>
        <v>5</v>
      </c>
      <c r="C290" s="239">
        <f>VLOOKUP( T_ApifImport[[#This Row],[ld]], T_Aop[], 4, 0)</f>
        <v>508</v>
      </c>
      <c r="D29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158770</v>
      </c>
      <c r="E29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105527</v>
      </c>
      <c r="F290"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0"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0"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0"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0"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0"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0"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0"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0" s="8">
        <v>291</v>
      </c>
      <c r="O290" s="48" t="s">
        <v>133</v>
      </c>
    </row>
    <row r="291" spans="2:15" x14ac:dyDescent="0.2">
      <c r="B291" s="45">
        <f>VLOOKUP( T_ApifImport[[#This Row],[Bilans]], T_Bilansi[], 4, 0)</f>
        <v>5</v>
      </c>
      <c r="C291" s="239">
        <f>VLOOKUP( T_ApifImport[[#This Row],[ld]], T_Aop[], 4, 0)</f>
        <v>509</v>
      </c>
      <c r="D29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299302</v>
      </c>
      <c r="E29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329749</v>
      </c>
      <c r="F291"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1"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1"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1"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1"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1"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1"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1"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1" s="8">
        <v>292</v>
      </c>
      <c r="O291" s="48" t="s">
        <v>133</v>
      </c>
    </row>
    <row r="292" spans="2:15" x14ac:dyDescent="0.2">
      <c r="B292" s="45">
        <f>VLOOKUP( T_ApifImport[[#This Row],[Bilans]], T_Bilansi[], 4, 0)</f>
        <v>5</v>
      </c>
      <c r="C292" s="239">
        <f>VLOOKUP( T_ApifImport[[#This Row],[ld]], T_Aop[], 4, 0)</f>
        <v>510</v>
      </c>
      <c r="D29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14493362</v>
      </c>
      <c r="E29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14252061</v>
      </c>
      <c r="F292"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2"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2"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2"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2"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2"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2"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2"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2" s="8">
        <v>293</v>
      </c>
      <c r="O292" s="48" t="s">
        <v>133</v>
      </c>
    </row>
    <row r="293" spans="2:15" x14ac:dyDescent="0.2">
      <c r="B293" s="45">
        <f>VLOOKUP( T_ApifImport[[#This Row],[Bilans]], T_Bilansi[], 4, 0)</f>
        <v>5</v>
      </c>
      <c r="C293" s="239">
        <f>VLOOKUP( T_ApifImport[[#This Row],[ld]], T_Aop[], 4, 0)</f>
        <v>511</v>
      </c>
      <c r="D29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68932</v>
      </c>
      <c r="E29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175948</v>
      </c>
      <c r="F293"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3"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3"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3"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3"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3"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3"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3"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3" s="8">
        <v>294</v>
      </c>
      <c r="O293" s="48" t="s">
        <v>133</v>
      </c>
    </row>
    <row r="294" spans="2:15" x14ac:dyDescent="0.2">
      <c r="B294" s="45">
        <f>VLOOKUP( T_ApifImport[[#This Row],[Bilans]], T_Bilansi[], 4, 0)</f>
        <v>5</v>
      </c>
      <c r="C294" s="239">
        <f>VLOOKUP( T_ApifImport[[#This Row],[ld]], T_Aop[], 4, 0)</f>
        <v>512</v>
      </c>
      <c r="D29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3451425</v>
      </c>
      <c r="E29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2923865</v>
      </c>
      <c r="F294"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4"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4"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4"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4"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4"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4"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4"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4" s="8">
        <v>295</v>
      </c>
      <c r="O294" s="48" t="s">
        <v>133</v>
      </c>
    </row>
    <row r="295" spans="2:15" x14ac:dyDescent="0.2">
      <c r="B295" s="45">
        <f>VLOOKUP( T_ApifImport[[#This Row],[Bilans]], T_Bilansi[], 4, 0)</f>
        <v>5</v>
      </c>
      <c r="C295" s="239">
        <f>VLOOKUP( T_ApifImport[[#This Row],[ld]], T_Aop[], 4, 0)</f>
        <v>513</v>
      </c>
      <c r="D29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4662062</v>
      </c>
      <c r="E29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6179038</v>
      </c>
      <c r="F295"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5"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5"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5"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5"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5"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5"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5"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5" s="8">
        <v>296</v>
      </c>
      <c r="O295" s="48" t="s">
        <v>133</v>
      </c>
    </row>
    <row r="296" spans="2:15" x14ac:dyDescent="0.2">
      <c r="B296" s="45">
        <f>VLOOKUP( T_ApifImport[[#This Row],[Bilans]], T_Bilansi[], 4, 0)</f>
        <v>5</v>
      </c>
      <c r="C296" s="239">
        <f>VLOOKUP( T_ApifImport[[#This Row],[ld]], T_Aop[], 4, 0)</f>
        <v>514</v>
      </c>
      <c r="D29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6"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6"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6"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6"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6"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6"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6"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6"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6" s="8">
        <v>297</v>
      </c>
      <c r="O296" s="48" t="s">
        <v>133</v>
      </c>
    </row>
    <row r="297" spans="2:15" x14ac:dyDescent="0.2">
      <c r="B297" s="45">
        <f>VLOOKUP( T_ApifImport[[#This Row],[Bilans]], T_Bilansi[], 4, 0)</f>
        <v>5</v>
      </c>
      <c r="C297" s="239">
        <f>VLOOKUP( T_ApifImport[[#This Row],[ld]], T_Aop[], 4, 0)</f>
        <v>515</v>
      </c>
      <c r="D29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15069</v>
      </c>
      <c r="E29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214516</v>
      </c>
      <c r="F297"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7"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7"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7"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7"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7"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7"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7"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7" s="8">
        <v>298</v>
      </c>
      <c r="O297" s="48" t="s">
        <v>133</v>
      </c>
    </row>
    <row r="298" spans="2:15" x14ac:dyDescent="0.2">
      <c r="B298" s="45">
        <f>VLOOKUP( T_ApifImport[[#This Row],[Bilans]], T_Bilansi[], 4, 0)</f>
        <v>5</v>
      </c>
      <c r="C298" s="239">
        <f>VLOOKUP( T_ApifImport[[#This Row],[ld]], T_Aop[], 4, 0)</f>
        <v>516</v>
      </c>
      <c r="D29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8"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8"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8"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8"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8"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8"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8"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8"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8" s="8">
        <v>299</v>
      </c>
      <c r="O298" s="48" t="s">
        <v>133</v>
      </c>
    </row>
    <row r="299" spans="2:15" x14ac:dyDescent="0.2">
      <c r="B299" s="45">
        <f>VLOOKUP( T_ApifImport[[#This Row],[Bilans]], T_Bilansi[], 4, 0)</f>
        <v>5</v>
      </c>
      <c r="C299" s="239">
        <f>VLOOKUP( T_ApifImport[[#This Row],[ld]], T_Aop[], 4, 0)</f>
        <v>517</v>
      </c>
      <c r="D29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9"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9"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9"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9"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9"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9"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9"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9"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9" s="8">
        <v>300</v>
      </c>
      <c r="O299" s="48" t="s">
        <v>133</v>
      </c>
    </row>
    <row r="300" spans="2:15" x14ac:dyDescent="0.2">
      <c r="B300" s="45">
        <f>VLOOKUP( T_ApifImport[[#This Row],[Bilans]], T_Bilansi[], 4, 0)</f>
        <v>5</v>
      </c>
      <c r="C300" s="239">
        <f>VLOOKUP( T_ApifImport[[#This Row],[ld]], T_Aop[], 4, 0)</f>
        <v>518</v>
      </c>
      <c r="D30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0"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0"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0"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0"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0"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0"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0"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0"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0" s="8">
        <v>301</v>
      </c>
      <c r="O300" s="48" t="s">
        <v>133</v>
      </c>
    </row>
    <row r="301" spans="2:15" x14ac:dyDescent="0.2">
      <c r="B301" s="45">
        <f>VLOOKUP( T_ApifImport[[#This Row],[Bilans]], T_Bilansi[], 4, 0)</f>
        <v>5</v>
      </c>
      <c r="C301" s="239">
        <f>VLOOKUP( T_ApifImport[[#This Row],[ld]], T_Aop[], 4, 0)</f>
        <v>519</v>
      </c>
      <c r="D30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1"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1"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1"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1"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1"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1"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1"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1"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1" s="8">
        <v>302</v>
      </c>
      <c r="O301" s="48" t="s">
        <v>133</v>
      </c>
    </row>
    <row r="302" spans="2:15" x14ac:dyDescent="0.2">
      <c r="B302" s="45">
        <f>VLOOKUP( T_ApifImport[[#This Row],[Bilans]], T_Bilansi[], 4, 0)</f>
        <v>5</v>
      </c>
      <c r="C302" s="239">
        <f>VLOOKUP( T_ApifImport[[#This Row],[ld]], T_Aop[], 4, 0)</f>
        <v>520</v>
      </c>
      <c r="D30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2"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2"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2"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2"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2"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2"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2"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2"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2" s="8">
        <v>303</v>
      </c>
      <c r="O302" s="48" t="s">
        <v>133</v>
      </c>
    </row>
    <row r="303" spans="2:15" x14ac:dyDescent="0.2">
      <c r="B303" s="45">
        <f>VLOOKUP( T_ApifImport[[#This Row],[Bilans]], T_Bilansi[], 4, 0)</f>
        <v>5</v>
      </c>
      <c r="C303" s="239">
        <f>VLOOKUP( T_ApifImport[[#This Row],[ld]], T_Aop[], 4, 0)</f>
        <v>521</v>
      </c>
      <c r="D30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3"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3"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3"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3"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3"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3"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3"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3"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3" s="8">
        <v>304</v>
      </c>
      <c r="O303" s="48" t="s">
        <v>133</v>
      </c>
    </row>
    <row r="304" spans="2:15" x14ac:dyDescent="0.2">
      <c r="B304" s="45">
        <f>VLOOKUP( T_ApifImport[[#This Row],[Bilans]], T_Bilansi[], 4, 0)</f>
        <v>5</v>
      </c>
      <c r="C304" s="239">
        <f>VLOOKUP( T_ApifImport[[#This Row],[ld]], T_Aop[], 4, 0)</f>
        <v>522</v>
      </c>
      <c r="D30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4"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4"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4"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4"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4"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4"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4"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4"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4" s="8">
        <v>305</v>
      </c>
      <c r="O304" s="48" t="s">
        <v>133</v>
      </c>
    </row>
    <row r="305" spans="2:15" x14ac:dyDescent="0.2">
      <c r="B305" s="45">
        <f>VLOOKUP( T_ApifImport[[#This Row],[Bilans]], T_Bilansi[], 4, 0)</f>
        <v>5</v>
      </c>
      <c r="C305" s="239">
        <f>VLOOKUP( T_ApifImport[[#This Row],[ld]], T_Aop[], 4, 0)</f>
        <v>523</v>
      </c>
      <c r="D30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5"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5"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5"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5"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5"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5"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5"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5"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5" s="8">
        <v>306</v>
      </c>
      <c r="O305" s="48" t="s">
        <v>133</v>
      </c>
    </row>
    <row r="306" spans="2:15" x14ac:dyDescent="0.2">
      <c r="B306" s="45">
        <f>VLOOKUP( T_ApifImport[[#This Row],[Bilans]], T_Bilansi[], 4, 0)</f>
        <v>5</v>
      </c>
      <c r="C306" s="239">
        <f>VLOOKUP( T_ApifImport[[#This Row],[ld]], T_Aop[], 4, 0)</f>
        <v>524</v>
      </c>
      <c r="D30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6"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6"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6"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6"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6"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6"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6"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6"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6" s="8">
        <v>307</v>
      </c>
      <c r="O306" s="48" t="s">
        <v>133</v>
      </c>
    </row>
    <row r="307" spans="2:15" x14ac:dyDescent="0.2">
      <c r="B307" s="45">
        <f>VLOOKUP( T_ApifImport[[#This Row],[Bilans]], T_Bilansi[], 4, 0)</f>
        <v>5</v>
      </c>
      <c r="C307" s="239">
        <f>VLOOKUP( T_ApifImport[[#This Row],[ld]], T_Aop[], 4, 0)</f>
        <v>525</v>
      </c>
      <c r="D30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7"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7"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7"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7"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7"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7"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7"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7"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7" s="8">
        <v>308</v>
      </c>
      <c r="O307" s="48" t="s">
        <v>133</v>
      </c>
    </row>
    <row r="308" spans="2:15" x14ac:dyDescent="0.2">
      <c r="B308" s="45">
        <f>VLOOKUP( T_ApifImport[[#This Row],[Bilans]], T_Bilansi[], 4, 0)</f>
        <v>5</v>
      </c>
      <c r="C308" s="239">
        <f>VLOOKUP( T_ApifImport[[#This Row],[ld]], T_Aop[], 4, 0)</f>
        <v>526</v>
      </c>
      <c r="D30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8"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8"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8"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8"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8"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8"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8"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8"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8" s="8">
        <v>309</v>
      </c>
      <c r="O308" s="48" t="s">
        <v>133</v>
      </c>
    </row>
    <row r="309" spans="2:15" x14ac:dyDescent="0.2">
      <c r="B309" s="45">
        <f>VLOOKUP( T_ApifImport[[#This Row],[Bilans]], T_Bilansi[], 4, 0)</f>
        <v>5</v>
      </c>
      <c r="C309" s="239">
        <f>VLOOKUP( T_ApifImport[[#This Row],[ld]], T_Aop[], 4, 0)</f>
        <v>527</v>
      </c>
      <c r="D30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15069</v>
      </c>
      <c r="E30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19891</v>
      </c>
      <c r="F309"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9"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9"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9"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9"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9"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9"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9"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9" s="8">
        <v>310</v>
      </c>
      <c r="O309" s="48" t="s">
        <v>133</v>
      </c>
    </row>
    <row r="310" spans="2:15" x14ac:dyDescent="0.2">
      <c r="B310" s="45">
        <f>VLOOKUP( T_ApifImport[[#This Row],[Bilans]], T_Bilansi[], 4, 0)</f>
        <v>5</v>
      </c>
      <c r="C310" s="239">
        <f>VLOOKUP( T_ApifImport[[#This Row],[ld]], T_Aop[], 4, 0)</f>
        <v>528</v>
      </c>
      <c r="D31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194625</v>
      </c>
      <c r="F310"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0"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0"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0"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0"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0"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0"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0"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0" s="8">
        <v>311</v>
      </c>
      <c r="O310" s="48" t="s">
        <v>133</v>
      </c>
    </row>
    <row r="311" spans="2:15" x14ac:dyDescent="0.2">
      <c r="B311" s="45">
        <f>VLOOKUP( T_ApifImport[[#This Row],[Bilans]], T_Bilansi[], 4, 0)</f>
        <v>5</v>
      </c>
      <c r="C311" s="239">
        <f>VLOOKUP( T_ApifImport[[#This Row],[ld]], T_Aop[], 4, 0)</f>
        <v>529</v>
      </c>
      <c r="D31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1"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1"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1"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1"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1"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1"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1"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1"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1" s="8">
        <v>312</v>
      </c>
      <c r="O311" s="48" t="s">
        <v>133</v>
      </c>
    </row>
    <row r="312" spans="2:15" x14ac:dyDescent="0.2">
      <c r="B312" s="45">
        <f>VLOOKUP( T_ApifImport[[#This Row],[Bilans]], T_Bilansi[], 4, 0)</f>
        <v>5</v>
      </c>
      <c r="C312" s="239">
        <f>VLOOKUP( T_ApifImport[[#This Row],[ld]], T_Aop[], 4, 0)</f>
        <v>530</v>
      </c>
      <c r="D31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2"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2"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2"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2"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2"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2"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2"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2"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2" s="8">
        <v>313</v>
      </c>
      <c r="O312" s="48" t="s">
        <v>133</v>
      </c>
    </row>
    <row r="313" spans="2:15" x14ac:dyDescent="0.2">
      <c r="B313" s="45">
        <f>VLOOKUP( T_ApifImport[[#This Row],[Bilans]], T_Bilansi[], 4, 0)</f>
        <v>5</v>
      </c>
      <c r="C313" s="239">
        <f>VLOOKUP( T_ApifImport[[#This Row],[ld]], T_Aop[], 4, 0)</f>
        <v>531</v>
      </c>
      <c r="D31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2341965</v>
      </c>
      <c r="E31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5642374</v>
      </c>
      <c r="F313"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3"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3"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3"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3"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3"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3"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3"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3" s="8">
        <v>314</v>
      </c>
      <c r="O313" s="48" t="s">
        <v>133</v>
      </c>
    </row>
    <row r="314" spans="2:15" x14ac:dyDescent="0.2">
      <c r="B314" s="45">
        <f>VLOOKUP( T_ApifImport[[#This Row],[Bilans]], T_Bilansi[], 4, 0)</f>
        <v>5</v>
      </c>
      <c r="C314" s="239">
        <f>VLOOKUP( T_ApifImport[[#This Row],[ld]], T_Aop[], 4, 0)</f>
        <v>532</v>
      </c>
      <c r="D31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4"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4"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4"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4"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4"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4"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4"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4"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4" s="8">
        <v>315</v>
      </c>
      <c r="O314" s="48" t="s">
        <v>133</v>
      </c>
    </row>
    <row r="315" spans="2:15" x14ac:dyDescent="0.2">
      <c r="B315" s="45">
        <f>VLOOKUP( T_ApifImport[[#This Row],[Bilans]], T_Bilansi[], 4, 0)</f>
        <v>5</v>
      </c>
      <c r="C315" s="239">
        <f>VLOOKUP( T_ApifImport[[#This Row],[ld]], T_Aop[], 4, 0)</f>
        <v>533</v>
      </c>
      <c r="D31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2341965</v>
      </c>
      <c r="E31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5642374</v>
      </c>
      <c r="F315"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5"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5"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5"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5"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5"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5"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5"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5" s="8">
        <v>316</v>
      </c>
      <c r="O315" s="48" t="s">
        <v>133</v>
      </c>
    </row>
    <row r="316" spans="2:15" x14ac:dyDescent="0.2">
      <c r="B316" s="45">
        <f>VLOOKUP( T_ApifImport[[#This Row],[Bilans]], T_Bilansi[], 4, 0)</f>
        <v>5</v>
      </c>
      <c r="C316" s="239">
        <f>VLOOKUP( T_ApifImport[[#This Row],[ld]], T_Aop[], 4, 0)</f>
        <v>534</v>
      </c>
      <c r="D31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6"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6"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6"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6"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6"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6"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6"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6"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6" s="8">
        <v>317</v>
      </c>
      <c r="O316" s="48" t="s">
        <v>133</v>
      </c>
    </row>
    <row r="317" spans="2:15" x14ac:dyDescent="0.2">
      <c r="B317" s="45">
        <f>VLOOKUP( T_ApifImport[[#This Row],[Bilans]], T_Bilansi[], 4, 0)</f>
        <v>5</v>
      </c>
      <c r="C317" s="239">
        <f>VLOOKUP( T_ApifImport[[#This Row],[ld]], T_Aop[], 4, 0)</f>
        <v>535</v>
      </c>
      <c r="D31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7"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7"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7"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7"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7"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7"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7"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7"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7" s="8">
        <v>318</v>
      </c>
      <c r="O317" s="48" t="s">
        <v>133</v>
      </c>
    </row>
    <row r="318" spans="2:15" x14ac:dyDescent="0.2">
      <c r="B318" s="45">
        <f>VLOOKUP( T_ApifImport[[#This Row],[Bilans]], T_Bilansi[], 4, 0)</f>
        <v>5</v>
      </c>
      <c r="C318" s="239">
        <f>VLOOKUP( T_ApifImport[[#This Row],[ld]], T_Aop[], 4, 0)</f>
        <v>536</v>
      </c>
      <c r="D31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8"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8"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8"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8"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8"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8"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8"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8"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8" s="8">
        <v>319</v>
      </c>
      <c r="O318" s="48" t="s">
        <v>133</v>
      </c>
    </row>
    <row r="319" spans="2:15" x14ac:dyDescent="0.2">
      <c r="B319" s="45">
        <f>VLOOKUP( T_ApifImport[[#This Row],[Bilans]], T_Bilansi[], 4, 0)</f>
        <v>5</v>
      </c>
      <c r="C319" s="239">
        <f>VLOOKUP( T_ApifImport[[#This Row],[ld]], T_Aop[], 4, 0)</f>
        <v>537</v>
      </c>
      <c r="D31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9"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9"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9"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9"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9"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9"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9"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9"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9" s="8">
        <v>320</v>
      </c>
      <c r="O319" s="48" t="s">
        <v>133</v>
      </c>
    </row>
    <row r="320" spans="2:15" x14ac:dyDescent="0.2">
      <c r="B320" s="45">
        <f>VLOOKUP( T_ApifImport[[#This Row],[Bilans]], T_Bilansi[], 4, 0)</f>
        <v>5</v>
      </c>
      <c r="C320" s="239">
        <f>VLOOKUP( T_ApifImport[[#This Row],[ld]], T_Aop[], 4, 0)</f>
        <v>538</v>
      </c>
      <c r="D32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0"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0"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0"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0"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0"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0"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0"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0"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0" s="8">
        <v>321</v>
      </c>
      <c r="O320" s="48" t="s">
        <v>133</v>
      </c>
    </row>
    <row r="321" spans="2:15" x14ac:dyDescent="0.2">
      <c r="B321" s="45">
        <f>VLOOKUP( T_ApifImport[[#This Row],[Bilans]], T_Bilansi[], 4, 0)</f>
        <v>5</v>
      </c>
      <c r="C321" s="239">
        <f>VLOOKUP( T_ApifImport[[#This Row],[ld]], T_Aop[], 4, 0)</f>
        <v>539</v>
      </c>
      <c r="D32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1"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1"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1"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1"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1"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1"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1"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1"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1" s="8">
        <v>322</v>
      </c>
      <c r="O321" s="48" t="s">
        <v>133</v>
      </c>
    </row>
    <row r="322" spans="2:15" x14ac:dyDescent="0.2">
      <c r="B322" s="45">
        <f>VLOOKUP( T_ApifImport[[#This Row],[Bilans]], T_Bilansi[], 4, 0)</f>
        <v>5</v>
      </c>
      <c r="C322" s="239">
        <f>VLOOKUP( T_ApifImport[[#This Row],[ld]], T_Aop[], 4, 0)</f>
        <v>540</v>
      </c>
      <c r="D32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2"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2"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2"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2"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2"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2"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2"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2"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2" s="8">
        <v>323</v>
      </c>
      <c r="O322" s="48" t="s">
        <v>133</v>
      </c>
    </row>
    <row r="323" spans="2:15" x14ac:dyDescent="0.2">
      <c r="B323" s="45">
        <f>VLOOKUP( T_ApifImport[[#This Row],[Bilans]], T_Bilansi[], 4, 0)</f>
        <v>5</v>
      </c>
      <c r="C323" s="239">
        <f>VLOOKUP( T_ApifImport[[#This Row],[ld]], T_Aop[], 4, 0)</f>
        <v>541</v>
      </c>
      <c r="D32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3"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3"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3"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3"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3"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3"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3"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3"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3" s="8">
        <v>324</v>
      </c>
      <c r="O323" s="48" t="s">
        <v>133</v>
      </c>
    </row>
    <row r="324" spans="2:15" x14ac:dyDescent="0.2">
      <c r="B324" s="45">
        <f>VLOOKUP( T_ApifImport[[#This Row],[Bilans]], T_Bilansi[], 4, 0)</f>
        <v>5</v>
      </c>
      <c r="C324" s="239">
        <f>VLOOKUP( T_ApifImport[[#This Row],[ld]], T_Aop[], 4, 0)</f>
        <v>542</v>
      </c>
      <c r="D32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4"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4"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4"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4"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4"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4"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4"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4"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4" s="8">
        <v>325</v>
      </c>
      <c r="O324" s="48" t="s">
        <v>133</v>
      </c>
    </row>
    <row r="325" spans="2:15" x14ac:dyDescent="0.2">
      <c r="B325" s="45">
        <f>VLOOKUP( T_ApifImport[[#This Row],[Bilans]], T_Bilansi[], 4, 0)</f>
        <v>5</v>
      </c>
      <c r="C325" s="239">
        <f>VLOOKUP( T_ApifImport[[#This Row],[ld]], T_Aop[], 4, 0)</f>
        <v>543</v>
      </c>
      <c r="D32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2326896</v>
      </c>
      <c r="E32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5427858</v>
      </c>
      <c r="F325"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5"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5"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5"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5"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5"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5"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5"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5" s="8">
        <v>326</v>
      </c>
      <c r="O325" s="48" t="s">
        <v>133</v>
      </c>
    </row>
    <row r="326" spans="2:15" x14ac:dyDescent="0.2">
      <c r="B326" s="45">
        <f>VLOOKUP( T_ApifImport[[#This Row],[Bilans]], T_Bilansi[], 4, 0)</f>
        <v>5</v>
      </c>
      <c r="C326" s="239">
        <f>VLOOKUP( T_ApifImport[[#This Row],[ld]], T_Aop[], 4, 0)</f>
        <v>544</v>
      </c>
      <c r="D32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82960</v>
      </c>
      <c r="E32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63950</v>
      </c>
      <c r="F326"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6"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6"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6"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6"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6"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6"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6"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6" s="8">
        <v>327</v>
      </c>
      <c r="O326" s="48" t="s">
        <v>133</v>
      </c>
    </row>
    <row r="327" spans="2:15" x14ac:dyDescent="0.2">
      <c r="B327" s="45">
        <f>VLOOKUP( T_ApifImport[[#This Row],[Bilans]], T_Bilansi[], 4, 0)</f>
        <v>5</v>
      </c>
      <c r="C327" s="239">
        <f>VLOOKUP( T_ApifImport[[#This Row],[ld]], T_Aop[], 4, 0)</f>
        <v>545</v>
      </c>
      <c r="D32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7"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7"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7"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7"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7"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7"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7"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7"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7" s="8">
        <v>328</v>
      </c>
      <c r="O327" s="48" t="s">
        <v>133</v>
      </c>
    </row>
    <row r="328" spans="2:15" x14ac:dyDescent="0.2">
      <c r="B328" s="45">
        <f>VLOOKUP( T_ApifImport[[#This Row],[Bilans]], T_Bilansi[], 4, 0)</f>
        <v>5</v>
      </c>
      <c r="C328" s="239">
        <f>VLOOKUP( T_ApifImport[[#This Row],[ld]], T_Aop[], 4, 0)</f>
        <v>546</v>
      </c>
      <c r="D32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8"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8"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8"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8"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8"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8"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8"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8"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8" s="8">
        <v>329</v>
      </c>
      <c r="O328" s="48" t="s">
        <v>133</v>
      </c>
    </row>
    <row r="329" spans="2:15" x14ac:dyDescent="0.2">
      <c r="B329" s="45">
        <f>VLOOKUP( T_ApifImport[[#This Row],[Bilans]], T_Bilansi[], 4, 0)</f>
        <v>5</v>
      </c>
      <c r="C329" s="239">
        <f>VLOOKUP( T_ApifImport[[#This Row],[ld]], T_Aop[], 4, 0)</f>
        <v>547</v>
      </c>
      <c r="D32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82960</v>
      </c>
      <c r="E32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63950</v>
      </c>
      <c r="F329"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9"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9"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9"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9"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9"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9"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9"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9" s="8">
        <v>330</v>
      </c>
      <c r="O329" s="48" t="s">
        <v>133</v>
      </c>
    </row>
    <row r="330" spans="2:15" x14ac:dyDescent="0.2">
      <c r="B330" s="45">
        <f>VLOOKUP( T_ApifImport[[#This Row],[Bilans]], T_Bilansi[], 4, 0)</f>
        <v>5</v>
      </c>
      <c r="C330" s="239">
        <f>VLOOKUP( T_ApifImport[[#This Row],[ld]], T_Aop[], 4, 0)</f>
        <v>548</v>
      </c>
      <c r="D33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0"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0"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0"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0"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0"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0"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0"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0"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0" s="8">
        <v>331</v>
      </c>
      <c r="O330" s="48" t="s">
        <v>133</v>
      </c>
    </row>
    <row r="331" spans="2:15" x14ac:dyDescent="0.2">
      <c r="B331" s="45">
        <f>VLOOKUP( T_ApifImport[[#This Row],[Bilans]], T_Bilansi[], 4, 0)</f>
        <v>5</v>
      </c>
      <c r="C331" s="239">
        <f>VLOOKUP( T_ApifImport[[#This Row],[ld]], T_Aop[], 4, 0)</f>
        <v>549</v>
      </c>
      <c r="D33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1"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1"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1"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1"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1"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1"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1"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1"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1" s="8">
        <v>332</v>
      </c>
      <c r="O331" s="48" t="s">
        <v>133</v>
      </c>
    </row>
    <row r="332" spans="2:15" x14ac:dyDescent="0.2">
      <c r="B332" s="45">
        <f>VLOOKUP( T_ApifImport[[#This Row],[Bilans]], T_Bilansi[], 4, 0)</f>
        <v>5</v>
      </c>
      <c r="C332" s="239">
        <f>VLOOKUP( T_ApifImport[[#This Row],[ld]], T_Aop[], 4, 0)</f>
        <v>550</v>
      </c>
      <c r="D33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2"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2"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2"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2"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2"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2"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2"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2"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2" s="8">
        <v>333</v>
      </c>
      <c r="O332" s="48" t="s">
        <v>133</v>
      </c>
    </row>
    <row r="333" spans="2:15" x14ac:dyDescent="0.2">
      <c r="B333" s="45">
        <f>VLOOKUP( T_ApifImport[[#This Row],[Bilans]], T_Bilansi[], 4, 0)</f>
        <v>5</v>
      </c>
      <c r="C333" s="239">
        <f>VLOOKUP( T_ApifImport[[#This Row],[ld]], T_Aop[], 4, 0)</f>
        <v>551</v>
      </c>
      <c r="D33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2984229</v>
      </c>
      <c r="E33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2771287</v>
      </c>
      <c r="F333"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3"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3"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3"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3"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3"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3"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3"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3" s="8">
        <v>334</v>
      </c>
      <c r="O333" s="48" t="s">
        <v>133</v>
      </c>
    </row>
    <row r="334" spans="2:15" x14ac:dyDescent="0.2">
      <c r="B334" s="45">
        <f>VLOOKUP( T_ApifImport[[#This Row],[Bilans]], T_Bilansi[], 4, 0)</f>
        <v>5</v>
      </c>
      <c r="C334" s="239">
        <f>VLOOKUP( T_ApifImport[[#This Row],[ld]], T_Aop[], 4, 0)</f>
        <v>552</v>
      </c>
      <c r="D33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4"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4"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4"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4"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4"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4"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4"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4"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4" s="8">
        <v>335</v>
      </c>
      <c r="O334" s="48" t="s">
        <v>133</v>
      </c>
    </row>
    <row r="335" spans="2:15" x14ac:dyDescent="0.2">
      <c r="B335" s="45">
        <f>VLOOKUP( T_ApifImport[[#This Row],[Bilans]], T_Bilansi[], 4, 0)</f>
        <v>5</v>
      </c>
      <c r="C335" s="239">
        <f>VLOOKUP( T_ApifImport[[#This Row],[ld]], T_Aop[], 4, 0)</f>
        <v>553</v>
      </c>
      <c r="D33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1532378</v>
      </c>
      <c r="E33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1380269</v>
      </c>
      <c r="F335"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5"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5"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5"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5"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5"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5"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5"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5" s="8">
        <v>336</v>
      </c>
      <c r="O335" s="48" t="s">
        <v>133</v>
      </c>
    </row>
    <row r="336" spans="2:15" x14ac:dyDescent="0.2">
      <c r="B336" s="45">
        <f>VLOOKUP( T_ApifImport[[#This Row],[Bilans]], T_Bilansi[], 4, 0)</f>
        <v>5</v>
      </c>
      <c r="C336" s="239">
        <f>VLOOKUP( T_ApifImport[[#This Row],[ld]], T_Aop[], 4, 0)</f>
        <v>554</v>
      </c>
      <c r="D33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6"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6"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6"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6"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6"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6"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6"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6"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6" s="8">
        <v>337</v>
      </c>
      <c r="O336" s="48" t="s">
        <v>133</v>
      </c>
    </row>
    <row r="337" spans="2:15" x14ac:dyDescent="0.2">
      <c r="B337" s="45">
        <f>VLOOKUP( T_ApifImport[[#This Row],[Bilans]], T_Bilansi[], 4, 0)</f>
        <v>5</v>
      </c>
      <c r="C337" s="239">
        <f>VLOOKUP( T_ApifImport[[#This Row],[ld]], T_Aop[], 4, 0)</f>
        <v>555</v>
      </c>
      <c r="D33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39192</v>
      </c>
      <c r="E33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35872</v>
      </c>
      <c r="F337"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7"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7"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7"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7"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7"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7"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7"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7" s="8">
        <v>338</v>
      </c>
      <c r="O337" s="48" t="s">
        <v>133</v>
      </c>
    </row>
    <row r="338" spans="2:15" x14ac:dyDescent="0.2">
      <c r="B338" s="45">
        <f>VLOOKUP( T_ApifImport[[#This Row],[Bilans]], T_Bilansi[], 4, 0)</f>
        <v>5</v>
      </c>
      <c r="C338" s="239">
        <f>VLOOKUP( T_ApifImport[[#This Row],[ld]], T_Aop[], 4, 0)</f>
        <v>556</v>
      </c>
      <c r="D33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1412659</v>
      </c>
      <c r="E33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1355146</v>
      </c>
      <c r="F338"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8"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8"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8"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8"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8"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8"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8"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8" s="8">
        <v>339</v>
      </c>
      <c r="O338" s="48" t="s">
        <v>133</v>
      </c>
    </row>
    <row r="339" spans="2:15" x14ac:dyDescent="0.2">
      <c r="B339" s="45">
        <f>VLOOKUP( T_ApifImport[[#This Row],[Bilans]], T_Bilansi[], 4, 0)</f>
        <v>5</v>
      </c>
      <c r="C339" s="239">
        <f>VLOOKUP( T_ApifImport[[#This Row],[ld]], T_Aop[], 4, 0)</f>
        <v>557</v>
      </c>
      <c r="D33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9"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9"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9"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9"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9"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9"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9"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9"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9" s="8">
        <v>340</v>
      </c>
      <c r="O339" s="48" t="s">
        <v>133</v>
      </c>
    </row>
    <row r="340" spans="2:15" x14ac:dyDescent="0.2">
      <c r="B340" s="45">
        <f>VLOOKUP( T_ApifImport[[#This Row],[Bilans]], T_Bilansi[], 4, 0)</f>
        <v>5</v>
      </c>
      <c r="C340" s="239">
        <f>VLOOKUP( T_ApifImport[[#This Row],[ld]], T_Aop[], 4, 0)</f>
        <v>558</v>
      </c>
      <c r="D34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0"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0"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0"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0"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0"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0"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0"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0"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0" s="8">
        <v>341</v>
      </c>
      <c r="O340" s="48" t="s">
        <v>133</v>
      </c>
    </row>
    <row r="341" spans="2:15" x14ac:dyDescent="0.2">
      <c r="B341" s="45">
        <f>VLOOKUP( T_ApifImport[[#This Row],[Bilans]], T_Bilansi[], 4, 0)</f>
        <v>5</v>
      </c>
      <c r="C341" s="239">
        <f>VLOOKUP( T_ApifImport[[#This Row],[ld]], T_Aop[], 4, 0)</f>
        <v>559</v>
      </c>
      <c r="D34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1"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1"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1"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1"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1"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1"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1"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1"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1" s="8">
        <v>342</v>
      </c>
      <c r="O341" s="48" t="s">
        <v>133</v>
      </c>
    </row>
    <row r="342" spans="2:15" x14ac:dyDescent="0.2">
      <c r="B342" s="45">
        <f>VLOOKUP( T_ApifImport[[#This Row],[Bilans]], T_Bilansi[], 4, 0)</f>
        <v>5</v>
      </c>
      <c r="C342" s="239">
        <f>VLOOKUP( T_ApifImport[[#This Row],[ld]], T_Aop[], 4, 0)</f>
        <v>560</v>
      </c>
      <c r="D34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2901269</v>
      </c>
      <c r="E34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2707337</v>
      </c>
      <c r="F342"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2"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2"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2"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2"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2"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2"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2"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2" s="8">
        <v>343</v>
      </c>
      <c r="O342" s="48" t="s">
        <v>133</v>
      </c>
    </row>
    <row r="343" spans="2:15" x14ac:dyDescent="0.2">
      <c r="B343" s="45">
        <f>VLOOKUP( T_ApifImport[[#This Row],[Bilans]], T_Bilansi[], 4, 0)</f>
        <v>5</v>
      </c>
      <c r="C343" s="239">
        <f>VLOOKUP( T_ApifImport[[#This Row],[ld]], T_Aop[], 4, 0)</f>
        <v>561</v>
      </c>
      <c r="D34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40611790</v>
      </c>
      <c r="E34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40701587</v>
      </c>
      <c r="F343"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3"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3"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3"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3"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3"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3"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3"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3" s="8">
        <v>344</v>
      </c>
      <c r="O343" s="48" t="s">
        <v>133</v>
      </c>
    </row>
    <row r="344" spans="2:15" x14ac:dyDescent="0.2">
      <c r="B344" s="45">
        <f>VLOOKUP( T_ApifImport[[#This Row],[Bilans]], T_Bilansi[], 4, 0)</f>
        <v>5</v>
      </c>
      <c r="C344" s="239">
        <f>VLOOKUP( T_ApifImport[[#This Row],[ld]], T_Aop[], 4, 0)</f>
        <v>562</v>
      </c>
      <c r="D34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41177893</v>
      </c>
      <c r="E34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42657744</v>
      </c>
      <c r="F344"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4"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4"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4"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4"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4"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4"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4"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4" s="8">
        <v>345</v>
      </c>
      <c r="O344" s="48" t="s">
        <v>133</v>
      </c>
    </row>
    <row r="345" spans="2:15" x14ac:dyDescent="0.2">
      <c r="B345" s="45">
        <f>VLOOKUP( T_ApifImport[[#This Row],[Bilans]], T_Bilansi[], 4, 0)</f>
        <v>5</v>
      </c>
      <c r="C345" s="239">
        <f>VLOOKUP( T_ApifImport[[#This Row],[ld]], T_Aop[], 4, 0)</f>
        <v>563</v>
      </c>
      <c r="D34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5"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5"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5"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5"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5"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5"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5"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5"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5" s="8">
        <v>346</v>
      </c>
      <c r="O345" s="48" t="s">
        <v>133</v>
      </c>
    </row>
    <row r="346" spans="2:15" x14ac:dyDescent="0.2">
      <c r="B346" s="45">
        <f>VLOOKUP( T_ApifImport[[#This Row],[Bilans]], T_Bilansi[], 4, 0)</f>
        <v>5</v>
      </c>
      <c r="C346" s="239">
        <f>VLOOKUP( T_ApifImport[[#This Row],[ld]], T_Aop[], 4, 0)</f>
        <v>564</v>
      </c>
      <c r="D34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566103</v>
      </c>
      <c r="E34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1956157</v>
      </c>
      <c r="F346"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6"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6"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6"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6"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6"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6"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6"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6" s="8">
        <v>347</v>
      </c>
      <c r="O346" s="48" t="s">
        <v>133</v>
      </c>
    </row>
    <row r="347" spans="2:15" x14ac:dyDescent="0.2">
      <c r="B347" s="45">
        <f>VLOOKUP( T_ApifImport[[#This Row],[Bilans]], T_Bilansi[], 4, 0)</f>
        <v>5</v>
      </c>
      <c r="C347" s="239">
        <f>VLOOKUP( T_ApifImport[[#This Row],[ld]], T_Aop[], 4, 0)</f>
        <v>565</v>
      </c>
      <c r="D34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1667277</v>
      </c>
      <c r="E34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3623434</v>
      </c>
      <c r="F347"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7"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7"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7"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7"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7"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7"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7"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7" s="8">
        <v>348</v>
      </c>
      <c r="O347" s="48" t="s">
        <v>133</v>
      </c>
    </row>
    <row r="348" spans="2:15" x14ac:dyDescent="0.2">
      <c r="B348" s="45">
        <f>VLOOKUP( T_ApifImport[[#This Row],[Bilans]], T_Bilansi[], 4, 0)</f>
        <v>5</v>
      </c>
      <c r="C348" s="239">
        <f>VLOOKUP( T_ApifImport[[#This Row],[ld]], T_Aop[], 4, 0)</f>
        <v>566</v>
      </c>
      <c r="D34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8"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8"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8"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8"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8"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8"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8"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8"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8" s="8">
        <v>349</v>
      </c>
      <c r="O348" s="48" t="s">
        <v>133</v>
      </c>
    </row>
    <row r="349" spans="2:15" x14ac:dyDescent="0.2">
      <c r="B349" s="45">
        <f>VLOOKUP( T_ApifImport[[#This Row],[Bilans]], T_Bilansi[], 4, 0)</f>
        <v>5</v>
      </c>
      <c r="C349" s="239">
        <f>VLOOKUP( T_ApifImport[[#This Row],[ld]], T_Aop[], 4, 0)</f>
        <v>567</v>
      </c>
      <c r="D34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9"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9"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9"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9"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9"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9"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9"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9"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9" s="8">
        <v>350</v>
      </c>
      <c r="O349" s="48" t="s">
        <v>133</v>
      </c>
    </row>
    <row r="350" spans="2:15" x14ac:dyDescent="0.2">
      <c r="B350" s="541">
        <f>VLOOKUP( T_ApifImport[[#This Row],[Bilans]], T_Bilansi[], 4, 0)</f>
        <v>5</v>
      </c>
      <c r="C350" s="239">
        <f>VLOOKUP( T_ApifImport[[#This Row],[ld]], T_Aop[], 4, 0)</f>
        <v>568</v>
      </c>
      <c r="D35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1101174</v>
      </c>
      <c r="E35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1667277</v>
      </c>
      <c r="F350"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0"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0"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0"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0"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0"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0"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0"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0" s="8">
        <v>351</v>
      </c>
      <c r="O350" s="48" t="s">
        <v>133</v>
      </c>
    </row>
    <row r="351" spans="2:15" x14ac:dyDescent="0.2">
      <c r="B351" s="45">
        <f>VLOOKUP( T_ApifImport[[#This Row],[Bilans]], T_Bilansi[], 4, 0)</f>
        <v>4</v>
      </c>
      <c r="C351" s="239">
        <f>VLOOKUP( T_ApifImport[[#This Row],[ld]], T_Aop[], 4, 0)</f>
        <v>601</v>
      </c>
      <c r="D35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1"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1"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1"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1"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1"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1"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1"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1"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1" s="8">
        <v>352</v>
      </c>
      <c r="O351" s="8" t="s">
        <v>134</v>
      </c>
    </row>
    <row r="352" spans="2:15" x14ac:dyDescent="0.2">
      <c r="B352" s="45">
        <f>VLOOKUP( T_ApifImport[[#This Row],[Bilans]], T_Bilansi[], 4, 0)</f>
        <v>4</v>
      </c>
      <c r="C352" s="239">
        <f>VLOOKUP( T_ApifImport[[#This Row],[ld]], T_Aop[], 4, 0)</f>
        <v>602</v>
      </c>
      <c r="D35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40580850</v>
      </c>
      <c r="E35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39985003</v>
      </c>
      <c r="F352"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2"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2"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2"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2"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2"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2"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2"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2" s="8">
        <v>353</v>
      </c>
      <c r="O352" s="8" t="s">
        <v>134</v>
      </c>
    </row>
    <row r="353" spans="2:15" x14ac:dyDescent="0.2">
      <c r="B353" s="45">
        <f>VLOOKUP( T_ApifImport[[#This Row],[Bilans]], T_Bilansi[], 4, 0)</f>
        <v>4</v>
      </c>
      <c r="C353" s="239">
        <f>VLOOKUP( T_ApifImport[[#This Row],[ld]], T_Aop[], 4, 0)</f>
        <v>603</v>
      </c>
      <c r="D35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500</v>
      </c>
      <c r="E35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1480</v>
      </c>
      <c r="F353"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3"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3"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3"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3"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3"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3"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3"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3" s="8">
        <v>354</v>
      </c>
      <c r="O353" s="8" t="s">
        <v>134</v>
      </c>
    </row>
    <row r="354" spans="2:15" x14ac:dyDescent="0.2">
      <c r="B354" s="45">
        <f>VLOOKUP( T_ApifImport[[#This Row],[Bilans]], T_Bilansi[], 4, 0)</f>
        <v>4</v>
      </c>
      <c r="C354" s="239">
        <f>VLOOKUP( T_ApifImport[[#This Row],[ld]], T_Aop[], 4, 0)</f>
        <v>604</v>
      </c>
      <c r="D35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4"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4"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4"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4"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4"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4"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4"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4"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4" s="8">
        <v>355</v>
      </c>
      <c r="O354" s="8" t="s">
        <v>134</v>
      </c>
    </row>
    <row r="355" spans="2:15" x14ac:dyDescent="0.2">
      <c r="B355" s="45">
        <f>VLOOKUP( T_ApifImport[[#This Row],[Bilans]], T_Bilansi[], 4, 0)</f>
        <v>4</v>
      </c>
      <c r="C355" s="239">
        <f>VLOOKUP( T_ApifImport[[#This Row],[ld]], T_Aop[], 4, 0)</f>
        <v>605</v>
      </c>
      <c r="D35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13985698</v>
      </c>
      <c r="E35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19343721</v>
      </c>
      <c r="F355"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5"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5"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5"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5"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5"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5"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5"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5" s="8">
        <v>356</v>
      </c>
      <c r="O355" s="8" t="s">
        <v>134</v>
      </c>
    </row>
    <row r="356" spans="2:15" x14ac:dyDescent="0.2">
      <c r="B356" s="45">
        <f>VLOOKUP( T_ApifImport[[#This Row],[Bilans]], T_Bilansi[], 4, 0)</f>
        <v>4</v>
      </c>
      <c r="C356" s="239">
        <f>VLOOKUP( T_ApifImport[[#This Row],[ld]], T_Aop[], 4, 0)</f>
        <v>606</v>
      </c>
      <c r="D35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311998</v>
      </c>
      <c r="E35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186131</v>
      </c>
      <c r="F356"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6"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6"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6"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6"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6"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6"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6"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6" s="8">
        <v>357</v>
      </c>
      <c r="O356" s="8" t="s">
        <v>134</v>
      </c>
    </row>
    <row r="357" spans="2:15" x14ac:dyDescent="0.2">
      <c r="B357" s="45">
        <f>VLOOKUP( T_ApifImport[[#This Row],[Bilans]], T_Bilansi[], 4, 0)</f>
        <v>4</v>
      </c>
      <c r="C357" s="239">
        <f>VLOOKUP( T_ApifImport[[#This Row],[ld]], T_Aop[], 4, 0)</f>
        <v>607</v>
      </c>
      <c r="D35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7"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7"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7"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7"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7"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7"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7"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7"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7" s="8">
        <v>358</v>
      </c>
      <c r="O357" s="8" t="s">
        <v>134</v>
      </c>
    </row>
    <row r="358" spans="2:15" x14ac:dyDescent="0.2">
      <c r="B358" s="45">
        <f>VLOOKUP( T_ApifImport[[#This Row],[Bilans]], T_Bilansi[], 4, 0)</f>
        <v>4</v>
      </c>
      <c r="C358" s="239">
        <f>VLOOKUP( T_ApifImport[[#This Row],[ld]], T_Aop[], 4, 0)</f>
        <v>608</v>
      </c>
      <c r="D35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86618</v>
      </c>
      <c r="E35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12250</v>
      </c>
      <c r="F358"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8"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8"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8"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8"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8"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8"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8"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8" s="8">
        <v>359</v>
      </c>
      <c r="O358" s="8" t="s">
        <v>134</v>
      </c>
    </row>
    <row r="359" spans="2:15" x14ac:dyDescent="0.2">
      <c r="B359" s="45">
        <f>VLOOKUP( T_ApifImport[[#This Row],[Bilans]], T_Bilansi[], 4, 0)</f>
        <v>4</v>
      </c>
      <c r="C359" s="239">
        <f>VLOOKUP( T_ApifImport[[#This Row],[ld]], T_Aop[], 4, 0)</f>
        <v>609</v>
      </c>
      <c r="D35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9"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9"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9"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9"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9"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9"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9"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9"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9" s="8">
        <v>360</v>
      </c>
      <c r="O359" s="8" t="s">
        <v>134</v>
      </c>
    </row>
    <row r="360" spans="2:15" x14ac:dyDescent="0.2">
      <c r="B360" s="45">
        <f>VLOOKUP( T_ApifImport[[#This Row],[Bilans]], T_Bilansi[], 4, 0)</f>
        <v>4</v>
      </c>
      <c r="C360" s="239">
        <f>VLOOKUP( T_ApifImport[[#This Row],[ld]], T_Aop[], 4, 0)</f>
        <v>610</v>
      </c>
      <c r="D36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0"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0"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0"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0"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0"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0"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0"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0"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0" s="8">
        <v>361</v>
      </c>
      <c r="O360" s="8" t="s">
        <v>134</v>
      </c>
    </row>
    <row r="361" spans="2:15" x14ac:dyDescent="0.2">
      <c r="B361" s="45">
        <f>VLOOKUP( T_ApifImport[[#This Row],[Bilans]], T_Bilansi[], 4, 0)</f>
        <v>4</v>
      </c>
      <c r="C361" s="239">
        <f>VLOOKUP( T_ApifImport[[#This Row],[ld]], T_Aop[], 4, 0)</f>
        <v>611</v>
      </c>
      <c r="D36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1"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1"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1"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1"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1"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1"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1"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1"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1" s="8">
        <v>362</v>
      </c>
      <c r="O361" s="8" t="s">
        <v>134</v>
      </c>
    </row>
    <row r="362" spans="2:15" x14ac:dyDescent="0.2">
      <c r="B362" s="45">
        <f>VLOOKUP( T_ApifImport[[#This Row],[Bilans]], T_Bilansi[], 4, 0)</f>
        <v>4</v>
      </c>
      <c r="C362" s="239">
        <f>VLOOKUP( T_ApifImport[[#This Row],[ld]], T_Aop[], 4, 0)</f>
        <v>612</v>
      </c>
      <c r="D36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2"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2"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2"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2"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2"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2"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2"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2"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2" s="8">
        <v>363</v>
      </c>
      <c r="O362" s="8" t="s">
        <v>134</v>
      </c>
    </row>
    <row r="363" spans="2:15" x14ac:dyDescent="0.2">
      <c r="B363" s="45">
        <f>VLOOKUP( T_ApifImport[[#This Row],[Bilans]], T_Bilansi[], 4, 0)</f>
        <v>4</v>
      </c>
      <c r="C363" s="239">
        <f>VLOOKUP( T_ApifImport[[#This Row],[ld]], T_Aop[], 4, 0)</f>
        <v>613</v>
      </c>
      <c r="D36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35517218</v>
      </c>
      <c r="E36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34162966</v>
      </c>
      <c r="F363"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3"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3"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3"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3"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3"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3"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3"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3" s="8">
        <v>364</v>
      </c>
      <c r="O363" s="8" t="s">
        <v>134</v>
      </c>
    </row>
    <row r="364" spans="2:15" x14ac:dyDescent="0.2">
      <c r="B364" s="45">
        <f>VLOOKUP( T_ApifImport[[#This Row],[Bilans]], T_Bilansi[], 4, 0)</f>
        <v>4</v>
      </c>
      <c r="C364" s="239">
        <f>VLOOKUP( T_ApifImport[[#This Row],[ld]], T_Aop[], 4, 0)</f>
        <v>614</v>
      </c>
      <c r="D36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427</v>
      </c>
      <c r="E36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1265</v>
      </c>
      <c r="F364"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4"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4"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4"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4"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4"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4"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4"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4" s="8">
        <v>365</v>
      </c>
      <c r="O364" s="8" t="s">
        <v>134</v>
      </c>
    </row>
    <row r="365" spans="2:15" x14ac:dyDescent="0.2">
      <c r="B365" s="45">
        <f>VLOOKUP( T_ApifImport[[#This Row],[Bilans]], T_Bilansi[], 4, 0)</f>
        <v>4</v>
      </c>
      <c r="C365" s="239">
        <f>VLOOKUP( T_ApifImport[[#This Row],[ld]], T_Aop[], 4, 0)</f>
        <v>615</v>
      </c>
      <c r="D36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5"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5"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5"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5"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5"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5"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5"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5"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5" s="8">
        <v>366</v>
      </c>
      <c r="O365" s="8" t="s">
        <v>134</v>
      </c>
    </row>
    <row r="366" spans="2:15" x14ac:dyDescent="0.2">
      <c r="B366" s="45">
        <f>VLOOKUP( T_ApifImport[[#This Row],[Bilans]], T_Bilansi[], 4, 0)</f>
        <v>4</v>
      </c>
      <c r="C366" s="239">
        <f>VLOOKUP( T_ApifImport[[#This Row],[ld]], T_Aop[], 4, 0)</f>
        <v>616</v>
      </c>
      <c r="D36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6"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6"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6"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6"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6"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6"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6"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6"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6" s="8">
        <v>367</v>
      </c>
      <c r="O366" s="8" t="s">
        <v>134</v>
      </c>
    </row>
    <row r="367" spans="2:15" x14ac:dyDescent="0.2">
      <c r="B367" s="45">
        <f>VLOOKUP( T_ApifImport[[#This Row],[Bilans]], T_Bilansi[], 4, 0)</f>
        <v>4</v>
      </c>
      <c r="C367" s="239">
        <f>VLOOKUP( T_ApifImport[[#This Row],[ld]], T_Aop[], 4, 0)</f>
        <v>617</v>
      </c>
      <c r="D36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7"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7"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7"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7"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7"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7"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7"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7"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7" s="8">
        <v>368</v>
      </c>
      <c r="O367" s="8" t="s">
        <v>134</v>
      </c>
    </row>
    <row r="368" spans="2:15" x14ac:dyDescent="0.2">
      <c r="B368" s="45">
        <f>VLOOKUP( T_ApifImport[[#This Row],[Bilans]], T_Bilansi[], 4, 0)</f>
        <v>4</v>
      </c>
      <c r="C368" s="239">
        <f>VLOOKUP( T_ApifImport[[#This Row],[ld]], T_Aop[], 4, 0)</f>
        <v>618</v>
      </c>
      <c r="D36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8"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8"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8"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8"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8"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8"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8"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8"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8" s="8">
        <v>369</v>
      </c>
      <c r="O368" s="8" t="s">
        <v>134</v>
      </c>
    </row>
    <row r="369" spans="2:15" x14ac:dyDescent="0.2">
      <c r="B369" s="45">
        <f>VLOOKUP( T_ApifImport[[#This Row],[Bilans]], T_Bilansi[], 4, 0)</f>
        <v>4</v>
      </c>
      <c r="C369" s="239">
        <f>VLOOKUP( T_ApifImport[[#This Row],[ld]], T_Aop[], 4, 0)</f>
        <v>619</v>
      </c>
      <c r="D36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815562</v>
      </c>
      <c r="E36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910087</v>
      </c>
      <c r="F369"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9"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9"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9"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9"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9"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9"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9"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9" s="8">
        <v>370</v>
      </c>
      <c r="O369" s="8" t="s">
        <v>134</v>
      </c>
    </row>
    <row r="370" spans="2:15" x14ac:dyDescent="0.2">
      <c r="B370" s="45">
        <f>VLOOKUP( T_ApifImport[[#This Row],[Bilans]], T_Bilansi[], 4, 0)</f>
        <v>4</v>
      </c>
      <c r="C370" s="239">
        <f>VLOOKUP( T_ApifImport[[#This Row],[ld]], T_Aop[], 4, 0)</f>
        <v>620</v>
      </c>
      <c r="D37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5325</v>
      </c>
      <c r="E37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6570</v>
      </c>
      <c r="F370"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0"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0"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0"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0"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0"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0"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0"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0" s="8">
        <v>371</v>
      </c>
      <c r="O370" s="8" t="s">
        <v>134</v>
      </c>
    </row>
    <row r="371" spans="2:15" x14ac:dyDescent="0.2">
      <c r="B371" s="45">
        <f>VLOOKUP( T_ApifImport[[#This Row],[Bilans]], T_Bilansi[], 4, 0)</f>
        <v>4</v>
      </c>
      <c r="C371" s="239">
        <f>VLOOKUP( T_ApifImport[[#This Row],[ld]], T_Aop[], 4, 0)</f>
        <v>621</v>
      </c>
      <c r="D37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1"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1"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1"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1"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1"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1"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1"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1"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1" s="8">
        <v>372</v>
      </c>
      <c r="O371" s="8" t="s">
        <v>134</v>
      </c>
    </row>
    <row r="372" spans="2:15" x14ac:dyDescent="0.2">
      <c r="B372" s="45">
        <f>VLOOKUP( T_ApifImport[[#This Row],[Bilans]], T_Bilansi[], 4, 0)</f>
        <v>4</v>
      </c>
      <c r="C372" s="239">
        <f>VLOOKUP( T_ApifImport[[#This Row],[ld]], T_Aop[], 4, 0)</f>
        <v>622</v>
      </c>
      <c r="D37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2"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2"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2"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2"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2"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2"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2"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2"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2" s="8">
        <v>373</v>
      </c>
      <c r="O372" s="8" t="s">
        <v>134</v>
      </c>
    </row>
    <row r="373" spans="2:15" x14ac:dyDescent="0.2">
      <c r="B373" s="45">
        <f>VLOOKUP( T_ApifImport[[#This Row],[Bilans]], T_Bilansi[], 4, 0)</f>
        <v>4</v>
      </c>
      <c r="C373" s="239">
        <f>VLOOKUP( T_ApifImport[[#This Row],[ld]], T_Aop[], 4, 0)</f>
        <v>623</v>
      </c>
      <c r="D37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124500</v>
      </c>
      <c r="E37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120370</v>
      </c>
      <c r="F373"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3"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3"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3"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3"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3"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3"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3"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3" s="8">
        <v>374</v>
      </c>
      <c r="O373" s="8" t="s">
        <v>134</v>
      </c>
    </row>
    <row r="374" spans="2:15" x14ac:dyDescent="0.2">
      <c r="B374" s="45">
        <f>VLOOKUP( T_ApifImport[[#This Row],[Bilans]], T_Bilansi[], 4, 0)</f>
        <v>4</v>
      </c>
      <c r="C374" s="239">
        <f>VLOOKUP( T_ApifImport[[#This Row],[ld]], T_Aop[], 4, 0)</f>
        <v>624</v>
      </c>
      <c r="D37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652337</v>
      </c>
      <c r="E37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738114</v>
      </c>
      <c r="F374"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4"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4"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4"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4"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4"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4"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4"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4" s="8">
        <v>375</v>
      </c>
      <c r="O374" s="8" t="s">
        <v>134</v>
      </c>
    </row>
    <row r="375" spans="2:15" x14ac:dyDescent="0.2">
      <c r="B375" s="45">
        <f>VLOOKUP( T_ApifImport[[#This Row],[Bilans]], T_Bilansi[], 4, 0)</f>
        <v>4</v>
      </c>
      <c r="C375" s="239">
        <f>VLOOKUP( T_ApifImport[[#This Row],[ld]], T_Aop[], 4, 0)</f>
        <v>625</v>
      </c>
      <c r="D37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5"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5"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5"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5"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5"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5"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5"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5"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5" s="8">
        <v>376</v>
      </c>
      <c r="O375" s="8" t="s">
        <v>134</v>
      </c>
    </row>
    <row r="376" spans="2:15" x14ac:dyDescent="0.2">
      <c r="B376" s="45">
        <f>VLOOKUP( T_ApifImport[[#This Row],[Bilans]], T_Bilansi[], 4, 0)</f>
        <v>4</v>
      </c>
      <c r="C376" s="239">
        <f>VLOOKUP( T_ApifImport[[#This Row],[ld]], T_Aop[], 4, 0)</f>
        <v>626</v>
      </c>
      <c r="D37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6"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6"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6"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6"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6"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6"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6"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6"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6" s="8">
        <v>377</v>
      </c>
      <c r="O376" s="8" t="s">
        <v>134</v>
      </c>
    </row>
    <row r="377" spans="2:15" x14ac:dyDescent="0.2">
      <c r="B377" s="45">
        <f>VLOOKUP( T_ApifImport[[#This Row],[Bilans]], T_Bilansi[], 4, 0)</f>
        <v>4</v>
      </c>
      <c r="C377" s="239">
        <f>VLOOKUP( T_ApifImport[[#This Row],[ld]], T_Aop[], 4, 0)</f>
        <v>627</v>
      </c>
      <c r="D37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33400</v>
      </c>
      <c r="E37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45033</v>
      </c>
      <c r="F377"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7"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7"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7"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7"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7"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7"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7"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7" s="8">
        <v>378</v>
      </c>
      <c r="O377" s="8" t="s">
        <v>134</v>
      </c>
    </row>
    <row r="378" spans="2:15" x14ac:dyDescent="0.2">
      <c r="B378" s="45">
        <f>VLOOKUP( T_ApifImport[[#This Row],[Bilans]], T_Bilansi[], 4, 0)</f>
        <v>4</v>
      </c>
      <c r="C378" s="239">
        <f>VLOOKUP( T_ApifImport[[#This Row],[ld]], T_Aop[], 4, 0)</f>
        <v>628</v>
      </c>
      <c r="D37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8"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8"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8"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8"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8"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8"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8"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8"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8" s="8">
        <v>379</v>
      </c>
      <c r="O378" s="8" t="s">
        <v>134</v>
      </c>
    </row>
    <row r="379" spans="2:15" x14ac:dyDescent="0.2">
      <c r="B379" s="45">
        <f>VLOOKUP( T_ApifImport[[#This Row],[Bilans]], T_Bilansi[], 4, 0)</f>
        <v>4</v>
      </c>
      <c r="C379" s="239">
        <f>VLOOKUP( T_ApifImport[[#This Row],[ld]], T_Aop[], 4, 0)</f>
        <v>629</v>
      </c>
      <c r="D37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553478</v>
      </c>
      <c r="E37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1429265</v>
      </c>
      <c r="F379"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9"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9"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9"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9"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9"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9"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9"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9" s="8">
        <v>380</v>
      </c>
      <c r="O379" s="8" t="s">
        <v>134</v>
      </c>
    </row>
    <row r="380" spans="2:15" x14ac:dyDescent="0.2">
      <c r="B380" s="45">
        <f>VLOOKUP( T_ApifImport[[#This Row],[Bilans]], T_Bilansi[], 4, 0)</f>
        <v>4</v>
      </c>
      <c r="C380" s="239">
        <f>VLOOKUP( T_ApifImport[[#This Row],[ld]], T_Aop[], 4, 0)</f>
        <v>630</v>
      </c>
      <c r="D38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0"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0"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0"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0"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0"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0"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0"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0"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0" s="8">
        <v>381</v>
      </c>
      <c r="O380" s="8" t="s">
        <v>134</v>
      </c>
    </row>
    <row r="381" spans="2:15" x14ac:dyDescent="0.2">
      <c r="B381" s="45">
        <f>VLOOKUP( T_ApifImport[[#This Row],[Bilans]], T_Bilansi[], 4, 0)</f>
        <v>4</v>
      </c>
      <c r="C381" s="239">
        <f>VLOOKUP( T_ApifImport[[#This Row],[ld]], T_Aop[], 4, 0)</f>
        <v>631</v>
      </c>
      <c r="D38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30359</v>
      </c>
      <c r="F381"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1"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1"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1"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1"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1"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1"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1"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1" s="8">
        <v>382</v>
      </c>
      <c r="O381" s="8" t="s">
        <v>134</v>
      </c>
    </row>
    <row r="382" spans="2:15" x14ac:dyDescent="0.2">
      <c r="B382" s="45">
        <f>VLOOKUP( T_ApifImport[[#This Row],[Bilans]], T_Bilansi[], 4, 0)</f>
        <v>4</v>
      </c>
      <c r="C382" s="239">
        <f>VLOOKUP( T_ApifImport[[#This Row],[ld]], T_Aop[], 4, 0)</f>
        <v>632</v>
      </c>
      <c r="D38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2"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2"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2"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2"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2"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2"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2"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2"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2" s="8">
        <v>383</v>
      </c>
      <c r="O382" s="8" t="s">
        <v>134</v>
      </c>
    </row>
    <row r="383" spans="2:15" x14ac:dyDescent="0.2">
      <c r="B383" s="45">
        <f>VLOOKUP( T_ApifImport[[#This Row],[Bilans]], T_Bilansi[], 4, 0)</f>
        <v>4</v>
      </c>
      <c r="C383" s="239">
        <f>VLOOKUP( T_ApifImport[[#This Row],[ld]], T_Aop[], 4, 0)</f>
        <v>633</v>
      </c>
      <c r="D38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3"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3"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3"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3"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3"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3"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3"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3"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3" s="8">
        <v>384</v>
      </c>
      <c r="O383" s="8" t="s">
        <v>134</v>
      </c>
    </row>
    <row r="384" spans="2:15" x14ac:dyDescent="0.2">
      <c r="B384" s="45">
        <f>VLOOKUP( T_ApifImport[[#This Row],[Bilans]], T_Bilansi[], 4, 0)</f>
        <v>4</v>
      </c>
      <c r="C384" s="239">
        <f>VLOOKUP( T_ApifImport[[#This Row],[ld]], T_Aop[], 4, 0)</f>
        <v>634</v>
      </c>
      <c r="D38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4"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4"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4"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4"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4"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4"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4"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4"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4" s="8">
        <v>385</v>
      </c>
      <c r="O384" s="8" t="s">
        <v>134</v>
      </c>
    </row>
    <row r="385" spans="2:15" x14ac:dyDescent="0.2">
      <c r="B385" s="45">
        <f>VLOOKUP( T_ApifImport[[#This Row],[Bilans]], T_Bilansi[], 4, 0)</f>
        <v>4</v>
      </c>
      <c r="C385" s="239">
        <f>VLOOKUP( T_ApifImport[[#This Row],[ld]], T_Aop[], 4, 0)</f>
        <v>635</v>
      </c>
      <c r="D38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14016944</v>
      </c>
      <c r="E38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12867440</v>
      </c>
      <c r="F385"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5"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5"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5"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5"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5"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5"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5"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5" s="8">
        <v>386</v>
      </c>
      <c r="O385" s="8" t="s">
        <v>134</v>
      </c>
    </row>
    <row r="386" spans="2:15" x14ac:dyDescent="0.2">
      <c r="B386" s="45">
        <f>VLOOKUP( T_ApifImport[[#This Row],[Bilans]], T_Bilansi[], 4, 0)</f>
        <v>4</v>
      </c>
      <c r="C386" s="239">
        <f>VLOOKUP( T_ApifImport[[#This Row],[ld]], T_Aop[], 4, 0)</f>
        <v>636</v>
      </c>
      <c r="D38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108056</v>
      </c>
      <c r="E38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92396</v>
      </c>
      <c r="F386"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6"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6"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6"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6"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6"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6"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6"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6" s="8">
        <v>387</v>
      </c>
      <c r="O386" s="8" t="s">
        <v>134</v>
      </c>
    </row>
    <row r="387" spans="2:15" x14ac:dyDescent="0.2">
      <c r="B387" s="45">
        <f>VLOOKUP( T_ApifImport[[#This Row],[Bilans]], T_Bilansi[], 4, 0)</f>
        <v>4</v>
      </c>
      <c r="C387" s="239">
        <f>VLOOKUP( T_ApifImport[[#This Row],[ld]], T_Aop[], 4, 0)</f>
        <v>637</v>
      </c>
      <c r="D38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14118</v>
      </c>
      <c r="E38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27665</v>
      </c>
      <c r="F387"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7"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7"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7"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7"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7"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7"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7"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7" s="8">
        <v>388</v>
      </c>
      <c r="O387" s="8" t="s">
        <v>134</v>
      </c>
    </row>
    <row r="388" spans="2:15" x14ac:dyDescent="0.2">
      <c r="B388" s="45">
        <f>VLOOKUP( T_ApifImport[[#This Row],[Bilans]], T_Bilansi[], 4, 0)</f>
        <v>4</v>
      </c>
      <c r="C388" s="239">
        <f>VLOOKUP( T_ApifImport[[#This Row],[ld]], T_Aop[], 4, 0)</f>
        <v>638</v>
      </c>
      <c r="D38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5371</v>
      </c>
      <c r="E38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6746</v>
      </c>
      <c r="F388"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8"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8"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8"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8"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8"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8"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8"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8" s="8">
        <v>389</v>
      </c>
      <c r="O388" s="8" t="s">
        <v>134</v>
      </c>
    </row>
    <row r="389" spans="2:15" x14ac:dyDescent="0.2">
      <c r="B389" s="45">
        <f>VLOOKUP( T_ApifImport[[#This Row],[Bilans]], T_Bilansi[], 4, 0)</f>
        <v>4</v>
      </c>
      <c r="C389" s="239">
        <f>VLOOKUP( T_ApifImport[[#This Row],[ld]], T_Aop[], 4, 0)</f>
        <v>639</v>
      </c>
      <c r="D38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856246</v>
      </c>
      <c r="E38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1198824</v>
      </c>
      <c r="F389"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9"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9"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9"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9"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9"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9"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9"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9" s="8">
        <v>390</v>
      </c>
      <c r="O389" s="8" t="s">
        <v>134</v>
      </c>
    </row>
    <row r="390" spans="2:15" x14ac:dyDescent="0.2">
      <c r="B390" s="45">
        <f>VLOOKUP( T_ApifImport[[#This Row],[Bilans]], T_Bilansi[], 4, 0)</f>
        <v>4</v>
      </c>
      <c r="C390" s="239">
        <f>VLOOKUP( T_ApifImport[[#This Row],[ld]], T_Aop[], 4, 0)</f>
        <v>640</v>
      </c>
      <c r="D39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0"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0"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0"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0"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0"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0"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0"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0"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0" s="8">
        <v>391</v>
      </c>
      <c r="O390" s="8" t="s">
        <v>134</v>
      </c>
    </row>
    <row r="391" spans="2:15" x14ac:dyDescent="0.2">
      <c r="B391" s="45">
        <f>VLOOKUP( T_ApifImport[[#This Row],[Bilans]], T_Bilansi[], 4, 0)</f>
        <v>4</v>
      </c>
      <c r="C391" s="239">
        <f>VLOOKUP( T_ApifImport[[#This Row],[ld]], T_Aop[], 4, 0)</f>
        <v>641</v>
      </c>
      <c r="D39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1"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1"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1"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1"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1"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1"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1"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1"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1" s="8">
        <v>392</v>
      </c>
      <c r="O391" s="8" t="s">
        <v>134</v>
      </c>
    </row>
    <row r="392" spans="2:15" x14ac:dyDescent="0.2">
      <c r="B392" s="45">
        <f>VLOOKUP( T_ApifImport[[#This Row],[Bilans]], T_Bilansi[], 4, 0)</f>
        <v>4</v>
      </c>
      <c r="C392" s="239">
        <f>VLOOKUP( T_ApifImport[[#This Row],[ld]], T_Aop[], 4, 0)</f>
        <v>642</v>
      </c>
      <c r="D39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126356</v>
      </c>
      <c r="E39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116267</v>
      </c>
      <c r="F392"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2"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2"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2"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2"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2"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2"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2"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2" s="8">
        <v>393</v>
      </c>
      <c r="O392" s="8" t="s">
        <v>134</v>
      </c>
    </row>
    <row r="393" spans="2:15" x14ac:dyDescent="0.2">
      <c r="B393" s="45">
        <f>VLOOKUP( T_ApifImport[[#This Row],[Bilans]], T_Bilansi[], 4, 0)</f>
        <v>4</v>
      </c>
      <c r="C393" s="239">
        <f>VLOOKUP( T_ApifImport[[#This Row],[ld]], T_Aop[], 4, 0)</f>
        <v>643</v>
      </c>
      <c r="D39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460649</v>
      </c>
      <c r="E39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912005</v>
      </c>
      <c r="F393"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3"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3"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3"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3"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3"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3"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3"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3" s="8">
        <v>394</v>
      </c>
      <c r="O393" s="8" t="s">
        <v>134</v>
      </c>
    </row>
    <row r="394" spans="2:15" x14ac:dyDescent="0.2">
      <c r="B394" s="45">
        <f>VLOOKUP( T_ApifImport[[#This Row],[Bilans]], T_Bilansi[], 4, 0)</f>
        <v>4</v>
      </c>
      <c r="C394" s="239">
        <f>VLOOKUP( T_ApifImport[[#This Row],[ld]], T_Aop[], 4, 0)</f>
        <v>644</v>
      </c>
      <c r="D39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19805</v>
      </c>
      <c r="E39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23153</v>
      </c>
      <c r="F394"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4"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4"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4"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4"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4"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4"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4"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4" s="8">
        <v>395</v>
      </c>
      <c r="O394" s="8" t="s">
        <v>134</v>
      </c>
    </row>
    <row r="395" spans="2:15" x14ac:dyDescent="0.2">
      <c r="B395" s="45">
        <f>VLOOKUP( T_ApifImport[[#This Row],[Bilans]], T_Bilansi[], 4, 0)</f>
        <v>4</v>
      </c>
      <c r="C395" s="239">
        <f>VLOOKUP( T_ApifImport[[#This Row],[ld]], T_Aop[], 4, 0)</f>
        <v>645</v>
      </c>
      <c r="D39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500</v>
      </c>
      <c r="E39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1856</v>
      </c>
      <c r="F395"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5"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5"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5"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5"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5"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5"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5"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5" s="8">
        <v>396</v>
      </c>
      <c r="O395" s="8" t="s">
        <v>134</v>
      </c>
    </row>
    <row r="396" spans="2:15" x14ac:dyDescent="0.2">
      <c r="B396" s="45">
        <f>VLOOKUP( T_ApifImport[[#This Row],[Bilans]], T_Bilansi[], 4, 0)</f>
        <v>4</v>
      </c>
      <c r="C396" s="239">
        <f>VLOOKUP( T_ApifImport[[#This Row],[ld]], T_Aop[], 4, 0)</f>
        <v>646</v>
      </c>
      <c r="D39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6"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6"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6"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6"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6"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6"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6"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6"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6" s="8">
        <v>397</v>
      </c>
      <c r="O396" s="8" t="s">
        <v>134</v>
      </c>
    </row>
    <row r="397" spans="2:15" x14ac:dyDescent="0.2">
      <c r="B397" s="45">
        <f>VLOOKUP( T_ApifImport[[#This Row],[Bilans]], T_Bilansi[], 4, 0)</f>
        <v>4</v>
      </c>
      <c r="C397" s="239">
        <f>VLOOKUP( T_ApifImport[[#This Row],[ld]], T_Aop[], 4, 0)</f>
        <v>647</v>
      </c>
      <c r="D39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248936</v>
      </c>
      <c r="E39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145543</v>
      </c>
      <c r="F397"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7"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7"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7"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7"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7"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7"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7"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7" s="8">
        <v>398</v>
      </c>
      <c r="O397" s="8" t="s">
        <v>134</v>
      </c>
    </row>
    <row r="398" spans="2:15" x14ac:dyDescent="0.2">
      <c r="B398" s="45">
        <f>VLOOKUP( T_ApifImport[[#This Row],[Bilans]], T_Bilansi[], 4, 0)</f>
        <v>4</v>
      </c>
      <c r="C398" s="239">
        <f>VLOOKUP( T_ApifImport[[#This Row],[ld]], T_Aop[], 4, 0)</f>
        <v>648</v>
      </c>
      <c r="D39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150415</v>
      </c>
      <c r="E39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63888</v>
      </c>
      <c r="F398"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8"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8"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8"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8"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8"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8"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8"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8" s="8">
        <v>399</v>
      </c>
      <c r="O398" s="8" t="s">
        <v>134</v>
      </c>
    </row>
    <row r="399" spans="2:15" x14ac:dyDescent="0.2">
      <c r="B399" s="45">
        <f>VLOOKUP( T_ApifImport[[#This Row],[Bilans]], T_Bilansi[], 4, 0)</f>
        <v>4</v>
      </c>
      <c r="C399" s="239">
        <f>VLOOKUP( T_ApifImport[[#This Row],[ld]], T_Aop[], 4, 0)</f>
        <v>649</v>
      </c>
      <c r="D39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3884515</v>
      </c>
      <c r="E39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3846921</v>
      </c>
      <c r="F399"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9"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9"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9"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9"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9"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9"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9"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9" s="8">
        <v>400</v>
      </c>
      <c r="O399" s="8" t="s">
        <v>134</v>
      </c>
    </row>
    <row r="400" spans="2:15" x14ac:dyDescent="0.2">
      <c r="B400" s="45">
        <f>VLOOKUP( T_ApifImport[[#This Row],[Bilans]], T_Bilansi[], 4, 0)</f>
        <v>4</v>
      </c>
      <c r="C400" s="239">
        <f>VLOOKUP( T_ApifImport[[#This Row],[ld]], T_Aop[], 4, 0)</f>
        <v>650</v>
      </c>
      <c r="D40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184169</v>
      </c>
      <c r="E40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180822</v>
      </c>
      <c r="F400"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0"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0"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0"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0"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0"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0"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0"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0" s="8">
        <v>401</v>
      </c>
      <c r="O400" s="8" t="s">
        <v>134</v>
      </c>
    </row>
    <row r="401" spans="2:15" x14ac:dyDescent="0.2">
      <c r="B401" s="45">
        <f>VLOOKUP( T_ApifImport[[#This Row],[Bilans]], T_Bilansi[], 4, 0)</f>
        <v>4</v>
      </c>
      <c r="C401" s="239">
        <f>VLOOKUP( T_ApifImport[[#This Row],[ld]], T_Aop[], 4, 0)</f>
        <v>651</v>
      </c>
      <c r="D40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10319</v>
      </c>
      <c r="E40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17941</v>
      </c>
      <c r="F401"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1"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1"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1"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1"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1"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1"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1"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1" s="8">
        <v>402</v>
      </c>
      <c r="O401" s="8" t="s">
        <v>134</v>
      </c>
    </row>
    <row r="402" spans="2:15" x14ac:dyDescent="0.2">
      <c r="B402" s="45">
        <f>VLOOKUP( T_ApifImport[[#This Row],[Bilans]], T_Bilansi[], 4, 0)</f>
        <v>4</v>
      </c>
      <c r="C402" s="239">
        <f>VLOOKUP( T_ApifImport[[#This Row],[ld]], T_Aop[], 4, 0)</f>
        <v>652</v>
      </c>
      <c r="D40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2"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2"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2"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2"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2"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2"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2"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2"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2" s="8">
        <v>403</v>
      </c>
      <c r="O402" s="8" t="s">
        <v>134</v>
      </c>
    </row>
    <row r="403" spans="2:15" x14ac:dyDescent="0.2">
      <c r="B403" s="45">
        <f>VLOOKUP( T_ApifImport[[#This Row],[Bilans]], T_Bilansi[], 4, 0)</f>
        <v>4</v>
      </c>
      <c r="C403" s="239">
        <f>VLOOKUP( T_ApifImport[[#This Row],[ld]], T_Aop[], 4, 0)</f>
        <v>653</v>
      </c>
      <c r="D40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28140</v>
      </c>
      <c r="E40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29198</v>
      </c>
      <c r="F403"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3"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3"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3"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3"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3"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3"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3"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3" s="8">
        <v>404</v>
      </c>
      <c r="O403" s="8" t="s">
        <v>134</v>
      </c>
    </row>
    <row r="404" spans="2:15" x14ac:dyDescent="0.2">
      <c r="B404" s="45">
        <f>VLOOKUP( T_ApifImport[[#This Row],[Bilans]], T_Bilansi[], 4, 0)</f>
        <v>4</v>
      </c>
      <c r="C404" s="239">
        <f>VLOOKUP( T_ApifImport[[#This Row],[ld]], T_Aop[], 4, 0)</f>
        <v>654</v>
      </c>
      <c r="D40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130061</v>
      </c>
      <c r="E40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115734</v>
      </c>
      <c r="F404"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4"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4"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4"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4"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4"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4"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4"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4" s="8">
        <v>405</v>
      </c>
      <c r="O404" s="8" t="s">
        <v>134</v>
      </c>
    </row>
    <row r="405" spans="2:15" x14ac:dyDescent="0.2">
      <c r="B405" s="45">
        <f>VLOOKUP( T_ApifImport[[#This Row],[Bilans]], T_Bilansi[], 4, 0)</f>
        <v>4</v>
      </c>
      <c r="C405" s="239">
        <f>VLOOKUP( T_ApifImport[[#This Row],[ld]], T_Aop[], 4, 0)</f>
        <v>655</v>
      </c>
      <c r="D40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9208</v>
      </c>
      <c r="E40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8915</v>
      </c>
      <c r="F405"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5"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5"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5"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5"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5"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5"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5"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5" s="8">
        <v>406</v>
      </c>
      <c r="O405" s="8" t="s">
        <v>134</v>
      </c>
    </row>
    <row r="406" spans="2:15" x14ac:dyDescent="0.2">
      <c r="B406" s="45">
        <f>VLOOKUP( T_ApifImport[[#This Row],[Bilans]], T_Bilansi[], 4, 0)</f>
        <v>4</v>
      </c>
      <c r="C406" s="239">
        <f>VLOOKUP( T_ApifImport[[#This Row],[ld]], T_Aop[], 4, 0)</f>
        <v>656</v>
      </c>
      <c r="D40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15494</v>
      </c>
      <c r="E40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11336</v>
      </c>
      <c r="F406"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6"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6"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6"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6"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6"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6"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6"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6" s="8">
        <v>407</v>
      </c>
      <c r="O406" s="8" t="s">
        <v>134</v>
      </c>
    </row>
    <row r="407" spans="2:15" x14ac:dyDescent="0.2">
      <c r="B407" s="45">
        <f>VLOOKUP( T_ApifImport[[#This Row],[Bilans]], T_Bilansi[], 4, 0)</f>
        <v>4</v>
      </c>
      <c r="C407" s="239">
        <f>VLOOKUP( T_ApifImport[[#This Row],[ld]], T_Aop[], 4, 0)</f>
        <v>657</v>
      </c>
      <c r="D40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7"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7"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7"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7"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7"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7"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7"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7"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7" s="8">
        <v>408</v>
      </c>
      <c r="O407" s="8" t="s">
        <v>134</v>
      </c>
    </row>
    <row r="408" spans="2:15" x14ac:dyDescent="0.2">
      <c r="B408" s="45">
        <f>VLOOKUP( T_ApifImport[[#This Row],[Bilans]], T_Bilansi[], 4, 0)</f>
        <v>4</v>
      </c>
      <c r="C408" s="239">
        <f>VLOOKUP( T_ApifImport[[#This Row],[ld]], T_Aop[], 4, 0)</f>
        <v>658</v>
      </c>
      <c r="D40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124988</v>
      </c>
      <c r="E40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112043</v>
      </c>
      <c r="F408"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8"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8"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8"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8"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8"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8"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8"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8" s="8">
        <v>409</v>
      </c>
      <c r="O408" s="8" t="s">
        <v>134</v>
      </c>
    </row>
    <row r="409" spans="2:15" x14ac:dyDescent="0.2">
      <c r="B409" s="45">
        <f>VLOOKUP( T_ApifImport[[#This Row],[Bilans]], T_Bilansi[], 4, 0)</f>
        <v>4</v>
      </c>
      <c r="C409" s="239">
        <f>VLOOKUP( T_ApifImport[[#This Row],[ld]], T_Aop[], 4, 0)</f>
        <v>659</v>
      </c>
      <c r="D40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3392455</v>
      </c>
      <c r="E40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3388873</v>
      </c>
      <c r="F409"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9"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9"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9"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9"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9"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9"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9"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9" s="8">
        <v>410</v>
      </c>
      <c r="O409" s="8" t="s">
        <v>134</v>
      </c>
    </row>
    <row r="410" spans="2:15" x14ac:dyDescent="0.2">
      <c r="B410" s="45">
        <f>VLOOKUP( T_ApifImport[[#This Row],[Bilans]], T_Bilansi[], 4, 0)</f>
        <v>4</v>
      </c>
      <c r="C410" s="239">
        <f>VLOOKUP( T_ApifImport[[#This Row],[ld]], T_Aop[], 4, 0)</f>
        <v>660</v>
      </c>
      <c r="D41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0"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0"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0"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0"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0"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0"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0"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0"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0" s="8">
        <v>411</v>
      </c>
      <c r="O410" s="8" t="s">
        <v>134</v>
      </c>
    </row>
    <row r="411" spans="2:15" x14ac:dyDescent="0.2">
      <c r="B411" s="45">
        <f>VLOOKUP( T_ApifImport[[#This Row],[Bilans]], T_Bilansi[], 4, 0)</f>
        <v>4</v>
      </c>
      <c r="C411" s="239">
        <f>VLOOKUP( T_ApifImport[[#This Row],[ld]], T_Aop[], 4, 0)</f>
        <v>661</v>
      </c>
      <c r="D41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6126110</v>
      </c>
      <c r="E41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5872207</v>
      </c>
      <c r="F411"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1"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1"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1"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1"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1"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1"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1"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1" s="8">
        <v>412</v>
      </c>
      <c r="O411" s="8" t="s">
        <v>134</v>
      </c>
    </row>
    <row r="412" spans="2:15" x14ac:dyDescent="0.2">
      <c r="B412" s="45">
        <f>VLOOKUP( T_ApifImport[[#This Row],[Bilans]], T_Bilansi[], 4, 0)</f>
        <v>4</v>
      </c>
      <c r="C412" s="239">
        <f>VLOOKUP( T_ApifImport[[#This Row],[ld]], T_Aop[], 4, 0)</f>
        <v>662</v>
      </c>
      <c r="D41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3002442</v>
      </c>
      <c r="E41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3290193</v>
      </c>
      <c r="F412"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2"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2"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2"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2"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2"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2"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2"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2" s="8">
        <v>413</v>
      </c>
      <c r="O412" s="8" t="s">
        <v>134</v>
      </c>
    </row>
    <row r="413" spans="2:15" x14ac:dyDescent="0.2">
      <c r="B413" s="45">
        <f>VLOOKUP( T_ApifImport[[#This Row],[Bilans]], T_Bilansi[], 4, 0)</f>
        <v>4</v>
      </c>
      <c r="C413" s="239">
        <f>VLOOKUP( T_ApifImport[[#This Row],[ld]], T_Aop[], 4, 0)</f>
        <v>663</v>
      </c>
      <c r="D41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304709</v>
      </c>
      <c r="E41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222500</v>
      </c>
      <c r="F413"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3"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3"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3"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3"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3"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3"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3"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3" s="8">
        <v>414</v>
      </c>
      <c r="O413" s="8" t="s">
        <v>134</v>
      </c>
    </row>
    <row r="414" spans="2:15" x14ac:dyDescent="0.2">
      <c r="B414" s="45">
        <f>VLOOKUP( T_ApifImport[[#This Row],[Bilans]], T_Bilansi[], 4, 0)</f>
        <v>4</v>
      </c>
      <c r="C414" s="239">
        <f>VLOOKUP( T_ApifImport[[#This Row],[ld]], T_Aop[], 4, 0)</f>
        <v>664</v>
      </c>
      <c r="D41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4"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4"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4"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4"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4"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4"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4"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4"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4" s="8">
        <v>415</v>
      </c>
      <c r="O414" s="8" t="s">
        <v>134</v>
      </c>
    </row>
    <row r="415" spans="2:15" x14ac:dyDescent="0.2">
      <c r="B415" s="45">
        <f>VLOOKUP( T_ApifImport[[#This Row],[Bilans]], T_Bilansi[], 4, 0)</f>
        <v>4</v>
      </c>
      <c r="C415" s="239">
        <f>VLOOKUP( T_ApifImport[[#This Row],[ld]], T_Aop[], 4, 0)</f>
        <v>665</v>
      </c>
      <c r="D41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5"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5"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5"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5"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5"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5"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5"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5"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5" s="8">
        <v>416</v>
      </c>
      <c r="O415" s="8" t="s">
        <v>134</v>
      </c>
    </row>
    <row r="416" spans="2:15" x14ac:dyDescent="0.2">
      <c r="B416" s="45">
        <f>VLOOKUP( T_ApifImport[[#This Row],[Bilans]], T_Bilansi[], 4, 0)</f>
        <v>4</v>
      </c>
      <c r="C416" s="239">
        <f>VLOOKUP( T_ApifImport[[#This Row],[ld]], T_Aop[], 4, 0)</f>
        <v>666</v>
      </c>
      <c r="D41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6"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6"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6"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6"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6"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6"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6"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6"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6" s="8">
        <v>417</v>
      </c>
      <c r="O416" s="8" t="s">
        <v>134</v>
      </c>
    </row>
    <row r="417" spans="2:15" x14ac:dyDescent="0.2">
      <c r="B417" s="45">
        <f>VLOOKUP( T_ApifImport[[#This Row],[Bilans]], T_Bilansi[], 4, 0)</f>
        <v>4</v>
      </c>
      <c r="C417" s="239">
        <f>VLOOKUP( T_ApifImport[[#This Row],[ld]], T_Aop[], 4, 0)</f>
        <v>667</v>
      </c>
      <c r="D41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7"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7"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7"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7"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7"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7"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7"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7"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7" s="8">
        <v>418</v>
      </c>
      <c r="O417" s="8" t="s">
        <v>134</v>
      </c>
    </row>
    <row r="418" spans="2:15" x14ac:dyDescent="0.2">
      <c r="B418" s="45">
        <f>VLOOKUP( T_ApifImport[[#This Row],[Bilans]], T_Bilansi[], 4, 0)</f>
        <v>4</v>
      </c>
      <c r="C418" s="239">
        <f>VLOOKUP( T_ApifImport[[#This Row],[ld]], T_Aop[], 4, 0)</f>
        <v>668</v>
      </c>
      <c r="D41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8"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8"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8"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8"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8"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8"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8"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8"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8" s="8">
        <v>419</v>
      </c>
      <c r="O418" s="8" t="s">
        <v>134</v>
      </c>
    </row>
    <row r="419" spans="2:15" x14ac:dyDescent="0.2">
      <c r="B419" s="45">
        <f>VLOOKUP( T_ApifImport[[#This Row],[Bilans]], T_Bilansi[], 4, 0)</f>
        <v>4</v>
      </c>
      <c r="C419" s="239">
        <f>VLOOKUP( T_ApifImport[[#This Row],[ld]], T_Aop[], 4, 0)</f>
        <v>669</v>
      </c>
      <c r="D41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9" s="24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9" s="24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9" s="24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9" s="24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9" s="24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9" s="24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9" s="24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9" s="24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9" s="8">
        <v>420</v>
      </c>
      <c r="O419" s="8" t="s">
        <v>134</v>
      </c>
    </row>
    <row r="420" spans="2:15" x14ac:dyDescent="0.2">
      <c r="B420" s="474">
        <f>VLOOKUP( T_ApifImport[[#This Row],[Bilans]], T_Bilansi[], 4, 0)</f>
        <v>4</v>
      </c>
      <c r="C420" s="475">
        <f>VLOOKUP( T_ApifImport[[#This Row],[ld]], T_Aop[], 4, 0)</f>
        <v>670</v>
      </c>
      <c r="D420" s="476"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694327</v>
      </c>
      <c r="E420" s="476">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715150</v>
      </c>
      <c r="F420" s="476"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20" s="476"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20" s="476"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20" s="28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20" s="28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20" s="28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20" s="28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20" s="28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20" s="8">
        <v>421</v>
      </c>
      <c r="O420" s="8" t="s">
        <v>134</v>
      </c>
    </row>
    <row r="421" spans="2:15" x14ac:dyDescent="0.2">
      <c r="B421" s="45">
        <f>VLOOKUP( T_ApifImport[[#This Row],[Bilans]], T_Bilansi[], 4, 0)</f>
        <v>6</v>
      </c>
      <c r="C421" s="239">
        <f>VLOOKUP( T_ApifImport[[#This Row],[ld]], T_Aop[], 4, 0)</f>
        <v>901</v>
      </c>
      <c r="D42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15795899</v>
      </c>
      <c r="E42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1"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13419506</v>
      </c>
      <c r="G421"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27527089</v>
      </c>
      <c r="H421" s="240">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1" s="240">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1" s="240">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39291931</v>
      </c>
      <c r="K421" s="240">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96034425</v>
      </c>
      <c r="L421" s="240">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1" s="240">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96034425</v>
      </c>
      <c r="N421" s="8">
        <v>423</v>
      </c>
      <c r="O421" s="276" t="s">
        <v>135</v>
      </c>
    </row>
    <row r="422" spans="2:15" x14ac:dyDescent="0.2">
      <c r="B422" s="45">
        <f>VLOOKUP( T_ApifImport[[#This Row],[Bilans]], T_Bilansi[], 4, 0)</f>
        <v>6</v>
      </c>
      <c r="C422" s="239">
        <f>VLOOKUP( T_ApifImport[[#This Row],[ld]], T_Aop[], 4, 0)</f>
        <v>902</v>
      </c>
      <c r="D42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2"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2"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2" s="240">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2" s="240">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2" s="240">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2" s="240">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2" s="240">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2" s="240">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2" s="8">
        <v>425</v>
      </c>
      <c r="O422" s="276" t="s">
        <v>135</v>
      </c>
    </row>
    <row r="423" spans="2:15" x14ac:dyDescent="0.2">
      <c r="B423" s="45">
        <f>VLOOKUP( T_ApifImport[[#This Row],[Bilans]], T_Bilansi[], 4, 0)</f>
        <v>6</v>
      </c>
      <c r="C423" s="239">
        <f>VLOOKUP( T_ApifImport[[#This Row],[ld]], T_Aop[], 4, 0)</f>
        <v>903</v>
      </c>
      <c r="D42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3"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3"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3" s="240">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3" s="240">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3" s="240">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3" s="240">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3" s="240">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3" s="240">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3" s="8">
        <v>426</v>
      </c>
      <c r="O423" s="276" t="s">
        <v>135</v>
      </c>
    </row>
    <row r="424" spans="2:15" x14ac:dyDescent="0.2">
      <c r="B424" s="45">
        <f>VLOOKUP( T_ApifImport[[#This Row],[Bilans]], T_Bilansi[], 4, 0)</f>
        <v>6</v>
      </c>
      <c r="C424" s="239">
        <f>VLOOKUP( T_ApifImport[[#This Row],[ld]], T_Aop[], 4, 0)</f>
        <v>904</v>
      </c>
      <c r="D42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15795899</v>
      </c>
      <c r="E42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4"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13419506</v>
      </c>
      <c r="G424"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27527089</v>
      </c>
      <c r="H424" s="240">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4" s="240">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4" s="240">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39291931</v>
      </c>
      <c r="K424" s="240">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96034425</v>
      </c>
      <c r="L424" s="240">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4" s="240">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96034425</v>
      </c>
      <c r="N424" s="8">
        <v>427</v>
      </c>
      <c r="O424" s="276" t="s">
        <v>135</v>
      </c>
    </row>
    <row r="425" spans="2:15" x14ac:dyDescent="0.2">
      <c r="B425" s="45">
        <f>VLOOKUP( T_ApifImport[[#This Row],[Bilans]], T_Bilansi[], 4, 0)</f>
        <v>6</v>
      </c>
      <c r="C425" s="239">
        <f>VLOOKUP( T_ApifImport[[#This Row],[ld]], T_Aop[], 4, 0)</f>
        <v>905</v>
      </c>
      <c r="D42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5"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5"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5" s="240">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5" s="240">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5" s="240">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2071193</v>
      </c>
      <c r="K425" s="240">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2071193</v>
      </c>
      <c r="L425" s="240">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5" s="240">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2071193</v>
      </c>
      <c r="N425" s="8">
        <v>429</v>
      </c>
      <c r="O425" s="276" t="s">
        <v>135</v>
      </c>
    </row>
    <row r="426" spans="2:15" x14ac:dyDescent="0.2">
      <c r="B426" s="45">
        <f>VLOOKUP( T_ApifImport[[#This Row],[Bilans]], T_Bilansi[], 4, 0)</f>
        <v>6</v>
      </c>
      <c r="C426" s="239">
        <f>VLOOKUP( T_ApifImport[[#This Row],[ld]], T_Aop[], 4, 0)</f>
        <v>906</v>
      </c>
      <c r="D42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6"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6"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-2221258</v>
      </c>
      <c r="H426" s="240">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6" s="240">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6" s="240">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2221258</v>
      </c>
      <c r="K426" s="240">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6" s="240">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6" s="240">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6" s="8">
        <v>430</v>
      </c>
      <c r="O426" s="276" t="s">
        <v>135</v>
      </c>
    </row>
    <row r="427" spans="2:15" x14ac:dyDescent="0.2">
      <c r="B427" s="45">
        <f>VLOOKUP( T_ApifImport[[#This Row],[Bilans]], T_Bilansi[], 4, 0)</f>
        <v>6</v>
      </c>
      <c r="C427" s="239">
        <f>VLOOKUP( T_ApifImport[[#This Row],[ld]], T_Aop[], 4, 0)</f>
        <v>907</v>
      </c>
      <c r="D42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7"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7"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-2221258</v>
      </c>
      <c r="H427" s="240">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7" s="240">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7" s="240">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4292451</v>
      </c>
      <c r="K427" s="240">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2071193</v>
      </c>
      <c r="L427" s="240">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7" s="240">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2071193</v>
      </c>
      <c r="N427" s="8">
        <v>431</v>
      </c>
      <c r="O427" s="276" t="s">
        <v>135</v>
      </c>
    </row>
    <row r="428" spans="2:15" x14ac:dyDescent="0.2">
      <c r="B428" s="45">
        <f>VLOOKUP( T_ApifImport[[#This Row],[Bilans]], T_Bilansi[], 4, 0)</f>
        <v>6</v>
      </c>
      <c r="C428" s="239">
        <f>VLOOKUP( T_ApifImport[[#This Row],[ld]], T_Aop[], 4, 0)</f>
        <v>908</v>
      </c>
      <c r="D42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8"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8"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8" s="240">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8" s="240">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8" s="240">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8" s="240">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8" s="240">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8" s="240">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8" s="8">
        <v>433</v>
      </c>
      <c r="O428" s="276" t="s">
        <v>135</v>
      </c>
    </row>
    <row r="429" spans="2:15" x14ac:dyDescent="0.2">
      <c r="B429" s="45">
        <f>VLOOKUP( T_ApifImport[[#This Row],[Bilans]], T_Bilansi[], 4, 0)</f>
        <v>6</v>
      </c>
      <c r="C429" s="239">
        <f>VLOOKUP( T_ApifImport[[#This Row],[ld]], T_Aop[], 4, 0)</f>
        <v>909</v>
      </c>
      <c r="D42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9"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9"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9" s="240">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9" s="240">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9" s="240">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9" s="240">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9" s="240">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9" s="240">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9" s="8">
        <v>434</v>
      </c>
      <c r="O429" s="276" t="s">
        <v>135</v>
      </c>
    </row>
    <row r="430" spans="2:15" x14ac:dyDescent="0.2">
      <c r="B430" s="45">
        <f>VLOOKUP( T_ApifImport[[#This Row],[Bilans]], T_Bilansi[], 4, 0)</f>
        <v>6</v>
      </c>
      <c r="C430" s="239">
        <f>VLOOKUP( T_ApifImport[[#This Row],[ld]], T_Aop[], 4, 0)</f>
        <v>910</v>
      </c>
      <c r="D43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0"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0"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0" s="240">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0" s="240">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0" s="240">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0" s="240">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0" s="240">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0" s="240">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0" s="8">
        <v>435</v>
      </c>
      <c r="O430" s="276" t="s">
        <v>135</v>
      </c>
    </row>
    <row r="431" spans="2:15" x14ac:dyDescent="0.2">
      <c r="B431" s="45">
        <f>VLOOKUP( T_ApifImport[[#This Row],[Bilans]], T_Bilansi[], 4, 0)</f>
        <v>6</v>
      </c>
      <c r="C431" s="239">
        <f>VLOOKUP( T_ApifImport[[#This Row],[ld]], T_Aop[], 4, 0)</f>
        <v>911</v>
      </c>
      <c r="D43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1"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148221</v>
      </c>
      <c r="G431"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1" s="240">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1" s="240">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1" s="240">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-148221</v>
      </c>
      <c r="K431" s="240">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1" s="240">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1" s="240">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1" s="8">
        <v>436</v>
      </c>
      <c r="O431" s="276" t="s">
        <v>135</v>
      </c>
    </row>
    <row r="432" spans="2:15" x14ac:dyDescent="0.2">
      <c r="B432" s="45">
        <f>VLOOKUP( T_ApifImport[[#This Row],[Bilans]], T_Bilansi[], 4, 0)</f>
        <v>6</v>
      </c>
      <c r="C432" s="239">
        <f>VLOOKUP( T_ApifImport[[#This Row],[ld]], T_Aop[], 4, 0)</f>
        <v>912</v>
      </c>
      <c r="D43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2"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1170685</v>
      </c>
      <c r="G432"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2" s="240">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2" s="240">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2" s="240">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2" s="240">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1170685</v>
      </c>
      <c r="L432" s="240">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2" s="240">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1170685</v>
      </c>
      <c r="N432" s="8">
        <v>437</v>
      </c>
      <c r="O432" s="276" t="s">
        <v>135</v>
      </c>
    </row>
    <row r="433" spans="2:15" x14ac:dyDescent="0.2">
      <c r="B433" s="45">
        <f>VLOOKUP( T_ApifImport[[#This Row],[Bilans]], T_Bilansi[], 4, 0)</f>
        <v>6</v>
      </c>
      <c r="C433" s="239">
        <f>VLOOKUP( T_ApifImport[[#This Row],[ld]], T_Aop[], 4, 0)</f>
        <v>913</v>
      </c>
      <c r="D43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15795899</v>
      </c>
      <c r="E43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3"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14738412</v>
      </c>
      <c r="G433"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25305831</v>
      </c>
      <c r="H433" s="240">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3" s="240">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3" s="240">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43436161</v>
      </c>
      <c r="K433" s="240">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99276303</v>
      </c>
      <c r="L433" s="240">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3" s="240">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99276303</v>
      </c>
      <c r="N433" s="8">
        <v>439</v>
      </c>
      <c r="O433" s="276" t="s">
        <v>135</v>
      </c>
    </row>
    <row r="434" spans="2:15" x14ac:dyDescent="0.2">
      <c r="B434" s="45">
        <f>VLOOKUP( T_ApifImport[[#This Row],[Bilans]], T_Bilansi[], 4, 0)</f>
        <v>6</v>
      </c>
      <c r="C434" s="239">
        <f>VLOOKUP( T_ApifImport[[#This Row],[ld]], T_Aop[], 4, 0)</f>
        <v>914</v>
      </c>
      <c r="D43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4"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4"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4" s="240">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4" s="240">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4" s="240">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4" s="240">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4" s="240">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4" s="240">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4" s="8">
        <v>441</v>
      </c>
      <c r="O434" s="276" t="s">
        <v>135</v>
      </c>
    </row>
    <row r="435" spans="2:15" x14ac:dyDescent="0.2">
      <c r="B435" s="45">
        <f>VLOOKUP( T_ApifImport[[#This Row],[Bilans]], T_Bilansi[], 4, 0)</f>
        <v>6</v>
      </c>
      <c r="C435" s="239">
        <f>VLOOKUP( T_ApifImport[[#This Row],[ld]], T_Aop[], 4, 0)</f>
        <v>915</v>
      </c>
      <c r="D435"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5"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5"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5"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15902973</v>
      </c>
      <c r="H435" s="240">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5" s="240">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5" s="240">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36206</v>
      </c>
      <c r="K435" s="240">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15939179</v>
      </c>
      <c r="L435" s="240">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5" s="240">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15939179</v>
      </c>
      <c r="N435" s="8">
        <v>442</v>
      </c>
      <c r="O435" s="276" t="s">
        <v>135</v>
      </c>
    </row>
    <row r="436" spans="2:15" x14ac:dyDescent="0.2">
      <c r="B436" s="45">
        <f>VLOOKUP( T_ApifImport[[#This Row],[Bilans]], T_Bilansi[], 4, 0)</f>
        <v>6</v>
      </c>
      <c r="C436" s="239">
        <f>VLOOKUP( T_ApifImport[[#This Row],[ld]], T_Aop[], 4, 0)</f>
        <v>916</v>
      </c>
      <c r="D436"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15795899</v>
      </c>
      <c r="E436"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6"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14738412</v>
      </c>
      <c r="G436"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41208804</v>
      </c>
      <c r="H436" s="240">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6" s="240">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6" s="240">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43472367</v>
      </c>
      <c r="K436" s="240">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115215482</v>
      </c>
      <c r="L436" s="240">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6" s="240">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115215482</v>
      </c>
      <c r="N436" s="8">
        <v>443</v>
      </c>
      <c r="O436" s="276" t="s">
        <v>135</v>
      </c>
    </row>
    <row r="437" spans="2:15" x14ac:dyDescent="0.2">
      <c r="B437" s="45">
        <f>VLOOKUP( T_ApifImport[[#This Row],[Bilans]], T_Bilansi[], 4, 0)</f>
        <v>6</v>
      </c>
      <c r="C437" s="239">
        <f>VLOOKUP( T_ApifImport[[#This Row],[ld]], T_Aop[], 4, 0)</f>
        <v>917</v>
      </c>
      <c r="D437"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7"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7"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7"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7" s="240">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7" s="240">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7" s="240">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500825</v>
      </c>
      <c r="K437" s="240">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500825</v>
      </c>
      <c r="L437" s="240">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7" s="240">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500825</v>
      </c>
      <c r="N437" s="8">
        <v>445</v>
      </c>
      <c r="O437" s="276" t="s">
        <v>135</v>
      </c>
    </row>
    <row r="438" spans="2:15" x14ac:dyDescent="0.2">
      <c r="B438" s="45">
        <f>VLOOKUP( T_ApifImport[[#This Row],[Bilans]], T_Bilansi[], 4, 0)</f>
        <v>6</v>
      </c>
      <c r="C438" s="239">
        <f>VLOOKUP( T_ApifImport[[#This Row],[ld]], T_Aop[], 4, 0)</f>
        <v>918</v>
      </c>
      <c r="D438"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8"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8"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8"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-2011268</v>
      </c>
      <c r="H438" s="240">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8" s="240">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8" s="240">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2011268</v>
      </c>
      <c r="K438" s="240">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8" s="240">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8" s="240">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8" s="8">
        <v>446</v>
      </c>
      <c r="O438" s="276" t="s">
        <v>135</v>
      </c>
    </row>
    <row r="439" spans="2:15" x14ac:dyDescent="0.2">
      <c r="B439" s="45">
        <f>VLOOKUP( T_ApifImport[[#This Row],[Bilans]], T_Bilansi[], 4, 0)</f>
        <v>6</v>
      </c>
      <c r="C439" s="239">
        <f>VLOOKUP( T_ApifImport[[#This Row],[ld]], T_Aop[], 4, 0)</f>
        <v>919</v>
      </c>
      <c r="D439"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9"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9"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9"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-2011268</v>
      </c>
      <c r="H439" s="240">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9" s="240">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9" s="240">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2512093</v>
      </c>
      <c r="K439" s="240">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500825</v>
      </c>
      <c r="L439" s="240">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9" s="240">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500825</v>
      </c>
      <c r="N439" s="8">
        <v>447</v>
      </c>
      <c r="O439" s="276" t="s">
        <v>135</v>
      </c>
    </row>
    <row r="440" spans="2:15" x14ac:dyDescent="0.2">
      <c r="B440" s="45">
        <f>VLOOKUP( T_ApifImport[[#This Row],[Bilans]], T_Bilansi[], 4, 0)</f>
        <v>6</v>
      </c>
      <c r="C440" s="239">
        <f>VLOOKUP( T_ApifImport[[#This Row],[ld]], T_Aop[], 4, 0)</f>
        <v>920</v>
      </c>
      <c r="D440"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0"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0"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0"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0" s="240">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0" s="240">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0" s="240">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0" s="240">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0" s="240">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0" s="240">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0" s="8">
        <v>449</v>
      </c>
      <c r="O440" s="276" t="s">
        <v>135</v>
      </c>
    </row>
    <row r="441" spans="2:15" x14ac:dyDescent="0.2">
      <c r="B441" s="45">
        <f>VLOOKUP( T_ApifImport[[#This Row],[Bilans]], T_Bilansi[], 4, 0)</f>
        <v>6</v>
      </c>
      <c r="C441" s="239">
        <f>VLOOKUP( T_ApifImport[[#This Row],[ld]], T_Aop[], 4, 0)</f>
        <v>921</v>
      </c>
      <c r="D441"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1"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1"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1"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1" s="240">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1" s="240">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1" s="240">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1" s="240">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1" s="240">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1" s="240">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1" s="8">
        <v>450</v>
      </c>
      <c r="O441" s="276" t="s">
        <v>135</v>
      </c>
    </row>
    <row r="442" spans="2:15" x14ac:dyDescent="0.2">
      <c r="B442" s="45">
        <f>VLOOKUP( T_ApifImport[[#This Row],[Bilans]], T_Bilansi[], 4, 0)</f>
        <v>6</v>
      </c>
      <c r="C442" s="239">
        <f>VLOOKUP( T_ApifImport[[#This Row],[ld]], T_Aop[], 4, 0)</f>
        <v>922</v>
      </c>
      <c r="D442"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2"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2"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2"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2" s="240">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2" s="240">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2" s="240">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2" s="240">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2" s="240">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2" s="240">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2" s="8">
        <v>451</v>
      </c>
      <c r="O442" s="276" t="s">
        <v>135</v>
      </c>
    </row>
    <row r="443" spans="2:15" x14ac:dyDescent="0.2">
      <c r="B443" s="45">
        <f>VLOOKUP( T_ApifImport[[#This Row],[Bilans]], T_Bilansi[], 4, 0)</f>
        <v>6</v>
      </c>
      <c r="C443" s="239">
        <f>VLOOKUP( T_ApifImport[[#This Row],[ld]], T_Aop[], 4, 0)</f>
        <v>923</v>
      </c>
      <c r="D443"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3"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3"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214623</v>
      </c>
      <c r="G443"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3" s="240">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3" s="240">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3" s="240">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-429245</v>
      </c>
      <c r="K443" s="240">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-214622</v>
      </c>
      <c r="L443" s="240">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3" s="240">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-214622</v>
      </c>
      <c r="N443" s="8">
        <v>452</v>
      </c>
      <c r="O443" s="276" t="s">
        <v>135</v>
      </c>
    </row>
    <row r="444" spans="2:15" x14ac:dyDescent="0.2">
      <c r="B444" s="45">
        <f>VLOOKUP( T_ApifImport[[#This Row],[Bilans]], T_Bilansi[], 4, 0)</f>
        <v>6</v>
      </c>
      <c r="C444" s="239">
        <f>VLOOKUP( T_ApifImport[[#This Row],[ld]], T_Aop[], 4, 0)</f>
        <v>924</v>
      </c>
      <c r="D444" s="24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4" s="24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4" s="24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4" s="24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4" s="240">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4" s="240">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4" s="240">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4" s="240">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4" s="240">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4" s="240">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4" s="8">
        <v>453</v>
      </c>
      <c r="O444" s="276" t="s">
        <v>135</v>
      </c>
    </row>
    <row r="445" spans="2:15" x14ac:dyDescent="0.2">
      <c r="B445" s="541">
        <f>VLOOKUP( T_ApifImport[[#This Row],[Bilans]], T_Bilansi[], 4, 0)</f>
        <v>6</v>
      </c>
      <c r="C445" s="282">
        <f>VLOOKUP( T_ApifImport[[#This Row],[ld]], T_Aop[], 4, 0)</f>
        <v>925</v>
      </c>
      <c r="D445" s="28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15795899</v>
      </c>
      <c r="E445" s="28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5" s="28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14953035</v>
      </c>
      <c r="G445" s="28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39197536</v>
      </c>
      <c r="H445" s="28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5" s="28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5" s="28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45555215</v>
      </c>
      <c r="K445" s="28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115501685</v>
      </c>
      <c r="L445" s="28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5" s="28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115501685</v>
      </c>
      <c r="N445" s="8">
        <v>455</v>
      </c>
      <c r="O445" s="276" t="s">
        <v>135</v>
      </c>
    </row>
  </sheetData>
  <phoneticPr fontId="27" type="noConversion"/>
  <conditionalFormatting sqref="B1:N1 C398:C410 N137 N139 N141 N143 N145 N147 N149 N151 N153 N155 N157 N159 N161 N163 N165 N167 N169 N171 N173 N175 N177 N179 N181 N183 N185 N187 N189 N191 N193 N195 N197 N199 N201 N203 N205 N207 N209 N211 N213 N215 N217 N219 N221 N223 N225 N227 N229 N231 N233 N235 N237 N239 N241 N243 N245 N247 N249 N251 N253 N255 N257 N259 N261 N263 N265 N267 N269 N271 N273 N275 N277 N281 N283 N285 N287 N289 N291 N293 N295 N297 N299 N301 N303 N305 N307 N309 N311 N313 N315 N317 N319 N321 N323 N325 N327 N329 N331 N333 N335 N337 N339 N341 N343 N345 N347 N349 N351 N353 N355 N357 N359 N361 N363 N365 N367 N369 N371 N373 N375 N377 N379 N381 N383 N385 N387 N389 N391 N393 N395 N397 N399 N401 N403 N405 N407 N409 N411 N413 N415 N417 N419 N423 N426 N429 N431 N435 N438 N441 N443 N134:N135 N2:O133 C2:M12 C283:H397 O281:O419 I281:M419 C137:H278 O134:O278 I13:M278 C13:H135 C281:C282 E281:H282">
    <cfRule type="expression" dxfId="19" priority="73">
      <formula>$B2&lt;&gt;$B1</formula>
    </cfRule>
  </conditionalFormatting>
  <conditionalFormatting sqref="D398:H410 B2:B445">
    <cfRule type="expression" dxfId="18" priority="2527">
      <formula>#REF!&lt;&gt;$B2</formula>
    </cfRule>
  </conditionalFormatting>
  <conditionalFormatting sqref="C136:H136 N138 N140 N142 N144 N146 N148 N150 N152 N154 N156 N158 N160 N162 N164 N166 N168 N170 N172 N174 N176 N178 N180 N182 N184 N186 N188 N190 N192 N194 N196 N198 N200 N202 N204 N206 N208 N210 N212 N214 N216 N218 N220 N222 N224 N226 N228 N230 N232 N234 N236 N238 N240 N242 N244 N246 N248 N250 N252 N254 N256 N258 N260 N262 N264 N266 N268 N270 N272 N274 N276 N278 N282 N284 N286 N288 N290 N292 N294 N296 N298 N300 N302 N304 N306 N308 N310 N312 N314 N316 N318 N320 N322 N324 N326 N328 N330 N332 N334 N336 N338 N340 N342 N344 N346 N348 N350 N352 N354 N356 N358 N360 N362 N364 N366 N368 N370 N372 N374 N376 N378 N380 N382 N384 N386 N388 N390 N392 N394 N396 N398 N400 N402 N404 N406 N408 N410 N412 N414 N416 N418 N420:N422 N424:N425 N427:N428 N430 N432:N434 N436:N437 N439:N440 N442 N444:N445 N136">
    <cfRule type="expression" dxfId="17" priority="2589">
      <formula>#REF!&lt;&gt;$B136</formula>
    </cfRule>
  </conditionalFormatting>
  <conditionalFormatting sqref="O420 I420:M420 C279:O280 D281:D282">
    <cfRule type="expression" dxfId="16" priority="2608">
      <formula>#REF!&lt;&gt;$B279</formula>
    </cfRule>
  </conditionalFormatting>
  <pageMargins left="0.7" right="0.7" top="0.75" bottom="0.75" header="0.3" footer="0.3"/>
  <pageSetup paperSize="9" orientation="landscape" verticalDpi="200"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b">
    <tabColor rgb="FFB2B2B2"/>
  </sheetPr>
  <dimension ref="A1:AG126"/>
  <sheetViews>
    <sheetView showGridLines="0" showRowColHeaders="0" zoomScaleSheetLayoutView="100" workbookViewId="0">
      <pane xSplit="1" ySplit="6" topLeftCell="B7" activePane="bottomRight" state="frozen"/>
      <selection pane="topRight" activeCell="B1" sqref="B1"/>
      <selection pane="bottomLeft" activeCell="A7" sqref="A7"/>
      <selection pane="bottomRight" activeCell="W51" sqref="W51"/>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9"/>
    </row>
    <row r="3" spans="2:31" ht="19.5" customHeight="1" x14ac:dyDescent="0.2"/>
    <row r="4" spans="2:31" ht="16.5" customHeight="1" thickBot="1" x14ac:dyDescent="0.25"/>
    <row r="5" spans="2:31" ht="20.25" customHeight="1" thickBot="1" x14ac:dyDescent="0.25">
      <c r="B5" s="91" t="str">
        <f>Osnovno_Izaberite_jezik</f>
        <v>Izaberite jezik | Choose language</v>
      </c>
      <c r="C5"/>
      <c r="Y5" s="8">
        <f>COUNTIF(Y8:Y116, FALSE)</f>
        <v>2</v>
      </c>
      <c r="Z5" s="8">
        <f>COUNTIF(Z8:Z116, FALSE)</f>
        <v>0</v>
      </c>
    </row>
    <row r="6" spans="2:31" ht="12.75" customHeight="1" x14ac:dyDescent="0.2">
      <c r="Y6" s="122" t="s">
        <v>504</v>
      </c>
      <c r="Z6" s="122" t="s">
        <v>505</v>
      </c>
      <c r="AA6" s="149" t="s">
        <v>506</v>
      </c>
      <c r="AB6" s="150" t="s">
        <v>503</v>
      </c>
    </row>
    <row r="7" spans="2:31" ht="15.75" customHeight="1" thickBot="1" x14ac:dyDescent="0.25">
      <c r="B7" s="101" t="str">
        <f>Osnovno_Izvjestajni_period</f>
        <v>Izvještajni period:</v>
      </c>
      <c r="D7" s="87" t="str">
        <f>Objasnjenja_Dan</f>
        <v>Dan</v>
      </c>
      <c r="E7" s="87"/>
      <c r="F7" s="87"/>
      <c r="G7" s="87" t="str">
        <f>Objasnjenja_Mjesec</f>
        <v>Mjesec</v>
      </c>
      <c r="H7" s="87"/>
      <c r="I7" s="87"/>
      <c r="J7" s="87" t="str">
        <f>Objasnjenja_Godina</f>
        <v>Godina</v>
      </c>
      <c r="K7" s="87"/>
      <c r="L7" s="87"/>
      <c r="M7" s="87"/>
    </row>
    <row r="8" spans="2:31" ht="15" customHeight="1" x14ac:dyDescent="0.2">
      <c r="B8" s="86" t="str">
        <f>Osnovno_Pocetak_perioda</f>
        <v>Početak izvještajnog perioda:</v>
      </c>
      <c r="D8" s="583">
        <v>1</v>
      </c>
      <c r="E8" s="583"/>
      <c r="F8" s="45"/>
      <c r="G8" s="583">
        <v>1</v>
      </c>
      <c r="H8" s="583"/>
      <c r="I8" s="45"/>
      <c r="J8" s="586">
        <v>2025</v>
      </c>
      <c r="K8" s="587"/>
      <c r="L8" s="588"/>
      <c r="M8"/>
      <c r="N8"/>
      <c r="O8"/>
      <c r="P8"/>
      <c r="Y8" s="14" t="b">
        <f>AND( Period_Pocetak_Dan &lt;&gt; "", Period_Pocetak_Mjesec &lt;&gt; "", Godina &lt;&gt; "")</f>
        <v>1</v>
      </c>
      <c r="Z8" s="142" t="b">
        <f>IF( Y8, TEXT( DATE( Godina, Period_Pocetak_Mjesec, Period_Pocetak_Dan), "dd.mm.yyyy" ) = TEXT( Period_Pocetak_Dan, "00") &amp; "." &amp; TEXT( Period_Pocetak_Mjesec, "00") &amp;"." &amp; CONCATENATE( Godina), FALSE)</f>
        <v>1</v>
      </c>
      <c r="AA8" s="14" t="str">
        <f>TEXT( DATE( Godina, Period_Pocetak_Mjesec, Period_Pocetak_Dan), "dd.mm.yyyy.")</f>
        <v>01.01.2025.</v>
      </c>
      <c r="AB8" s="93" t="str">
        <f>IF(Y8, IF( Z8, AA8, Kontrola_Neispravno), Kontrola_Obavezno)</f>
        <v>01.01.2025.</v>
      </c>
    </row>
    <row r="9" spans="2:31" ht="4.5" customHeight="1" x14ac:dyDescent="0.2">
      <c r="B9" s="86"/>
      <c r="J9" s="589"/>
      <c r="K9" s="590"/>
      <c r="L9" s="591"/>
      <c r="Y9" s="14"/>
      <c r="Z9" s="14"/>
      <c r="AA9" s="97"/>
      <c r="AB9" s="94"/>
    </row>
    <row r="10" spans="2:31" ht="15.75" customHeight="1" thickBot="1" x14ac:dyDescent="0.25">
      <c r="B10" s="86" t="str">
        <f>Osnovno_Kraj_perioda</f>
        <v>Kraj izvještajnog perioda:</v>
      </c>
      <c r="D10" s="584">
        <v>31</v>
      </c>
      <c r="E10" s="585"/>
      <c r="F10" s="45"/>
      <c r="G10" s="584">
        <v>12</v>
      </c>
      <c r="H10" s="585"/>
      <c r="I10" s="45"/>
      <c r="J10" s="592"/>
      <c r="K10" s="593"/>
      <c r="L10" s="594"/>
      <c r="M10"/>
      <c r="Y10" s="14" t="b">
        <f>AND( Period_Kraj_Dan &lt;&gt; "", Period_Kraj_Mjesec &lt;&gt; "", Godina &lt;&gt; "")</f>
        <v>1</v>
      </c>
      <c r="Z10" s="45" t="b">
        <f>IF( Y10, TEXT( DATE( Godina, Period_Kraj_Mjesec, Period_Kraj_Dan), "dd.mm.yyyy" ) = TEXT( Period_Kraj_Dan, "00") &amp; "." &amp; TEXT( Period_Kraj_Mjesec, "00") &amp;"." &amp; CONCATENATE( Godina), FALSE)</f>
        <v>1</v>
      </c>
      <c r="AA10" s="87" t="str">
        <f>TEXT( DATE( Godina, Period_Kraj_Mjesec, Period_Kraj_Dan), "dd.mm.yyyy.")</f>
        <v>31.12.2025.</v>
      </c>
      <c r="AB10" s="93" t="str">
        <f>IF(Y10, IF( Z10, AA10, Kontrola_Neispravno), Kontrola_Obavezno)</f>
        <v>31.12.2025.</v>
      </c>
      <c r="AD10"/>
      <c r="AE10"/>
    </row>
    <row r="11" spans="2:31" ht="4.5" customHeight="1" x14ac:dyDescent="0.2">
      <c r="B11" s="86"/>
      <c r="D11"/>
      <c r="E11"/>
      <c r="F11"/>
      <c r="G11"/>
      <c r="H11"/>
      <c r="I11"/>
      <c r="J11"/>
      <c r="K11"/>
      <c r="L11"/>
      <c r="M11"/>
      <c r="Y11" s="14"/>
      <c r="Z11" s="45"/>
      <c r="AA11" s="87"/>
      <c r="AB11" s="94"/>
    </row>
    <row r="12" spans="2:31" ht="15" customHeight="1" x14ac:dyDescent="0.2">
      <c r="B12" s="86" t="str">
        <f>Osnovno_Vrsta_izvjestaja</f>
        <v>Vrsta izvještaja:</v>
      </c>
      <c r="D12" s="169" t="str">
        <f>IF( AND( DATE( Godina, Period_Pocetak_Mjesec, Period_Pocetak_Dan) = DATE( Godina, 1, 1), NOT( ISNA( VLOOKUP( Datum_Broj,T_Vrsta_izvjestaja[], 2, 0)))), VLOOKUP( Datum_Broj,T_Vrsta_izvjestaja[], 3, 0), Vrsta_izvjestaja_Specificni)</f>
        <v>Godišnji</v>
      </c>
      <c r="E12" s="169"/>
      <c r="F12" s="169"/>
      <c r="G12" s="169"/>
      <c r="H12" s="169"/>
      <c r="I12" s="169"/>
      <c r="J12" s="169"/>
      <c r="K12" s="169"/>
      <c r="L12" s="169"/>
      <c r="M12"/>
      <c r="N12"/>
      <c r="O12"/>
      <c r="P12"/>
      <c r="Q12"/>
      <c r="R12"/>
      <c r="S12"/>
      <c r="T12"/>
      <c r="U12"/>
      <c r="V12"/>
      <c r="Y12" s="14"/>
      <c r="Z12" s="14"/>
      <c r="AA12" s="87"/>
      <c r="AB12" s="93" t="str">
        <f>D12</f>
        <v>Godišnji</v>
      </c>
    </row>
    <row r="13" spans="2:31" ht="13.5" customHeight="1" x14ac:dyDescent="0.2">
      <c r="B13" s="48"/>
      <c r="M13"/>
      <c r="N13"/>
      <c r="O13"/>
      <c r="P13"/>
      <c r="Q13"/>
      <c r="R13"/>
      <c r="S13"/>
      <c r="T13"/>
      <c r="U13"/>
      <c r="V13"/>
      <c r="Y13" s="14"/>
      <c r="Z13" s="14"/>
      <c r="AA13" s="97"/>
      <c r="AB13" s="94"/>
    </row>
    <row r="14" spans="2:31" ht="15.75" customHeight="1" x14ac:dyDescent="0.2">
      <c r="B14" s="101" t="str">
        <f>Objasnjenja_Zaglavlje</f>
        <v>Podaci u zaglavlju:</v>
      </c>
      <c r="Y14" s="14"/>
      <c r="Z14" s="14"/>
      <c r="AA14" s="97"/>
      <c r="AB14" s="94"/>
    </row>
    <row r="15" spans="2:31" ht="15" customHeight="1" x14ac:dyDescent="0.2">
      <c r="B15" s="86" t="str">
        <f>Zaglavlje_MB</f>
        <v>Matični broj</v>
      </c>
      <c r="D15" s="573">
        <v>0</v>
      </c>
      <c r="E15" s="573">
        <v>1</v>
      </c>
      <c r="F15" s="573">
        <v>8</v>
      </c>
      <c r="G15" s="573">
        <v>1</v>
      </c>
      <c r="H15" s="573">
        <v>4</v>
      </c>
      <c r="I15" s="573">
        <v>7</v>
      </c>
      <c r="J15" s="573">
        <v>8</v>
      </c>
      <c r="K15" s="573">
        <v>8</v>
      </c>
      <c r="Y15" s="14" t="b">
        <f>LEN(AA15) &gt;= 7</f>
        <v>1</v>
      </c>
      <c r="Z15" s="14" t="b">
        <v>1</v>
      </c>
      <c r="AA15" s="97" t="str">
        <f>CONCATENATE( D15, E15, F15, G15, H15, I15, J15, K15)</f>
        <v>01814788</v>
      </c>
      <c r="AB15" s="93" t="str">
        <f>IF(Y15, IF( Z15, AA15, Kontrola_Neispravno), Kontrola_Obavezno)</f>
        <v>01814788</v>
      </c>
    </row>
    <row r="16" spans="2:31" ht="4.5" customHeight="1" x14ac:dyDescent="0.2">
      <c r="B16" s="86"/>
      <c r="Y16" s="14"/>
      <c r="Z16" s="14"/>
      <c r="AA16" s="97"/>
      <c r="AB16" s="94"/>
    </row>
    <row r="17" spans="2:31" ht="15" customHeight="1" x14ac:dyDescent="0.2">
      <c r="B17" s="86" t="str">
        <f>Zaglavlje_Sifra_djelatnosti</f>
        <v>Šifra djelatnosti</v>
      </c>
      <c r="D17" s="84">
        <v>3</v>
      </c>
      <c r="E17" s="84">
        <v>5</v>
      </c>
      <c r="F17" s="88" t="s">
        <v>419</v>
      </c>
      <c r="G17" s="84">
        <v>1</v>
      </c>
      <c r="H17" s="84">
        <v>3</v>
      </c>
      <c r="I17" s="92"/>
      <c r="Y17" s="14" t="b">
        <f>AND( D17 &lt;&gt; "", LEN( AA17) &gt;= 5)</f>
        <v>1</v>
      </c>
      <c r="Z17" s="14" t="b">
        <v>1</v>
      </c>
      <c r="AA17" s="97" t="str">
        <f>CONCATENATE( D17, E17, F17, G17, H17, I17)</f>
        <v>35.13</v>
      </c>
      <c r="AB17" s="93" t="str">
        <f>IF(Y17, IF( Z17, AA17, Kontrola_Neispravno), Kontrola_Obavezno)</f>
        <v>35.13</v>
      </c>
      <c r="AE17" s="89"/>
    </row>
    <row r="18" spans="2:31" ht="4.5" customHeight="1" x14ac:dyDescent="0.2">
      <c r="B18" s="86"/>
      <c r="Y18" s="14"/>
      <c r="Z18" s="14"/>
      <c r="AA18" s="97"/>
      <c r="AB18" s="94"/>
    </row>
    <row r="19" spans="2:31" ht="12.75" customHeight="1" x14ac:dyDescent="0.2">
      <c r="B19" s="595" t="str">
        <f>Zaglavlje_Naziv_preduzeca</f>
        <v xml:space="preserve">Naziv privrednog društva, zadruge, drugog pravnog lica ili preduzetnika: </v>
      </c>
      <c r="Y19" s="14"/>
      <c r="Z19" s="14"/>
      <c r="AA19" s="97"/>
      <c r="AB19" s="94"/>
    </row>
    <row r="20" spans="2:31" ht="22.5" customHeight="1" x14ac:dyDescent="0.2">
      <c r="B20" s="595"/>
      <c r="D20" s="596" t="s">
        <v>3060</v>
      </c>
      <c r="E20" s="596"/>
      <c r="F20" s="596"/>
      <c r="G20" s="596"/>
      <c r="H20" s="596"/>
      <c r="I20" s="596"/>
      <c r="J20" s="596"/>
      <c r="K20" s="596"/>
      <c r="L20" s="596"/>
      <c r="M20" s="596"/>
      <c r="N20" s="596"/>
      <c r="O20" s="596"/>
      <c r="P20" s="596"/>
      <c r="Q20" s="596"/>
      <c r="R20" s="596"/>
      <c r="S20" s="596"/>
      <c r="T20" s="596"/>
      <c r="U20" s="596"/>
      <c r="V20" s="596"/>
      <c r="Y20" s="14" t="b">
        <f>LEN(AA20) &gt; 0</f>
        <v>1</v>
      </c>
      <c r="Z20" s="14" t="b">
        <v>1</v>
      </c>
      <c r="AA20" s="97" t="str">
        <f>CONCATENATE( D20)</f>
        <v>ODS ELEKTRODISTRIBUCIJA AD PALE</v>
      </c>
      <c r="AB20" s="95" t="str">
        <f>IF(Y20, IF( Z20, AA20, Kontrola_Neispravno), Kontrola_Obavezno)</f>
        <v>ODS ELEKTRODISTRIBUCIJA AD PALE</v>
      </c>
    </row>
    <row r="21" spans="2:31" ht="8.25" customHeight="1" x14ac:dyDescent="0.2">
      <c r="B21" s="86"/>
      <c r="D21" s="2"/>
      <c r="E21" s="2"/>
      <c r="F21" s="2"/>
      <c r="G21" s="2"/>
      <c r="H21" s="2"/>
      <c r="I21" s="2"/>
      <c r="J21" s="2"/>
      <c r="K21" s="2"/>
      <c r="L21" s="2"/>
      <c r="M21" s="2"/>
      <c r="N21" s="2"/>
      <c r="O21" s="2"/>
      <c r="P21" s="2"/>
      <c r="Q21" s="2"/>
      <c r="R21" s="2"/>
      <c r="S21" s="2"/>
      <c r="T21" s="2"/>
      <c r="U21" s="2"/>
      <c r="V21" s="2"/>
      <c r="Y21" s="14"/>
      <c r="Z21" s="14"/>
      <c r="AA21" s="97"/>
      <c r="AB21" s="94"/>
    </row>
    <row r="22" spans="2:31" ht="15" customHeight="1" x14ac:dyDescent="0.2">
      <c r="B22" s="86" t="str">
        <f>Zaglavlje_Sjediste</f>
        <v>Sjedište:</v>
      </c>
      <c r="D22" s="602" t="s">
        <v>3053</v>
      </c>
      <c r="E22" s="603"/>
      <c r="F22" s="603"/>
      <c r="G22" s="603"/>
      <c r="H22" s="603"/>
      <c r="I22" s="603"/>
      <c r="J22" s="603"/>
      <c r="K22" s="603"/>
      <c r="L22" s="603"/>
      <c r="M22" s="603"/>
      <c r="N22" s="603"/>
      <c r="O22" s="603"/>
      <c r="P22" s="603"/>
      <c r="Q22" s="603"/>
      <c r="R22" s="603"/>
      <c r="S22" s="603"/>
      <c r="T22" s="603"/>
      <c r="U22" s="603"/>
      <c r="V22" s="603"/>
      <c r="Y22" s="14" t="b">
        <f>LEN(AA22) &gt; 0</f>
        <v>1</v>
      </c>
      <c r="Z22" s="14" t="b">
        <v>1</v>
      </c>
      <c r="AA22" s="97" t="str">
        <f>CONCATENATE( D22)</f>
        <v>PALE</v>
      </c>
      <c r="AB22" s="93" t="str">
        <f>IF(Y22, IF( Z22, AA22, Kontrola_Neispravno), Kontrola_Obavezno)</f>
        <v>PALE</v>
      </c>
    </row>
    <row r="23" spans="2:31" ht="6.75" customHeight="1" x14ac:dyDescent="0.2">
      <c r="B23" s="86"/>
      <c r="Y23" s="14"/>
      <c r="Z23" s="14"/>
      <c r="AA23" s="97"/>
      <c r="AB23" s="94"/>
    </row>
    <row r="24" spans="2:31" ht="15" customHeight="1" x14ac:dyDescent="0.2">
      <c r="B24" s="86" t="str">
        <f>Zaglavlje_JIB</f>
        <v>JIB</v>
      </c>
      <c r="D24" s="570">
        <v>4</v>
      </c>
      <c r="E24" s="571">
        <v>4</v>
      </c>
      <c r="F24" s="572">
        <v>0</v>
      </c>
      <c r="G24" s="570">
        <v>0</v>
      </c>
      <c r="H24" s="571">
        <v>5</v>
      </c>
      <c r="I24" s="572">
        <v>7</v>
      </c>
      <c r="J24" s="570">
        <v>0</v>
      </c>
      <c r="K24" s="571">
        <v>0</v>
      </c>
      <c r="L24" s="572">
        <v>5</v>
      </c>
      <c r="M24" s="571">
        <v>0</v>
      </c>
      <c r="N24" s="572">
        <v>0</v>
      </c>
      <c r="O24" s="571">
        <v>0</v>
      </c>
      <c r="P24" s="572">
        <v>4</v>
      </c>
      <c r="Q24" s="45"/>
      <c r="R24" s="45"/>
      <c r="S24" s="45"/>
      <c r="T24" s="45"/>
      <c r="U24" s="45"/>
      <c r="V24" s="45"/>
      <c r="Y24" s="14" t="b">
        <f>LEN(AA24) = 13</f>
        <v>1</v>
      </c>
      <c r="Z24" s="218"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8" t="str">
        <f>CONCATENATE( D24, E24, F24, G24, H24, I24, J24, K24, L24, M24, N24, O24, P24)</f>
        <v>4400570050004</v>
      </c>
      <c r="AB24" s="93" t="str">
        <f>IF(Y24, IF( Z24, AA24, Kontrola_Neispravno), Kontrola_Obavezno)</f>
        <v>4400570050004</v>
      </c>
    </row>
    <row r="25" spans="2:31" ht="15" customHeight="1" x14ac:dyDescent="0.2">
      <c r="B25" s="86"/>
      <c r="D25" s="2"/>
      <c r="E25" s="2"/>
      <c r="F25" s="2"/>
      <c r="G25" s="2"/>
      <c r="H25" s="2"/>
      <c r="I25" s="2"/>
      <c r="J25" s="2"/>
      <c r="K25" s="2"/>
      <c r="L25" s="2"/>
      <c r="M25" s="2"/>
      <c r="N25" s="2"/>
      <c r="O25" s="2"/>
      <c r="P25" s="2"/>
      <c r="Q25" s="2"/>
      <c r="R25" s="2"/>
      <c r="S25" s="2"/>
      <c r="T25" s="2"/>
      <c r="U25" s="2"/>
      <c r="V25" s="2"/>
      <c r="Y25" s="14"/>
      <c r="Z25" s="14"/>
      <c r="AA25" s="97"/>
      <c r="AB25" s="94"/>
    </row>
    <row r="26" spans="2:31" ht="15" customHeight="1" x14ac:dyDescent="0.2">
      <c r="B26" s="118" t="str">
        <f>Objasnjenja_Bankovni_racun</f>
        <v>Računi u banci:</v>
      </c>
      <c r="Y26" s="14"/>
      <c r="Z26" s="14"/>
      <c r="AA26" s="97"/>
      <c r="AB26" s="94"/>
    </row>
    <row r="27" spans="2:31" ht="15" customHeight="1" x14ac:dyDescent="0.2">
      <c r="B27" s="86" t="str">
        <f>Objasnjenja_Glavni_racun</f>
        <v>Glavni račun:</v>
      </c>
      <c r="D27" s="573">
        <v>5</v>
      </c>
      <c r="E27" s="573">
        <v>6</v>
      </c>
      <c r="F27" s="573">
        <v>2</v>
      </c>
      <c r="G27" s="85" t="s">
        <v>418</v>
      </c>
      <c r="H27" s="573">
        <v>0</v>
      </c>
      <c r="I27" s="573">
        <v>1</v>
      </c>
      <c r="J27" s="573">
        <v>2</v>
      </c>
      <c r="K27" s="85" t="s">
        <v>418</v>
      </c>
      <c r="L27" s="573">
        <v>0</v>
      </c>
      <c r="M27" s="573">
        <v>0</v>
      </c>
      <c r="N27" s="573">
        <v>0</v>
      </c>
      <c r="O27" s="573">
        <v>0</v>
      </c>
      <c r="P27" s="573">
        <v>2</v>
      </c>
      <c r="Q27" s="573">
        <v>6</v>
      </c>
      <c r="R27" s="573">
        <v>6</v>
      </c>
      <c r="S27" s="573">
        <v>9</v>
      </c>
      <c r="T27" s="45" t="s">
        <v>418</v>
      </c>
      <c r="U27" s="84">
        <v>4</v>
      </c>
      <c r="V27" s="84">
        <v>8</v>
      </c>
      <c r="Y27" s="14" t="b">
        <f>LEN(AA27) = 16</f>
        <v>1</v>
      </c>
      <c r="Z27" s="14" t="b">
        <f>IF(Y27, VALUE( CONCATENATE( U27, V27)) = 98 - MOD( CONCATENATE( MOD( CONCATENATE( D27, E27, F27, H27, I27, J27, L27, M27, N27), 97), CONCATENATE(O27, P27, Q27, R27, S27), "00"), 97), FALSE)</f>
        <v>1</v>
      </c>
      <c r="AA27" s="97" t="str">
        <f>CONCATENATE( D27, E27, F27, H27, I27, J27, L27, M27, N27, O27, P27, Q27, R27, S27, U27, V27)</f>
        <v>5620120000266948</v>
      </c>
      <c r="AB27" s="93" t="str">
        <f>IF(Y27, IF( Z27, CONCATENATE( D27, E27, F27, G27, H27, I27, J27, K27, L27, M27, N27, O27, P27, Q27, R27, S27, T27, U27, V27), Kontrola_Neispravno), Kontrola_Obavezno)</f>
        <v>562-012-00002669-48</v>
      </c>
    </row>
    <row r="28" spans="2:31" ht="4.5" customHeight="1" x14ac:dyDescent="0.2">
      <c r="B28" s="86"/>
      <c r="D28" s="2"/>
      <c r="E28" s="2"/>
      <c r="F28" s="2"/>
      <c r="G28" s="2"/>
      <c r="H28" s="2"/>
      <c r="I28" s="2"/>
      <c r="J28" s="2"/>
      <c r="K28" s="2"/>
      <c r="L28" s="2"/>
      <c r="M28" s="2"/>
      <c r="N28" s="2"/>
      <c r="O28" s="2"/>
      <c r="P28" s="2"/>
      <c r="Q28" s="2"/>
      <c r="R28" s="2"/>
      <c r="S28" s="2"/>
      <c r="T28" s="2"/>
      <c r="U28" s="2"/>
      <c r="V28" s="2"/>
      <c r="Y28" s="14"/>
      <c r="Z28" s="14"/>
      <c r="AA28" s="97"/>
      <c r="AB28" s="94"/>
    </row>
    <row r="29" spans="2:31" ht="15" customHeight="1" x14ac:dyDescent="0.2">
      <c r="B29" s="86"/>
      <c r="D29" s="84">
        <v>5</v>
      </c>
      <c r="E29" s="84">
        <v>5</v>
      </c>
      <c r="F29" s="84">
        <v>5</v>
      </c>
      <c r="G29" s="85" t="s">
        <v>418</v>
      </c>
      <c r="H29" s="573">
        <v>0</v>
      </c>
      <c r="I29" s="573">
        <v>0</v>
      </c>
      <c r="J29" s="573">
        <v>2</v>
      </c>
      <c r="K29" s="85" t="s">
        <v>418</v>
      </c>
      <c r="L29" s="573">
        <v>0</v>
      </c>
      <c r="M29" s="573">
        <v>0</v>
      </c>
      <c r="N29" s="573">
        <v>0</v>
      </c>
      <c r="O29" s="573">
        <v>0</v>
      </c>
      <c r="P29" s="573">
        <v>4</v>
      </c>
      <c r="Q29" s="573">
        <v>3</v>
      </c>
      <c r="R29" s="573">
        <v>6</v>
      </c>
      <c r="S29" s="573">
        <v>3</v>
      </c>
      <c r="T29" s="45" t="s">
        <v>418</v>
      </c>
      <c r="U29" s="84">
        <v>2</v>
      </c>
      <c r="V29" s="84">
        <v>3</v>
      </c>
      <c r="Y29" s="14" t="b">
        <f>OR( LEN(AA29) = 16, LEN( AA29) = 0)</f>
        <v>1</v>
      </c>
      <c r="Z29" s="14" t="b">
        <f>IF( LEN(AA29) = 16, VALUE( CONCATENATE( U29, V29)) = 98 - MOD( CONCATENATE( MOD( CONCATENATE( D29, E29, F29, H29, I29, J29, L29, M29, N29), 97), CONCATENATE(O29, P29, Q29, R29, S29), "00"), 97), TRUE)</f>
        <v>1</v>
      </c>
      <c r="AA29" s="97" t="str">
        <f>CONCATENATE( D29, E29, F29, H29, I29, J29, L29, M29, N29, O29, P29, Q29, R29, S29, U29, V29)</f>
        <v>5550020000436323</v>
      </c>
      <c r="AB29" s="93" t="str">
        <f>IF( LEN(AA29) = 0, "", IF( AND( LEN(AA29) = 16, Z29), CONCATENATE( D29, E29, F29, G29, H29, I29, J29, K29, L29, M29, N29, O29, P29, Q29, R29, S29, T29, U29, V29), Kontrola_Neispravno))</f>
        <v>555-002-00004363-23</v>
      </c>
    </row>
    <row r="30" spans="2:31" ht="4.5" customHeight="1" x14ac:dyDescent="0.2">
      <c r="B30" s="86"/>
      <c r="Y30" s="14"/>
      <c r="Z30" s="14"/>
      <c r="AA30" s="97"/>
      <c r="AB30" s="94"/>
    </row>
    <row r="31" spans="2:31" ht="15" customHeight="1" x14ac:dyDescent="0.2">
      <c r="B31" s="86"/>
      <c r="D31" s="573">
        <v>5</v>
      </c>
      <c r="E31" s="573">
        <v>5</v>
      </c>
      <c r="F31" s="573">
        <v>1</v>
      </c>
      <c r="G31" s="85" t="s">
        <v>418</v>
      </c>
      <c r="H31" s="573">
        <v>0</v>
      </c>
      <c r="I31" s="573">
        <v>3</v>
      </c>
      <c r="J31" s="573">
        <v>1</v>
      </c>
      <c r="K31" s="85" t="s">
        <v>418</v>
      </c>
      <c r="L31" s="573">
        <v>0</v>
      </c>
      <c r="M31" s="573">
        <v>0</v>
      </c>
      <c r="N31" s="573">
        <v>0</v>
      </c>
      <c r="O31" s="573">
        <v>0</v>
      </c>
      <c r="P31" s="573">
        <v>7</v>
      </c>
      <c r="Q31" s="573">
        <v>3</v>
      </c>
      <c r="R31" s="573">
        <v>6</v>
      </c>
      <c r="S31" s="573">
        <v>9</v>
      </c>
      <c r="T31" s="45" t="s">
        <v>418</v>
      </c>
      <c r="U31" s="84">
        <v>2</v>
      </c>
      <c r="V31" s="84">
        <v>3</v>
      </c>
      <c r="Y31" s="14" t="b">
        <f>OR( LEN(AA31) = 16, LEN( AA31) = 0)</f>
        <v>1</v>
      </c>
      <c r="Z31" s="14" t="b">
        <f>IF( LEN(AA31) = 16, VALUE( CONCATENATE( U31, V31)) = 98 - MOD( CONCATENATE( MOD( CONCATENATE( D31, E31, F31, H31, I31, J31, L31, M31, N31), 97), CONCATENATE(O31, P31, Q31, R31, S31), "00"), 97), TRUE)</f>
        <v>1</v>
      </c>
      <c r="AA31" s="97" t="str">
        <f>CONCATENATE( D31, E31, F31, H31, I31, J31, L31, M31, N31, O31, P31, Q31, R31, S31, U31, V31)</f>
        <v>5510310000736923</v>
      </c>
      <c r="AB31" s="93" t="str">
        <f>IF( LEN(AA31) = 0, "", IF( AND( LEN(AA31) = 16, Z31), CONCATENATE( D31, E31, F31, G31, H31, I31, J31, K31, L31, M31, N31, O31, P31, Q31, R31, S31, T31, U31, V31), Kontrola_Neispravno))</f>
        <v>551-031-00007369-23</v>
      </c>
    </row>
    <row r="32" spans="2:31" ht="4.5" customHeight="1" x14ac:dyDescent="0.2">
      <c r="B32" s="86"/>
      <c r="Y32" s="14"/>
      <c r="Z32" s="14"/>
      <c r="AA32" s="97"/>
      <c r="AB32" s="94"/>
    </row>
    <row r="33" spans="2:28" ht="15" customHeight="1" x14ac:dyDescent="0.2">
      <c r="B33" s="86"/>
      <c r="D33" s="573">
        <v>5</v>
      </c>
      <c r="E33" s="573">
        <v>7</v>
      </c>
      <c r="F33" s="573">
        <v>1</v>
      </c>
      <c r="G33" s="85" t="s">
        <v>418</v>
      </c>
      <c r="H33" s="573">
        <v>0</v>
      </c>
      <c r="I33" s="573">
        <v>5</v>
      </c>
      <c r="J33" s="573">
        <v>0</v>
      </c>
      <c r="K33" s="85" t="s">
        <v>418</v>
      </c>
      <c r="L33" s="573">
        <v>0</v>
      </c>
      <c r="M33" s="573">
        <v>0</v>
      </c>
      <c r="N33" s="573">
        <v>0</v>
      </c>
      <c r="O33" s="573">
        <v>0</v>
      </c>
      <c r="P33" s="573">
        <v>0</v>
      </c>
      <c r="Q33" s="573">
        <v>5</v>
      </c>
      <c r="R33" s="573">
        <v>1</v>
      </c>
      <c r="S33" s="573">
        <v>0</v>
      </c>
      <c r="T33" s="45" t="s">
        <v>418</v>
      </c>
      <c r="U33" s="573">
        <v>6</v>
      </c>
      <c r="V33" s="573">
        <v>6</v>
      </c>
      <c r="Y33" s="14" t="b">
        <f>OR( LEN(AA33) = 16, LEN( AA33) = 0)</f>
        <v>1</v>
      </c>
      <c r="Z33" s="14" t="b">
        <f>IF( LEN(AA33) = 16, VALUE( CONCATENATE( U33, V33)) = 98 - MOD( CONCATENATE( MOD( CONCATENATE( D33, E33, F33, H33, I33, J33, L33, M33, N33), 97), CONCATENATE(O33, P33, Q33, R33, S33), "00"), 97), TRUE)</f>
        <v>1</v>
      </c>
      <c r="AA33" s="97" t="str">
        <f>CONCATENATE( D33, E33, F33, H33, I33, J33, L33, M33, N33, O33, P33, Q33, R33, S33, U33, V33)</f>
        <v>5710500000051066</v>
      </c>
      <c r="AB33" s="93" t="str">
        <f>IF( LEN(AA33) = 0, "", IF( AND( LEN(AA33) = 16, Z33), CONCATENATE( D33, E33, F33, G33, H33, I33, J33, K33, L33, M33, N33, O33, P33, Q33, R33, S33, T33, U33, V33), Kontrola_Neispravno))</f>
        <v>571-050-00000510-66</v>
      </c>
    </row>
    <row r="34" spans="2:28" ht="4.5" customHeight="1" x14ac:dyDescent="0.2">
      <c r="B34" s="86"/>
      <c r="Y34" s="14"/>
      <c r="Z34" s="14"/>
      <c r="AA34" s="97"/>
      <c r="AB34" s="94"/>
    </row>
    <row r="35" spans="2:28" ht="15" customHeight="1" x14ac:dyDescent="0.2">
      <c r="B35" s="86"/>
      <c r="D35" s="573">
        <v>5</v>
      </c>
      <c r="E35" s="573">
        <v>6</v>
      </c>
      <c r="F35" s="573">
        <v>7</v>
      </c>
      <c r="G35" s="85" t="s">
        <v>418</v>
      </c>
      <c r="H35" s="573">
        <v>4</v>
      </c>
      <c r="I35" s="573">
        <v>9</v>
      </c>
      <c r="J35" s="573">
        <v>1</v>
      </c>
      <c r="K35" s="85" t="s">
        <v>418</v>
      </c>
      <c r="L35" s="573">
        <v>1</v>
      </c>
      <c r="M35" s="573">
        <v>0</v>
      </c>
      <c r="N35" s="573">
        <v>0</v>
      </c>
      <c r="O35" s="573">
        <v>0</v>
      </c>
      <c r="P35" s="573">
        <v>0</v>
      </c>
      <c r="Q35" s="573">
        <v>0</v>
      </c>
      <c r="R35" s="573">
        <v>0</v>
      </c>
      <c r="S35" s="573">
        <v>2</v>
      </c>
      <c r="T35" s="45" t="s">
        <v>418</v>
      </c>
      <c r="U35" s="84">
        <v>8</v>
      </c>
      <c r="V35" s="84">
        <v>6</v>
      </c>
      <c r="Y35" s="14" t="b">
        <f>OR( LEN(AA35) = 16, LEN( AA35) = 0)</f>
        <v>1</v>
      </c>
      <c r="Z35" s="14" t="b">
        <f>IF( LEN(AA35) = 16, VALUE( CONCATENATE( U35, V35)) = 98 - MOD( CONCATENATE( MOD( CONCATENATE( D35, E35, F35, H35, I35, J35, L35, M35, N35), 97), CONCATENATE(O35, P35, Q35, R35, S35), "00"), 97), TRUE)</f>
        <v>1</v>
      </c>
      <c r="AA35" s="97" t="str">
        <f>CONCATENATE( D35, E35, F35, H35, I35, J35, L35, M35, N35, O35, P35, Q35, R35, S35, U35, V35)</f>
        <v>5674911000000286</v>
      </c>
      <c r="AB35" s="93" t="str">
        <f>IF( LEN(AA35) = 0, "", IF( AND( LEN(AA35) = 16, Z35), CONCATENATE( D35, E35, F35, G35, H35, I35, J35, K35, L35, M35, N35, O35, P35, Q35, R35, S35, T35, U35, V35), Kontrola_Neispravno))</f>
        <v>567-491-10000002-86</v>
      </c>
    </row>
    <row r="36" spans="2:28" ht="4.5" customHeight="1" x14ac:dyDescent="0.2">
      <c r="B36" s="86"/>
      <c r="Y36" s="14"/>
      <c r="Z36" s="14"/>
      <c r="AA36" s="97"/>
      <c r="AB36" s="94"/>
    </row>
    <row r="37" spans="2:28" ht="15" customHeight="1" x14ac:dyDescent="0.2">
      <c r="B37" s="86"/>
      <c r="D37" s="573">
        <v>5</v>
      </c>
      <c r="E37" s="573">
        <v>5</v>
      </c>
      <c r="F37" s="573">
        <v>2</v>
      </c>
      <c r="G37" s="85" t="s">
        <v>418</v>
      </c>
      <c r="H37" s="573">
        <v>0</v>
      </c>
      <c r="I37" s="573">
        <v>0</v>
      </c>
      <c r="J37" s="573">
        <v>0</v>
      </c>
      <c r="K37" s="85" t="s">
        <v>418</v>
      </c>
      <c r="L37" s="573">
        <v>1</v>
      </c>
      <c r="M37" s="573">
        <v>7</v>
      </c>
      <c r="N37" s="573">
        <v>4</v>
      </c>
      <c r="O37" s="573">
        <v>6</v>
      </c>
      <c r="P37" s="573">
        <v>1</v>
      </c>
      <c r="Q37" s="573">
        <v>6</v>
      </c>
      <c r="R37" s="573">
        <v>0</v>
      </c>
      <c r="S37" s="573">
        <v>5</v>
      </c>
      <c r="T37" s="45" t="s">
        <v>418</v>
      </c>
      <c r="U37" s="573">
        <v>9</v>
      </c>
      <c r="V37" s="573">
        <v>8</v>
      </c>
      <c r="Y37" s="14" t="b">
        <f>OR( LEN(AA37) = 16, LEN( AA37) = 0)</f>
        <v>1</v>
      </c>
      <c r="Z37" s="14" t="b">
        <f>IF( LEN(AA37) = 16, VALUE( CONCATENATE( U37, V37)) = 98 - MOD( CONCATENATE( MOD( CONCATENATE( D37, E37, F37, H37, I37, J37, L37, M37, N37), 97), CONCATENATE(O37, P37, Q37, R37, S37), "00"), 97), TRUE)</f>
        <v>1</v>
      </c>
      <c r="AA37" s="97" t="str">
        <f>CONCATENATE( D37, E37, F37, H37, I37, J37, L37, M37, N37, O37, P37, Q37, R37, S37, U37, V37)</f>
        <v>5520001746160598</v>
      </c>
      <c r="AB37" s="93" t="str">
        <f>IF( LEN(AA37) = 0, "", IF( AND( LEN(AA37) = 16, Z37), CONCATENATE( D37, E37, F37, G37, H37, I37, J37, K37, L37, M37, N37, O37, P37, Q37, R37, S37, T37, U37, V37), Kontrola_Neispravno))</f>
        <v>552-000-17461605-98</v>
      </c>
    </row>
    <row r="38" spans="2:28" ht="15" customHeight="1" x14ac:dyDescent="0.2">
      <c r="B38" s="86"/>
      <c r="Y38" s="14"/>
      <c r="Z38" s="14"/>
      <c r="AA38" s="97"/>
      <c r="AB38" s="94"/>
    </row>
    <row r="39" spans="2:28" ht="15.75" customHeight="1" x14ac:dyDescent="0.2">
      <c r="B39" s="101" t="str">
        <f>Objasnjenja_Podnozje</f>
        <v>Podaci ispod izvještaja:</v>
      </c>
      <c r="Y39" s="14"/>
      <c r="Z39" s="14"/>
      <c r="AA39" s="97"/>
      <c r="AB39" s="94"/>
    </row>
    <row r="40" spans="2:28" ht="15" customHeight="1" x14ac:dyDescent="0.2">
      <c r="B40" s="86" t="str">
        <f>Podnozje_U</f>
        <v>U:</v>
      </c>
      <c r="D40" s="600" t="s">
        <v>3054</v>
      </c>
      <c r="E40" s="601"/>
      <c r="F40" s="601"/>
      <c r="G40" s="601"/>
      <c r="H40" s="601"/>
      <c r="I40" s="601"/>
      <c r="J40" s="601"/>
      <c r="K40" s="601"/>
      <c r="L40" s="601"/>
      <c r="M40" s="601"/>
      <c r="N40" s="601"/>
      <c r="O40" s="601"/>
      <c r="P40" s="601"/>
      <c r="Q40" s="601"/>
      <c r="R40" s="601"/>
      <c r="S40" s="601"/>
      <c r="T40" s="601"/>
      <c r="U40" s="601"/>
      <c r="V40" s="601"/>
      <c r="Y40" s="14" t="b">
        <f>LEN(AA40) &gt; 0</f>
        <v>1</v>
      </c>
      <c r="Z40" s="14" t="b">
        <v>1</v>
      </c>
      <c r="AA40" s="97" t="str">
        <f>CONCATENATE( D40)</f>
        <v>Palama</v>
      </c>
      <c r="AB40" s="95" t="str">
        <f>IF(Y40, IF( Z40, AA40, Kontrola_Neispravno), Kontrola_Obavezno)</f>
        <v>Palama</v>
      </c>
    </row>
    <row r="41" spans="2:28" ht="4.5" customHeight="1" x14ac:dyDescent="0.2">
      <c r="B41" s="86"/>
      <c r="D41"/>
      <c r="E41"/>
      <c r="F41"/>
      <c r="G41"/>
      <c r="H41"/>
      <c r="I41"/>
      <c r="J41"/>
      <c r="K41"/>
      <c r="L41"/>
      <c r="M41"/>
      <c r="N41"/>
      <c r="O41"/>
      <c r="P41"/>
      <c r="Q41"/>
      <c r="R41"/>
      <c r="S41"/>
      <c r="T41"/>
      <c r="U41"/>
      <c r="V41"/>
      <c r="Y41" s="14"/>
      <c r="Z41" s="14"/>
      <c r="AA41" s="97"/>
      <c r="AB41" s="94"/>
    </row>
    <row r="42" spans="2:28" ht="15" customHeight="1" x14ac:dyDescent="0.2">
      <c r="B42" s="48"/>
      <c r="D42" s="87" t="str">
        <f>Objasnjenja_Dan</f>
        <v>Dan</v>
      </c>
      <c r="E42" s="87"/>
      <c r="F42" s="87"/>
      <c r="G42" s="87" t="str">
        <f>Objasnjenja_Mjesec</f>
        <v>Mjesec</v>
      </c>
      <c r="H42" s="87"/>
      <c r="I42" s="87"/>
      <c r="J42" s="87" t="str">
        <f>Objasnjenja_Godina</f>
        <v>Godina</v>
      </c>
      <c r="K42" s="87"/>
      <c r="L42" s="87"/>
      <c r="M42" s="87"/>
      <c r="Y42" s="14"/>
      <c r="Z42" s="14"/>
      <c r="AA42" s="97"/>
      <c r="AB42" s="94"/>
    </row>
    <row r="43" spans="2:28" ht="15" customHeight="1" x14ac:dyDescent="0.2">
      <c r="B43" s="86" t="str">
        <f>Podnozje_Dana</f>
        <v>Dana:</v>
      </c>
      <c r="D43" s="597">
        <v>27</v>
      </c>
      <c r="E43" s="599"/>
      <c r="F43" s="45"/>
      <c r="G43" s="597">
        <v>2</v>
      </c>
      <c r="H43" s="599"/>
      <c r="I43" s="45"/>
      <c r="J43" s="597">
        <v>2026</v>
      </c>
      <c r="K43" s="598"/>
      <c r="L43" s="599"/>
      <c r="M43"/>
      <c r="Y43" s="14" t="b">
        <f>AND( D43 &lt;&gt; "", G43 &lt;&gt; "", J43 &lt;&gt; "")</f>
        <v>1</v>
      </c>
      <c r="Z43" s="45" t="b">
        <f>IF( Y43, TEXT( DATE( J43, G43, D43), "dd.mm.yyyy" ) = TEXT( D43, "00") &amp; "." &amp; TEXT( G43, "00") &amp;"." &amp; CONCATENATE( J43), FALSE)</f>
        <v>1</v>
      </c>
      <c r="AA43" s="87" t="str">
        <f>IF( OR( Y43, Z43), TEXT( DATE( J43, G43, D43), "dd.mm.yyyy."), "")</f>
        <v>27.02.2026.</v>
      </c>
      <c r="AB43" s="95" t="str">
        <f>IF(Y43, IF( Z43, AA43, Kontrola_Neispravno), Kontrola_Obavezno)</f>
        <v>27.02.2026.</v>
      </c>
    </row>
    <row r="44" spans="2:28" ht="4.5" customHeight="1" x14ac:dyDescent="0.2">
      <c r="B44" s="86"/>
      <c r="D44"/>
      <c r="E44"/>
      <c r="F44"/>
      <c r="G44"/>
      <c r="H44"/>
      <c r="I44"/>
      <c r="J44"/>
      <c r="K44"/>
      <c r="L44"/>
      <c r="M44"/>
      <c r="N44"/>
      <c r="Y44" s="14"/>
      <c r="Z44" s="14"/>
      <c r="AA44" s="97"/>
      <c r="AB44" s="94"/>
    </row>
    <row r="45" spans="2:28" ht="15" customHeight="1" x14ac:dyDescent="0.2">
      <c r="B45" s="86" t="str">
        <f>Podnozje_Lice_sa_licencom</f>
        <v>Lice sa licencom:</v>
      </c>
      <c r="D45" s="600" t="s">
        <v>3055</v>
      </c>
      <c r="E45" s="601"/>
      <c r="F45" s="601"/>
      <c r="G45" s="601"/>
      <c r="H45" s="601"/>
      <c r="I45" s="601"/>
      <c r="J45" s="601"/>
      <c r="K45" s="601"/>
      <c r="L45" s="601"/>
      <c r="M45" s="601"/>
      <c r="N45" s="601"/>
      <c r="O45" s="601"/>
      <c r="P45" s="601"/>
      <c r="Q45" s="601"/>
      <c r="R45" s="601"/>
      <c r="S45" s="601"/>
      <c r="T45" s="601"/>
      <c r="U45" s="601"/>
      <c r="V45" s="601"/>
      <c r="Y45" s="14" t="b">
        <f>LEN(AA45) &gt; 0</f>
        <v>1</v>
      </c>
      <c r="Z45" s="14" t="b">
        <v>1</v>
      </c>
      <c r="AA45" s="97" t="str">
        <f>CONCATENATE( D45)</f>
        <v>Slobodan Butulija</v>
      </c>
      <c r="AB45" s="95" t="str">
        <f>IF(Y45, IF( Z45, AA45, Kontrola_Neispravno), Kontrola_Obavezno)</f>
        <v>Slobodan Butulija</v>
      </c>
    </row>
    <row r="46" spans="2:28" ht="4.5" customHeight="1" x14ac:dyDescent="0.2">
      <c r="B46" s="86"/>
      <c r="Y46" s="14"/>
      <c r="Z46" s="14"/>
      <c r="AA46" s="97"/>
      <c r="AB46" s="94"/>
    </row>
    <row r="47" spans="2:28" ht="15" customHeight="1" x14ac:dyDescent="0.2">
      <c r="B47" s="86" t="str">
        <f>Podnozje_Broj_licence</f>
        <v>Broj licence:</v>
      </c>
      <c r="D47" s="604" t="s">
        <v>3061</v>
      </c>
      <c r="E47" s="605"/>
      <c r="F47" s="605"/>
      <c r="G47" s="605"/>
      <c r="H47" s="605"/>
      <c r="I47" s="605"/>
      <c r="J47" s="605"/>
      <c r="K47" s="605"/>
      <c r="L47" s="605"/>
      <c r="M47" s="605"/>
      <c r="N47" s="605"/>
      <c r="O47" s="605"/>
      <c r="P47" s="605"/>
      <c r="Q47" s="605"/>
      <c r="R47" s="605"/>
      <c r="S47" s="605"/>
      <c r="T47" s="605"/>
      <c r="U47" s="605"/>
      <c r="V47" s="605"/>
      <c r="Y47" s="14" t="b">
        <f>LEN(AA47) &gt; 0</f>
        <v>1</v>
      </c>
      <c r="Z47" s="14" t="b">
        <v>1</v>
      </c>
      <c r="AA47" s="97" t="str">
        <f>CONCATENATE( D47)</f>
        <v>SR-0005/26</v>
      </c>
      <c r="AB47" s="95" t="str">
        <f>IF(Y47, IF( Z47, AA47, Kontrola_Neispravno), Kontrola_Obavezno)</f>
        <v>SR-0005/26</v>
      </c>
    </row>
    <row r="48" spans="2:28" ht="4.5" customHeight="1" x14ac:dyDescent="0.2">
      <c r="B48" s="86"/>
      <c r="Y48" s="14"/>
      <c r="Z48" s="14"/>
      <c r="AA48" s="97"/>
      <c r="AB48" s="94"/>
    </row>
    <row r="49" spans="2:28" ht="15" customHeight="1" x14ac:dyDescent="0.2">
      <c r="B49" s="117" t="str">
        <f>Podnozje_Direktor</f>
        <v>Lice ovlašćeno za zastupanje:</v>
      </c>
      <c r="D49" s="604" t="s">
        <v>3056</v>
      </c>
      <c r="E49" s="605"/>
      <c r="F49" s="605"/>
      <c r="G49" s="605"/>
      <c r="H49" s="605"/>
      <c r="I49" s="605"/>
      <c r="J49" s="605"/>
      <c r="K49" s="605"/>
      <c r="L49" s="605"/>
      <c r="M49" s="605"/>
      <c r="N49" s="605"/>
      <c r="O49" s="605"/>
      <c r="P49" s="605"/>
      <c r="Q49" s="605"/>
      <c r="R49" s="605"/>
      <c r="S49" s="605"/>
      <c r="T49" s="605"/>
      <c r="U49" s="605"/>
      <c r="V49" s="605"/>
      <c r="Y49" s="14" t="b">
        <f>LEN(AA49) &gt; 0</f>
        <v>1</v>
      </c>
      <c r="Z49" s="14" t="b">
        <v>1</v>
      </c>
      <c r="AA49" s="97" t="str">
        <f>CONCATENATE( D49)</f>
        <v>Aco Stanišić ma.ecc.</v>
      </c>
      <c r="AB49" s="95" t="str">
        <f>IF(Y49, IF( Z49, AA49, Kontrola_Neispravno), Kontrola_Obavezno)</f>
        <v>Aco Stanišić ma.ecc.</v>
      </c>
    </row>
    <row r="50" spans="2:28" ht="15" customHeight="1" x14ac:dyDescent="0.2">
      <c r="B50" s="48"/>
      <c r="Y50" s="14"/>
      <c r="Z50" s="14"/>
      <c r="AA50" s="97"/>
      <c r="AB50" s="94"/>
    </row>
    <row r="51" spans="2:28" ht="15.75" customHeight="1" x14ac:dyDescent="0.2">
      <c r="B51" s="463" t="str" cm="1">
        <f t="array" ref="B51">Objasnjenja_Kontakt</f>
        <v>Kontakt podaci:</v>
      </c>
      <c r="Y51" s="14"/>
      <c r="Z51" s="14"/>
      <c r="AA51" s="97"/>
      <c r="AB51" s="94"/>
    </row>
    <row r="52" spans="2:28" ht="15" customHeight="1" x14ac:dyDescent="0.2">
      <c r="B52" s="86" t="str">
        <f>Kontakt_Adresa</f>
        <v>Adresa i broj:</v>
      </c>
      <c r="D52" s="600" t="s">
        <v>3057</v>
      </c>
      <c r="E52" s="601"/>
      <c r="F52" s="601"/>
      <c r="G52" s="601"/>
      <c r="H52" s="601"/>
      <c r="I52" s="601"/>
      <c r="J52" s="601"/>
      <c r="K52" s="601"/>
      <c r="L52" s="601"/>
      <c r="M52" s="601"/>
      <c r="N52" s="601"/>
      <c r="O52" s="601"/>
      <c r="P52" s="601"/>
      <c r="Q52" s="601"/>
      <c r="R52" s="601"/>
      <c r="S52" s="601"/>
      <c r="T52" s="601"/>
      <c r="U52" s="601"/>
      <c r="V52" s="601"/>
      <c r="Y52" s="14" t="b">
        <f>LEN(AA52) &gt; 0</f>
        <v>1</v>
      </c>
      <c r="Z52" s="14" t="b">
        <v>1</v>
      </c>
      <c r="AA52" s="97" t="str">
        <f>CONCATENATE( D52)</f>
        <v>Nikole Tesle 12</v>
      </c>
      <c r="AB52" s="95" t="str">
        <f>IF(Y52, IF( Z52, AA52, Kontrola_Neispravno), Kontrola_Obavezno)</f>
        <v>Nikole Tesle 12</v>
      </c>
    </row>
    <row r="53" spans="2:28" ht="4.5" customHeight="1" x14ac:dyDescent="0.2">
      <c r="B53" s="48"/>
      <c r="Y53" s="14"/>
      <c r="Z53" s="14"/>
      <c r="AA53" s="97"/>
      <c r="AB53" s="94"/>
    </row>
    <row r="54" spans="2:28" ht="15" customHeight="1" x14ac:dyDescent="0.2">
      <c r="B54" s="86" t="str">
        <f>Kontakt_web</f>
        <v>Internet adresa:</v>
      </c>
      <c r="D54" s="600" t="s">
        <v>3058</v>
      </c>
      <c r="E54" s="601"/>
      <c r="F54" s="601"/>
      <c r="G54" s="601"/>
      <c r="H54" s="601"/>
      <c r="I54" s="601"/>
      <c r="J54" s="601"/>
      <c r="K54" s="601"/>
      <c r="L54" s="601"/>
      <c r="M54" s="601"/>
      <c r="N54" s="601"/>
      <c r="O54" s="601"/>
      <c r="P54" s="601"/>
      <c r="Q54" s="601"/>
      <c r="R54" s="601"/>
      <c r="S54" s="601"/>
      <c r="T54" s="601"/>
      <c r="U54" s="601"/>
      <c r="V54" s="601"/>
      <c r="Y54" s="14" t="b">
        <f>LEN(AA54) &gt;= 0</f>
        <v>1</v>
      </c>
      <c r="Z54" s="14" t="b">
        <v>1</v>
      </c>
      <c r="AA54" s="97" t="str">
        <f>CONCATENATE( D54)</f>
        <v>edbpale.com</v>
      </c>
      <c r="AB54" s="95" t="str">
        <f>IF(Y54, IF( Z54, AA54, Kontrola_Neispravno), Kontrola_Obavezno)</f>
        <v>edbpale.com</v>
      </c>
    </row>
    <row r="55" spans="2:28" ht="4.5" customHeight="1" x14ac:dyDescent="0.2">
      <c r="B55" s="86"/>
      <c r="D55"/>
      <c r="E55"/>
      <c r="F55"/>
      <c r="G55"/>
      <c r="H55"/>
      <c r="I55"/>
      <c r="J55"/>
      <c r="K55"/>
      <c r="L55"/>
      <c r="M55"/>
      <c r="N55"/>
      <c r="O55"/>
      <c r="P55"/>
      <c r="Q55"/>
      <c r="R55"/>
      <c r="S55"/>
      <c r="T55"/>
      <c r="U55"/>
      <c r="V55"/>
      <c r="Y55" s="14"/>
      <c r="Z55" s="14"/>
      <c r="AA55" s="97"/>
      <c r="AB55" s="94"/>
    </row>
    <row r="56" spans="2:28" ht="15" customHeight="1" x14ac:dyDescent="0.2">
      <c r="B56" s="86" t="str">
        <f>Kontakt_email</f>
        <v>Adresa e-pošte (email):</v>
      </c>
      <c r="D56" s="600" t="s">
        <v>3059</v>
      </c>
      <c r="E56" s="601"/>
      <c r="F56" s="601"/>
      <c r="G56" s="601"/>
      <c r="H56" s="601"/>
      <c r="I56" s="601"/>
      <c r="J56" s="601"/>
      <c r="K56" s="601"/>
      <c r="L56" s="601"/>
      <c r="M56" s="601"/>
      <c r="N56" s="601"/>
      <c r="O56" s="601"/>
      <c r="P56" s="601"/>
      <c r="Q56" s="601"/>
      <c r="R56" s="601"/>
      <c r="S56" s="601"/>
      <c r="T56" s="601"/>
      <c r="U56" s="601"/>
      <c r="V56" s="601"/>
      <c r="Y56" s="14" t="b">
        <f>LEN(AA56) &gt; 0</f>
        <v>1</v>
      </c>
      <c r="Z56" s="14" t="b">
        <v>1</v>
      </c>
      <c r="AA56" s="97" t="str">
        <f>CONCATENATE(D56)</f>
        <v>uprava@edbpale.com</v>
      </c>
      <c r="AB56" s="95" t="str">
        <f>IF(Y56, IF( Z56, AA56, Kontrola_Neispravno), Kontrola_Obavezno)</f>
        <v>uprava@edbpale.com</v>
      </c>
    </row>
    <row r="57" spans="2:28" ht="4.5" customHeight="1" x14ac:dyDescent="0.2">
      <c r="B57" s="86"/>
      <c r="D57" s="2"/>
      <c r="E57" s="2"/>
      <c r="F57" s="2"/>
      <c r="G57" s="2"/>
      <c r="H57" s="2"/>
      <c r="I57" s="2"/>
      <c r="J57" s="2"/>
      <c r="K57" s="2"/>
      <c r="L57" s="2"/>
      <c r="M57" s="2"/>
      <c r="N57" s="2"/>
      <c r="O57" s="2"/>
      <c r="P57" s="2"/>
      <c r="Q57" s="45"/>
      <c r="R57" s="45"/>
      <c r="S57" s="45"/>
      <c r="T57" s="45"/>
      <c r="U57"/>
      <c r="Y57" s="14"/>
      <c r="Z57" s="14"/>
      <c r="AA57" s="97"/>
      <c r="AB57" s="94"/>
    </row>
    <row r="58" spans="2:28" ht="15" customHeight="1" x14ac:dyDescent="0.2">
      <c r="B58" s="86" t="str">
        <f>Kontakt_tel</f>
        <v>Telefon:</v>
      </c>
      <c r="D58" s="84">
        <v>0</v>
      </c>
      <c r="E58" s="84">
        <v>5</v>
      </c>
      <c r="F58" s="84">
        <v>7</v>
      </c>
      <c r="G58" s="45" t="s">
        <v>418</v>
      </c>
      <c r="H58" s="574">
        <v>2</v>
      </c>
      <c r="I58" s="574">
        <v>2</v>
      </c>
      <c r="J58" s="574">
        <v>7</v>
      </c>
      <c r="K58" s="45" t="s">
        <v>418</v>
      </c>
      <c r="L58" s="84">
        <v>0</v>
      </c>
      <c r="M58" s="84">
        <v>8</v>
      </c>
      <c r="N58" s="84">
        <v>6</v>
      </c>
      <c r="O58" s="45"/>
      <c r="P58" s="45"/>
      <c r="Q58" s="45"/>
      <c r="R58" s="45"/>
      <c r="S58" s="45"/>
      <c r="T58" s="45"/>
      <c r="U58"/>
      <c r="V58"/>
      <c r="Y58" s="14" t="b">
        <f>LEN(AA58) = 11</f>
        <v>1</v>
      </c>
      <c r="Z58" s="14" t="b">
        <v>1</v>
      </c>
      <c r="AA58" s="97" t="str">
        <f>CONCATENATE( D58,E58, F58, G58, H58, I58, J58, K58, L58, M58, N58)</f>
        <v>057-227-086</v>
      </c>
      <c r="AB58" s="95" t="str">
        <f>IF(Y58, IF( Z58, AA58, Kontrola_Neispravno), Kontrola_Obavezno)</f>
        <v>057-227-086</v>
      </c>
    </row>
    <row r="59" spans="2:28" ht="4.5" customHeight="1" x14ac:dyDescent="0.2">
      <c r="B59" s="48"/>
      <c r="D59"/>
      <c r="E59"/>
      <c r="F59"/>
      <c r="G59"/>
      <c r="H59"/>
      <c r="I59"/>
      <c r="J59"/>
      <c r="K59"/>
      <c r="L59"/>
      <c r="M59"/>
      <c r="N59"/>
      <c r="O59"/>
      <c r="P59" s="45"/>
      <c r="Q59" s="45"/>
      <c r="R59" s="45"/>
      <c r="S59" s="45"/>
      <c r="T59" s="45"/>
      <c r="U59"/>
      <c r="Y59" s="14"/>
      <c r="Z59" s="14"/>
      <c r="AA59" s="97"/>
      <c r="AB59" s="94"/>
    </row>
    <row r="60" spans="2:28" ht="15" customHeight="1" x14ac:dyDescent="0.2">
      <c r="B60" s="86" t="str">
        <f>Kontakt_fax</f>
        <v>Faks:</v>
      </c>
      <c r="D60" s="84"/>
      <c r="E60" s="84"/>
      <c r="F60" s="84"/>
      <c r="G60" s="45" t="s">
        <v>418</v>
      </c>
      <c r="H60" s="84"/>
      <c r="I60" s="84"/>
      <c r="J60" s="84"/>
      <c r="K60" s="45" t="s">
        <v>418</v>
      </c>
      <c r="L60" s="84"/>
      <c r="M60" s="84"/>
      <c r="N60" s="84"/>
      <c r="O60" s="45"/>
      <c r="P60" s="45"/>
      <c r="Y60" s="14" t="b">
        <f>OR( LEN( AA60) = 2, LEN(AA60) = 11)</f>
        <v>1</v>
      </c>
      <c r="Z60" s="14" t="b">
        <v>1</v>
      </c>
      <c r="AA60" s="97" t="str">
        <f>CONCATENATE( D60,E60, F60, G60, H60, I60, J60, K60, L60, M60, N60)</f>
        <v>--</v>
      </c>
      <c r="AB60" s="95" t="str">
        <f>IF(Y60, IF( Z60, AA60, Kontrola_Neispravno), Kontrola_Obavezno)</f>
        <v>--</v>
      </c>
    </row>
    <row r="61" spans="2:28" ht="12.75" customHeight="1" x14ac:dyDescent="0.2">
      <c r="Y61" s="14"/>
      <c r="Z61" s="14"/>
      <c r="AA61" s="97"/>
    </row>
    <row r="62" spans="2:28" ht="15.75" customHeight="1" x14ac:dyDescent="0.2">
      <c r="B62" s="101" t="str">
        <f>Revizija_Revidiran_izvjestaj</f>
        <v>Revidiran izvještaj:</v>
      </c>
      <c r="D62" s="103"/>
      <c r="E62" s="104"/>
      <c r="Y62" s="219" t="b">
        <v>0</v>
      </c>
      <c r="Z62" s="14"/>
      <c r="AA62" s="97"/>
    </row>
    <row r="63" spans="2:28" ht="4.5" customHeight="1" x14ac:dyDescent="0.2">
      <c r="B63" s="105"/>
      <c r="D63"/>
      <c r="E63"/>
      <c r="Y63" s="220"/>
      <c r="Z63" s="14"/>
      <c r="AA63" s="97"/>
    </row>
    <row r="64" spans="2:28" ht="17.25" customHeight="1" x14ac:dyDescent="0.2">
      <c r="B64" s="86"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7" t="str">
        <f>VLOOKUP( Podesavanja!$E$1, Podesavanja!$E$3:$F$6, 2, 0)</f>
        <v/>
      </c>
      <c r="AB64" s="93" t="str">
        <f>IF(Y64, IF( Z64, AA64, Kontrola_Neispravno), Kontrola_Obavezno)</f>
        <v/>
      </c>
    </row>
    <row r="65" spans="1:28" ht="4.5" customHeight="1" x14ac:dyDescent="0.2">
      <c r="B65" s="86"/>
      <c r="C65" s="9"/>
      <c r="D65" s="9"/>
      <c r="E65" s="9"/>
      <c r="F65" s="9"/>
      <c r="G65" s="9"/>
      <c r="H65" s="9"/>
      <c r="I65" s="9"/>
      <c r="J65" s="9"/>
      <c r="K65" s="9"/>
      <c r="L65" s="9"/>
      <c r="M65" s="9"/>
      <c r="N65" s="9"/>
      <c r="O65" s="9"/>
      <c r="P65" s="9"/>
      <c r="Q65" s="9"/>
      <c r="R65" s="9"/>
      <c r="S65" s="9"/>
      <c r="T65" s="9"/>
      <c r="U65" s="9"/>
      <c r="V65" s="9"/>
      <c r="Y65" s="14"/>
      <c r="Z65" s="14"/>
      <c r="AA65" s="97"/>
    </row>
    <row r="66" spans="1:28" ht="15" customHeight="1" x14ac:dyDescent="0.2">
      <c r="B66" s="120"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7"/>
    </row>
    <row r="67" spans="1:28" ht="15" customHeight="1" x14ac:dyDescent="0.2">
      <c r="A67" s="9"/>
      <c r="B67" s="86" t="str">
        <f>IF( Revidiran_izvjestaj, Zaglavlje_MB, "")</f>
        <v/>
      </c>
      <c r="C67" s="9"/>
      <c r="D67" s="84"/>
      <c r="E67" s="84"/>
      <c r="F67" s="84"/>
      <c r="G67" s="84"/>
      <c r="H67" s="84"/>
      <c r="I67" s="84"/>
      <c r="J67" s="84"/>
      <c r="K67" s="84"/>
      <c r="L67" s="9"/>
      <c r="M67" s="9"/>
      <c r="N67" s="9"/>
      <c r="O67" s="9"/>
      <c r="P67" s="9"/>
      <c r="Q67" s="9"/>
      <c r="R67" s="9"/>
      <c r="S67" s="9"/>
      <c r="T67" s="9"/>
      <c r="U67" s="9"/>
      <c r="V67" s="9"/>
      <c r="Y67" s="14" t="b">
        <f>OR( NOT(Revidiran_izvjestaj), LEN(AA67) &gt;= 7)</f>
        <v>1</v>
      </c>
      <c r="Z67" s="14" t="b">
        <v>1</v>
      </c>
      <c r="AA67" s="97" t="str">
        <f>CONCATENATE( D67, E67, F67, G67, H67, I67, J67, K67)</f>
        <v/>
      </c>
      <c r="AB67" s="93" t="str">
        <f>IF(Y67, IF( Z67, AA67, Kontrola_Neispravno), Kontrola_Obavezno)</f>
        <v/>
      </c>
    </row>
    <row r="68" spans="1:28" ht="4.5" customHeight="1" x14ac:dyDescent="0.2">
      <c r="A68" s="9"/>
      <c r="B68" s="79"/>
      <c r="C68" s="79"/>
      <c r="D68" s="79"/>
      <c r="E68" s="79"/>
      <c r="F68" s="79"/>
      <c r="G68" s="79"/>
      <c r="H68" s="79"/>
      <c r="I68" s="79"/>
      <c r="J68" s="79"/>
      <c r="K68" s="79"/>
      <c r="L68" s="79"/>
      <c r="M68" s="79"/>
      <c r="N68" s="79"/>
      <c r="O68" s="79"/>
      <c r="P68" s="79"/>
      <c r="Q68" s="79"/>
      <c r="R68" s="79"/>
      <c r="S68" s="79"/>
      <c r="T68" s="79"/>
      <c r="U68" s="79"/>
      <c r="V68" s="79"/>
      <c r="Y68" s="14"/>
      <c r="Z68" s="14"/>
      <c r="AA68" s="97"/>
    </row>
    <row r="69" spans="1:28" ht="12.75" customHeight="1" x14ac:dyDescent="0.2">
      <c r="A69" s="9"/>
      <c r="B69" s="595"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7"/>
    </row>
    <row r="70" spans="1:28" ht="15" customHeight="1" x14ac:dyDescent="0.2">
      <c r="A70" s="9"/>
      <c r="B70" s="595"/>
      <c r="C70" s="9"/>
      <c r="D70" s="606"/>
      <c r="E70" s="606"/>
      <c r="F70" s="606"/>
      <c r="G70" s="606"/>
      <c r="H70" s="606"/>
      <c r="I70" s="606"/>
      <c r="J70" s="606"/>
      <c r="K70" s="606"/>
      <c r="L70" s="606"/>
      <c r="M70" s="606"/>
      <c r="N70" s="606"/>
      <c r="O70" s="606"/>
      <c r="P70" s="606"/>
      <c r="Q70" s="606"/>
      <c r="R70" s="606"/>
      <c r="S70" s="606"/>
      <c r="T70" s="606"/>
      <c r="U70" s="606"/>
      <c r="V70" s="606"/>
      <c r="Y70" s="14" t="b">
        <f>OR( NOT(Revidiran_izvjestaj), LEN(AA70) &gt; 0)</f>
        <v>1</v>
      </c>
      <c r="Z70" s="14" t="b">
        <v>1</v>
      </c>
      <c r="AA70" s="97" t="str">
        <f>CONCATENATE(D70)</f>
        <v/>
      </c>
      <c r="AB70" s="95" t="str">
        <f>IF(Y70, IF( Z70, AA70, Kontrola_Neispravno), Kontrola_Obavezno)</f>
        <v/>
      </c>
    </row>
    <row r="71" spans="1:28" ht="4.5" customHeight="1" x14ac:dyDescent="0.2">
      <c r="A71" s="9"/>
      <c r="B71" s="86"/>
      <c r="C71" s="9"/>
      <c r="D71" s="96"/>
      <c r="E71" s="96"/>
      <c r="F71" s="96"/>
      <c r="G71" s="96"/>
      <c r="H71" s="96"/>
      <c r="I71" s="96"/>
      <c r="J71" s="96"/>
      <c r="K71" s="96"/>
      <c r="L71" s="96"/>
      <c r="M71" s="96"/>
      <c r="N71" s="96"/>
      <c r="O71" s="96"/>
      <c r="P71" s="96"/>
      <c r="Q71" s="96"/>
      <c r="R71" s="96"/>
      <c r="S71" s="96"/>
      <c r="T71" s="96"/>
      <c r="U71" s="96"/>
      <c r="V71" s="96"/>
      <c r="Y71" s="14"/>
      <c r="Z71" s="14"/>
      <c r="AA71" s="97"/>
      <c r="AB71" s="94"/>
    </row>
    <row r="72" spans="1:28" ht="15" customHeight="1" x14ac:dyDescent="0.2">
      <c r="A72" s="9"/>
      <c r="B72" s="86" t="str">
        <f>IF( Revidiran_izvjestaj, Zaglavlje_Sjediste, "")</f>
        <v/>
      </c>
      <c r="C72" s="9"/>
      <c r="D72" s="606"/>
      <c r="E72" s="606"/>
      <c r="F72" s="606"/>
      <c r="G72" s="606"/>
      <c r="H72" s="606"/>
      <c r="I72" s="606"/>
      <c r="J72" s="606"/>
      <c r="K72" s="606"/>
      <c r="L72" s="606"/>
      <c r="M72" s="606"/>
      <c r="N72" s="606"/>
      <c r="O72" s="606"/>
      <c r="P72" s="606"/>
      <c r="Q72" s="606"/>
      <c r="R72" s="606"/>
      <c r="S72" s="606"/>
      <c r="T72" s="606"/>
      <c r="U72" s="606"/>
      <c r="V72" s="606"/>
      <c r="Y72" s="14" t="b">
        <f>OR( NOT(Revidiran_izvjestaj), LEN(AA72) &gt; 0)</f>
        <v>1</v>
      </c>
      <c r="Z72" s="14" t="b">
        <v>1</v>
      </c>
      <c r="AA72" s="97" t="str">
        <f>CONCATENATE(D72)</f>
        <v/>
      </c>
      <c r="AB72" s="93" t="str">
        <f>IF(Y72, IF( Z72, AA72, Kontrola_Neispravno), Kontrola_Obavezno)</f>
        <v/>
      </c>
    </row>
    <row r="73" spans="1:28" ht="4.5" customHeight="1" x14ac:dyDescent="0.2">
      <c r="A73" s="9"/>
      <c r="B73" s="86"/>
      <c r="C73" s="9"/>
      <c r="D73" s="9"/>
      <c r="E73" s="9"/>
      <c r="F73" s="9"/>
      <c r="G73" s="9"/>
      <c r="H73" s="9"/>
      <c r="I73" s="9"/>
      <c r="J73" s="9"/>
      <c r="K73" s="9"/>
      <c r="L73" s="9"/>
      <c r="M73" s="9"/>
      <c r="N73" s="9"/>
      <c r="O73" s="9"/>
      <c r="P73" s="9"/>
      <c r="Q73" s="9"/>
      <c r="R73" s="9"/>
      <c r="S73" s="9"/>
      <c r="T73" s="9"/>
      <c r="U73" s="9"/>
      <c r="V73" s="9"/>
      <c r="Y73" s="14"/>
      <c r="Z73" s="14"/>
      <c r="AA73" s="97"/>
      <c r="AB73" s="94"/>
    </row>
    <row r="74" spans="1:28" ht="15" customHeight="1" x14ac:dyDescent="0.2">
      <c r="A74" s="9"/>
      <c r="B74" s="86" t="str">
        <f>IF( Revidiran_izvjestaj, Zaglavlje_JIB, "")</f>
        <v/>
      </c>
      <c r="C74" s="9"/>
      <c r="D74" s="84"/>
      <c r="E74" s="143"/>
      <c r="F74" s="144"/>
      <c r="G74" s="84"/>
      <c r="H74" s="143"/>
      <c r="I74" s="144"/>
      <c r="J74" s="84"/>
      <c r="K74" s="143"/>
      <c r="L74" s="144"/>
      <c r="M74" s="143"/>
      <c r="N74" s="144"/>
      <c r="O74" s="143"/>
      <c r="P74" s="144"/>
      <c r="Q74" s="85"/>
      <c r="R74" s="85"/>
      <c r="S74" s="85"/>
      <c r="T74" s="85"/>
      <c r="U74" s="85"/>
      <c r="V74" s="85"/>
      <c r="Y74" s="14" t="b">
        <f>OR( NOT(Revidiran_izvjestaj), LEN(AA74) = 13)</f>
        <v>1</v>
      </c>
      <c r="Z74" s="218"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8" t="str">
        <f>CONCATENATE( D74, E74, F74, G74, H74, I74, J74, K74, L74, M74, N74, O74, P74)</f>
        <v/>
      </c>
      <c r="AB74" s="93" t="str">
        <f>IF(Y74, IF( Z74, AA74, Kontrola_Neispravno), Kontrola_Obavezno)</f>
        <v/>
      </c>
    </row>
    <row r="75" spans="1:28" ht="12.75" customHeight="1" x14ac:dyDescent="0.2">
      <c r="A75" s="9"/>
      <c r="B75"/>
      <c r="C75"/>
      <c r="D75"/>
      <c r="E75"/>
      <c r="F75"/>
      <c r="Y75" s="14"/>
      <c r="Z75" s="14"/>
    </row>
    <row r="76" spans="1:28" ht="15.75" customHeight="1" x14ac:dyDescent="0.2">
      <c r="A76" s="9"/>
      <c r="B76" s="101" t="str">
        <f>Konsolidovani_Konsolidavani_Izvjestaj</f>
        <v>Konsolidovan izvještaj:</v>
      </c>
      <c r="D76" s="103"/>
      <c r="E76" s="104"/>
      <c r="F76"/>
      <c r="Y76" s="100" t="b">
        <v>0</v>
      </c>
      <c r="Z76" s="186"/>
      <c r="AA76" s="186"/>
    </row>
    <row r="77" spans="1:28" ht="4.5" customHeight="1" x14ac:dyDescent="0.2">
      <c r="A77" s="9"/>
      <c r="B77" s="102"/>
    </row>
    <row r="78" spans="1:28" ht="15" customHeight="1" x14ac:dyDescent="0.25">
      <c r="A78" s="9"/>
      <c r="B78" s="119" t="str">
        <f>IF( Konsolidovan_izvjestaj, Konsolidovani_Konsolidovani &amp; " 1:", "")</f>
        <v/>
      </c>
    </row>
    <row r="79" spans="1:28" ht="15" customHeight="1" x14ac:dyDescent="0.2">
      <c r="A79" s="9"/>
      <c r="B79" s="86" t="str">
        <f>IF( Konsolidovan_izvjestaj, Zaglavlje_MB, "")</f>
        <v/>
      </c>
      <c r="D79" s="84"/>
      <c r="E79" s="84"/>
      <c r="F79" s="84"/>
      <c r="G79" s="84"/>
      <c r="H79" s="84"/>
      <c r="I79" s="84"/>
      <c r="J79" s="84"/>
      <c r="K79" s="84"/>
      <c r="Y79"/>
      <c r="Z79"/>
      <c r="AA79"/>
    </row>
    <row r="80" spans="1:28" customFormat="1" ht="4.5" customHeight="1" x14ac:dyDescent="0.2">
      <c r="A80" s="79"/>
      <c r="B80" s="79"/>
    </row>
    <row r="81" spans="1:27" ht="12.75" customHeight="1" x14ac:dyDescent="0.2">
      <c r="A81" s="9"/>
      <c r="B81" s="595" t="str">
        <f>IF( Konsolidovan_izvjestaj, Zaglavlje_Naziv_preduzeca, "")</f>
        <v/>
      </c>
      <c r="Y81"/>
      <c r="Z81"/>
      <c r="AA81"/>
    </row>
    <row r="82" spans="1:27" ht="21" customHeight="1" x14ac:dyDescent="0.2">
      <c r="A82" s="9"/>
      <c r="B82" s="595"/>
      <c r="D82" s="601"/>
      <c r="E82" s="601"/>
      <c r="F82" s="601"/>
      <c r="G82" s="601"/>
      <c r="H82" s="601"/>
      <c r="I82" s="601"/>
      <c r="J82" s="601"/>
      <c r="K82" s="601"/>
      <c r="L82" s="601"/>
      <c r="M82" s="601"/>
      <c r="N82" s="601"/>
      <c r="O82" s="601"/>
      <c r="P82" s="601"/>
      <c r="Q82" s="601"/>
      <c r="R82" s="601"/>
      <c r="S82" s="601"/>
      <c r="T82" s="601"/>
      <c r="U82" s="601"/>
      <c r="V82" s="601"/>
      <c r="Y82"/>
      <c r="Z82"/>
      <c r="AA82"/>
    </row>
    <row r="83" spans="1:27" ht="10.5" customHeight="1" x14ac:dyDescent="0.2">
      <c r="A83" s="9"/>
      <c r="B83" s="86"/>
      <c r="D83" s="2"/>
      <c r="E83" s="2"/>
      <c r="F83" s="2"/>
      <c r="G83" s="2"/>
      <c r="H83" s="2"/>
      <c r="I83" s="2"/>
      <c r="J83" s="2"/>
      <c r="K83" s="2"/>
      <c r="L83" s="2"/>
      <c r="M83" s="2"/>
      <c r="N83" s="2"/>
      <c r="O83" s="2"/>
      <c r="P83" s="2"/>
      <c r="Q83" s="2"/>
      <c r="R83" s="2"/>
      <c r="S83" s="2"/>
      <c r="T83" s="2"/>
      <c r="U83" s="2"/>
      <c r="V83" s="2"/>
      <c r="Y83"/>
      <c r="Z83"/>
      <c r="AA83"/>
    </row>
    <row r="84" spans="1:27" ht="15" customHeight="1" x14ac:dyDescent="0.2">
      <c r="A84" s="9"/>
      <c r="B84" s="86" t="str">
        <f>IF( Konsolidovan_izvjestaj, Zaglavlje_Sjediste, "")</f>
        <v/>
      </c>
      <c r="D84" s="601"/>
      <c r="E84" s="601"/>
      <c r="F84" s="601"/>
      <c r="G84" s="601"/>
      <c r="H84" s="601"/>
      <c r="I84" s="601"/>
      <c r="J84" s="601"/>
      <c r="K84" s="601"/>
      <c r="L84" s="601"/>
      <c r="M84" s="601"/>
      <c r="N84" s="601"/>
      <c r="O84" s="601"/>
      <c r="P84" s="601"/>
      <c r="Q84" s="601"/>
      <c r="R84" s="601"/>
      <c r="S84" s="601"/>
      <c r="T84" s="601"/>
      <c r="U84" s="601"/>
      <c r="V84" s="601"/>
      <c r="Y84"/>
      <c r="Z84"/>
      <c r="AA84"/>
    </row>
    <row r="85" spans="1:27" ht="4.5" customHeight="1" x14ac:dyDescent="0.2">
      <c r="A85" s="9"/>
      <c r="B85" s="86"/>
      <c r="Y85"/>
      <c r="Z85"/>
      <c r="AA85"/>
    </row>
    <row r="86" spans="1:27" ht="15" customHeight="1" x14ac:dyDescent="0.2">
      <c r="A86" s="9"/>
      <c r="B86" s="86" t="str">
        <f>IF( Konsolidovan_izvjestaj, Zaglavlje_JIB, "")</f>
        <v/>
      </c>
      <c r="D86" s="84"/>
      <c r="E86" s="143"/>
      <c r="F86" s="144"/>
      <c r="G86" s="84"/>
      <c r="H86" s="143"/>
      <c r="I86" s="144"/>
      <c r="J86" s="84"/>
      <c r="K86" s="143"/>
      <c r="L86" s="144"/>
      <c r="M86" s="143"/>
      <c r="N86" s="144"/>
      <c r="O86" s="143"/>
      <c r="P86" s="144"/>
      <c r="Q86" s="45"/>
      <c r="R86" s="45"/>
      <c r="S86" s="45"/>
      <c r="T86" s="45"/>
      <c r="U86" s="45"/>
      <c r="V86" s="45"/>
      <c r="Y86"/>
      <c r="Z86"/>
      <c r="AA86"/>
    </row>
    <row r="87" spans="1:27" ht="4.5" customHeight="1" x14ac:dyDescent="0.2">
      <c r="A87" s="9"/>
      <c r="B87" s="102"/>
      <c r="Y87"/>
      <c r="Z87"/>
      <c r="AA87"/>
    </row>
    <row r="88" spans="1:27" ht="15" customHeight="1" x14ac:dyDescent="0.25">
      <c r="A88" s="9"/>
      <c r="B88" s="119" t="str">
        <f>IF( Konsolidovan_izvjestaj, Konsolidovani_Konsolidovani &amp; " 2:", "")</f>
        <v/>
      </c>
      <c r="Y88"/>
      <c r="Z88"/>
      <c r="AA88"/>
    </row>
    <row r="89" spans="1:27" ht="15" customHeight="1" x14ac:dyDescent="0.2">
      <c r="A89" s="9"/>
      <c r="B89" s="86" t="str">
        <f>IF( Konsolidovan_izvjestaj, Zaglavlje_MB, "")</f>
        <v/>
      </c>
      <c r="D89" s="84"/>
      <c r="E89" s="84"/>
      <c r="F89" s="84"/>
      <c r="G89" s="84"/>
      <c r="H89" s="84"/>
      <c r="I89" s="84"/>
      <c r="J89" s="84"/>
      <c r="K89" s="84"/>
      <c r="Y89"/>
      <c r="Z89"/>
      <c r="AA89"/>
    </row>
    <row r="90" spans="1:27" ht="4.5" customHeight="1" x14ac:dyDescent="0.2">
      <c r="A90" s="9"/>
      <c r="B90" s="79"/>
    </row>
    <row r="91" spans="1:27" ht="12.75" customHeight="1" x14ac:dyDescent="0.2">
      <c r="A91" s="9"/>
      <c r="B91" s="595" t="str">
        <f>IF( Konsolidovan_izvjestaj, Zaglavlje_Naziv_preduzeca, "")</f>
        <v/>
      </c>
    </row>
    <row r="92" spans="1:27" ht="21.75" customHeight="1" x14ac:dyDescent="0.2">
      <c r="A92" s="9"/>
      <c r="B92" s="595"/>
      <c r="D92" s="601"/>
      <c r="E92" s="601"/>
      <c r="F92" s="601"/>
      <c r="G92" s="601"/>
      <c r="H92" s="601"/>
      <c r="I92" s="601"/>
      <c r="J92" s="601"/>
      <c r="K92" s="601"/>
      <c r="L92" s="601"/>
      <c r="M92" s="601"/>
      <c r="N92" s="601"/>
      <c r="O92" s="601"/>
      <c r="P92" s="601"/>
      <c r="Q92" s="601"/>
      <c r="R92" s="601"/>
      <c r="S92" s="601"/>
      <c r="T92" s="601"/>
      <c r="U92" s="601"/>
      <c r="V92" s="601"/>
    </row>
    <row r="93" spans="1:27" ht="10.5" customHeight="1" x14ac:dyDescent="0.2">
      <c r="A93" s="9"/>
      <c r="B93" s="86"/>
      <c r="D93" s="2"/>
      <c r="E93" s="2"/>
      <c r="F93" s="2"/>
      <c r="G93" s="2"/>
      <c r="H93" s="2"/>
      <c r="I93" s="2"/>
      <c r="J93" s="2"/>
      <c r="K93" s="2"/>
      <c r="L93" s="2"/>
      <c r="M93" s="2"/>
      <c r="N93" s="2"/>
      <c r="O93" s="2"/>
      <c r="P93" s="2"/>
      <c r="Q93" s="2"/>
      <c r="R93" s="2"/>
      <c r="S93" s="2"/>
      <c r="T93" s="2"/>
      <c r="U93" s="2"/>
      <c r="V93" s="2"/>
    </row>
    <row r="94" spans="1:27" ht="15" customHeight="1" x14ac:dyDescent="0.2">
      <c r="A94" s="9"/>
      <c r="B94" s="86" t="str">
        <f>IF( Konsolidovan_izvjestaj, Zaglavlje_Sjediste, "")</f>
        <v/>
      </c>
      <c r="D94" s="601"/>
      <c r="E94" s="601"/>
      <c r="F94" s="601"/>
      <c r="G94" s="601"/>
      <c r="H94" s="601"/>
      <c r="I94" s="601"/>
      <c r="J94" s="601"/>
      <c r="K94" s="601"/>
      <c r="L94" s="601"/>
      <c r="M94" s="601"/>
      <c r="N94" s="601"/>
      <c r="O94" s="601"/>
      <c r="P94" s="601"/>
      <c r="Q94" s="601"/>
      <c r="R94" s="601"/>
      <c r="S94" s="601"/>
      <c r="T94" s="601"/>
      <c r="U94" s="601"/>
      <c r="V94" s="601"/>
    </row>
    <row r="95" spans="1:27" ht="4.5" customHeight="1" x14ac:dyDescent="0.2">
      <c r="A95" s="9"/>
      <c r="B95" s="86"/>
    </row>
    <row r="96" spans="1:27" ht="15" customHeight="1" x14ac:dyDescent="0.2">
      <c r="A96" s="9"/>
      <c r="B96" s="86" t="str">
        <f>IF( Konsolidovan_izvjestaj, Zaglavlje_JIB, "")</f>
        <v/>
      </c>
      <c r="D96" s="84"/>
      <c r="E96" s="143"/>
      <c r="F96" s="144"/>
      <c r="G96" s="84"/>
      <c r="H96" s="143"/>
      <c r="I96" s="144"/>
      <c r="J96" s="84"/>
      <c r="K96" s="143"/>
      <c r="L96" s="144"/>
      <c r="M96" s="143"/>
      <c r="N96" s="144"/>
      <c r="O96" s="143"/>
      <c r="P96" s="144"/>
      <c r="Q96" s="45"/>
      <c r="R96" s="45"/>
      <c r="S96" s="45"/>
      <c r="T96" s="45"/>
      <c r="U96" s="45"/>
      <c r="V96" s="45"/>
    </row>
    <row r="97" spans="1:32" ht="4.5" customHeight="1" x14ac:dyDescent="0.2">
      <c r="A97" s="9"/>
      <c r="B97" s="102"/>
    </row>
    <row r="98" spans="1:32" ht="15" customHeight="1" x14ac:dyDescent="0.25">
      <c r="A98" s="9"/>
      <c r="B98" s="119" t="str">
        <f>IF( Konsolidovan_izvjestaj, Konsolidovani_Konsolidovani &amp; " 3:", "")</f>
        <v/>
      </c>
    </row>
    <row r="99" spans="1:32" ht="15" customHeight="1" x14ac:dyDescent="0.2">
      <c r="A99" s="9"/>
      <c r="B99" s="86" t="str">
        <f>IF( Konsolidovan_izvjestaj, Zaglavlje_MB, "")</f>
        <v/>
      </c>
      <c r="D99" s="84"/>
      <c r="E99" s="84"/>
      <c r="F99" s="84"/>
      <c r="G99" s="84"/>
      <c r="H99" s="84"/>
      <c r="I99" s="84"/>
      <c r="J99" s="84"/>
      <c r="K99" s="84"/>
    </row>
    <row r="100" spans="1:32" customFormat="1" ht="15" customHeight="1" x14ac:dyDescent="0.2">
      <c r="A100" s="79"/>
      <c r="B100" s="79"/>
      <c r="AE100" s="8"/>
      <c r="AF100" s="8"/>
    </row>
    <row r="101" spans="1:32" ht="12.75" customHeight="1" x14ac:dyDescent="0.2">
      <c r="A101" s="9"/>
      <c r="B101" s="595" t="str">
        <f>IF( Konsolidovan_izvjestaj, Zaglavlje_Naziv_preduzeca, "")</f>
        <v/>
      </c>
    </row>
    <row r="102" spans="1:32" ht="20.25" customHeight="1" x14ac:dyDescent="0.2">
      <c r="A102" s="9"/>
      <c r="B102" s="595"/>
      <c r="D102" s="601"/>
      <c r="E102" s="601"/>
      <c r="F102" s="601"/>
      <c r="G102" s="601"/>
      <c r="H102" s="601"/>
      <c r="I102" s="601"/>
      <c r="J102" s="601"/>
      <c r="K102" s="601"/>
      <c r="L102" s="601"/>
      <c r="M102" s="601"/>
      <c r="N102" s="601"/>
      <c r="O102" s="601"/>
      <c r="P102" s="601"/>
      <c r="Q102" s="601"/>
      <c r="R102" s="601"/>
      <c r="S102" s="601"/>
      <c r="T102" s="601"/>
      <c r="U102" s="601"/>
      <c r="V102" s="601"/>
    </row>
    <row r="103" spans="1:32" ht="15" customHeight="1" x14ac:dyDescent="0.2">
      <c r="A103" s="9"/>
      <c r="B103" s="86"/>
      <c r="D103" s="2"/>
      <c r="E103" s="2"/>
      <c r="F103" s="2"/>
      <c r="G103" s="2"/>
      <c r="H103" s="2"/>
      <c r="I103" s="2"/>
      <c r="J103" s="2"/>
      <c r="K103" s="2"/>
      <c r="L103" s="2"/>
      <c r="M103" s="2"/>
      <c r="N103" s="2"/>
      <c r="O103" s="2"/>
      <c r="P103" s="2"/>
      <c r="Q103" s="2"/>
      <c r="R103" s="2"/>
      <c r="S103" s="2"/>
      <c r="T103" s="2"/>
      <c r="U103" s="2"/>
      <c r="V103" s="2"/>
    </row>
    <row r="104" spans="1:32" ht="15" customHeight="1" x14ac:dyDescent="0.2">
      <c r="A104" s="9"/>
      <c r="B104" s="86" t="str">
        <f>IF( Konsolidovan_izvjestaj, Zaglavlje_Sjediste, "")</f>
        <v/>
      </c>
      <c r="D104" s="601"/>
      <c r="E104" s="601"/>
      <c r="F104" s="601"/>
      <c r="G104" s="601"/>
      <c r="H104" s="601"/>
      <c r="I104" s="601"/>
      <c r="J104" s="601"/>
      <c r="K104" s="601"/>
      <c r="L104" s="601"/>
      <c r="M104" s="601"/>
      <c r="N104" s="601"/>
      <c r="O104" s="601"/>
      <c r="P104" s="601"/>
      <c r="Q104" s="601"/>
      <c r="R104" s="601"/>
      <c r="S104" s="601"/>
      <c r="T104" s="601"/>
      <c r="U104" s="601"/>
      <c r="V104" s="601"/>
    </row>
    <row r="105" spans="1:32" ht="4.5" customHeight="1" x14ac:dyDescent="0.2">
      <c r="A105" s="9"/>
      <c r="B105" s="86"/>
    </row>
    <row r="106" spans="1:32" ht="15" customHeight="1" x14ac:dyDescent="0.2">
      <c r="A106" s="9"/>
      <c r="B106" s="86" t="str">
        <f>IF( Konsolidovan_izvjestaj, Zaglavlje_JIB, "")</f>
        <v/>
      </c>
      <c r="D106" s="84"/>
      <c r="E106" s="143"/>
      <c r="F106" s="144"/>
      <c r="G106" s="84"/>
      <c r="H106" s="143"/>
      <c r="I106" s="144"/>
      <c r="J106" s="84"/>
      <c r="K106" s="143"/>
      <c r="L106" s="144"/>
      <c r="M106" s="143"/>
      <c r="N106" s="144"/>
      <c r="O106" s="143"/>
      <c r="P106" s="144"/>
      <c r="Q106" s="45"/>
      <c r="R106" s="45"/>
      <c r="S106" s="45"/>
      <c r="T106" s="45"/>
      <c r="U106" s="45"/>
      <c r="V106" s="45"/>
    </row>
    <row r="107" spans="1:32" ht="4.5" customHeight="1" x14ac:dyDescent="0.2"/>
    <row r="108" spans="1:32" ht="15" customHeight="1" x14ac:dyDescent="0.25">
      <c r="B108" s="119" t="str">
        <f>IF( Konsolidovan_izvjestaj, Konsolidovani_Konsolidovani &amp; " 4:", "")</f>
        <v/>
      </c>
    </row>
    <row r="109" spans="1:32" ht="15" customHeight="1" x14ac:dyDescent="0.2">
      <c r="B109" s="86" t="str">
        <f>IF( Konsolidovan_izvjestaj, Zaglavlje_MB, "")</f>
        <v/>
      </c>
      <c r="D109" s="84"/>
      <c r="E109" s="84"/>
      <c r="F109" s="84"/>
      <c r="G109" s="84"/>
      <c r="H109" s="84"/>
      <c r="I109" s="84"/>
      <c r="J109" s="84"/>
      <c r="K109" s="84"/>
    </row>
    <row r="110" spans="1:32" ht="12.75" customHeight="1" x14ac:dyDescent="0.2">
      <c r="B110" s="79"/>
      <c r="C110"/>
      <c r="D110"/>
      <c r="E110"/>
      <c r="F110"/>
      <c r="G110"/>
      <c r="H110"/>
      <c r="I110"/>
      <c r="J110"/>
      <c r="K110"/>
      <c r="L110"/>
      <c r="M110"/>
      <c r="N110"/>
      <c r="O110"/>
      <c r="P110"/>
      <c r="Q110"/>
      <c r="R110"/>
      <c r="S110"/>
      <c r="T110"/>
      <c r="U110"/>
      <c r="V110"/>
    </row>
    <row r="111" spans="1:32" ht="20.25" customHeight="1" x14ac:dyDescent="0.2">
      <c r="B111" s="595" t="str">
        <f>IF( Konsolidovan_izvjestaj, Zaglavlje_Naziv_preduzeca, "")</f>
        <v/>
      </c>
    </row>
    <row r="112" spans="1:32" ht="22.5" customHeight="1" x14ac:dyDescent="0.2">
      <c r="B112" s="595"/>
      <c r="D112" s="601"/>
      <c r="E112" s="601"/>
      <c r="F112" s="601"/>
      <c r="G112" s="601"/>
      <c r="H112" s="601"/>
      <c r="I112" s="601"/>
      <c r="J112" s="601"/>
      <c r="K112" s="601"/>
      <c r="L112" s="601"/>
      <c r="M112" s="601"/>
      <c r="N112" s="601"/>
      <c r="O112" s="601"/>
      <c r="P112" s="601"/>
      <c r="Q112" s="601"/>
      <c r="R112" s="601"/>
      <c r="S112" s="601"/>
      <c r="T112" s="601"/>
      <c r="U112" s="601"/>
      <c r="V112" s="601"/>
    </row>
    <row r="113" spans="2:32" ht="12.75" customHeight="1" x14ac:dyDescent="0.2">
      <c r="B113" s="86"/>
      <c r="D113" s="2"/>
      <c r="E113" s="2"/>
      <c r="F113" s="2"/>
      <c r="G113" s="2"/>
      <c r="H113" s="2"/>
      <c r="I113" s="2"/>
      <c r="J113" s="2"/>
      <c r="K113" s="2"/>
      <c r="L113" s="2"/>
      <c r="M113" s="2"/>
      <c r="N113" s="2"/>
      <c r="O113" s="2"/>
      <c r="P113" s="2"/>
      <c r="Q113" s="2"/>
      <c r="R113" s="2"/>
      <c r="S113" s="2"/>
      <c r="T113" s="2"/>
      <c r="U113" s="2"/>
      <c r="V113" s="2"/>
      <c r="AF113" s="90"/>
    </row>
    <row r="114" spans="2:32" ht="15" customHeight="1" x14ac:dyDescent="0.2">
      <c r="B114" s="86" t="str">
        <f>IF( Konsolidovan_izvjestaj, Zaglavlje_Sjediste, "")</f>
        <v/>
      </c>
      <c r="D114" s="601"/>
      <c r="E114" s="601"/>
      <c r="F114" s="601"/>
      <c r="G114" s="601"/>
      <c r="H114" s="601"/>
      <c r="I114" s="601"/>
      <c r="J114" s="601"/>
      <c r="K114" s="601"/>
      <c r="L114" s="601"/>
      <c r="M114" s="601"/>
      <c r="N114" s="601"/>
      <c r="O114" s="601"/>
      <c r="P114" s="601"/>
      <c r="Q114" s="601"/>
      <c r="R114" s="601"/>
      <c r="S114" s="601"/>
      <c r="T114" s="601"/>
      <c r="U114" s="601"/>
      <c r="V114" s="601"/>
    </row>
    <row r="115" spans="2:32" ht="12.75" customHeight="1" x14ac:dyDescent="0.2">
      <c r="B115" s="86"/>
    </row>
    <row r="116" spans="2:32" ht="15" customHeight="1" x14ac:dyDescent="0.2">
      <c r="B116" s="86" t="str">
        <f>IF( Konsolidovan_izvjestaj, Zaglavlje_JIB, "")</f>
        <v/>
      </c>
      <c r="D116" s="84"/>
      <c r="E116" s="143"/>
      <c r="F116" s="144"/>
      <c r="G116" s="84"/>
      <c r="H116" s="143"/>
      <c r="I116" s="144"/>
      <c r="J116" s="84"/>
      <c r="K116" s="143"/>
      <c r="L116" s="144"/>
      <c r="M116" s="143"/>
      <c r="N116" s="144"/>
      <c r="O116" s="143"/>
      <c r="P116" s="144"/>
      <c r="Q116" s="45"/>
      <c r="R116" s="45"/>
      <c r="S116" s="45"/>
      <c r="T116" s="45"/>
      <c r="U116" s="45"/>
      <c r="V116" s="45"/>
    </row>
    <row r="117" spans="2:32" ht="4.5" customHeight="1" x14ac:dyDescent="0.2"/>
    <row r="118" spans="2:32" ht="15" customHeight="1" x14ac:dyDescent="0.25">
      <c r="B118" s="119" t="str">
        <f>IF( Konsolidovan_izvjestaj, Konsolidovani_Konsolidovani &amp; " 5:", "")</f>
        <v/>
      </c>
    </row>
    <row r="119" spans="2:32" ht="15" customHeight="1" x14ac:dyDescent="0.2">
      <c r="B119" s="86" t="str">
        <f>IF( Konsolidovan_izvjestaj, Zaglavlje_MB, "")</f>
        <v/>
      </c>
      <c r="D119" s="84"/>
      <c r="E119" s="84"/>
      <c r="F119" s="84"/>
      <c r="G119" s="84"/>
      <c r="H119" s="84"/>
      <c r="I119" s="84"/>
      <c r="J119" s="84"/>
      <c r="K119" s="84"/>
    </row>
    <row r="120" spans="2:32" ht="12.75" customHeight="1" x14ac:dyDescent="0.2">
      <c r="B120" s="79"/>
      <c r="C120"/>
      <c r="D120"/>
      <c r="E120"/>
      <c r="F120"/>
      <c r="G120"/>
      <c r="H120"/>
      <c r="I120"/>
      <c r="J120"/>
      <c r="K120"/>
      <c r="L120"/>
      <c r="M120"/>
      <c r="N120"/>
      <c r="O120"/>
      <c r="P120"/>
      <c r="Q120"/>
      <c r="R120"/>
      <c r="S120"/>
      <c r="T120"/>
      <c r="U120"/>
      <c r="V120"/>
    </row>
    <row r="121" spans="2:32" ht="18" customHeight="1" x14ac:dyDescent="0.2">
      <c r="B121" s="595" t="str">
        <f>IF( Konsolidovan_izvjestaj, Zaglavlje_Naziv_preduzeca, "")</f>
        <v/>
      </c>
    </row>
    <row r="122" spans="2:32" ht="8.25" customHeight="1" x14ac:dyDescent="0.2">
      <c r="B122" s="595"/>
      <c r="D122" s="601"/>
      <c r="E122" s="601"/>
      <c r="F122" s="601"/>
      <c r="G122" s="601"/>
      <c r="H122" s="601"/>
      <c r="I122" s="601"/>
      <c r="J122" s="601"/>
      <c r="K122" s="601"/>
      <c r="L122" s="601"/>
      <c r="M122" s="601"/>
      <c r="N122" s="601"/>
      <c r="O122" s="601"/>
      <c r="P122" s="601"/>
      <c r="Q122" s="601"/>
      <c r="R122" s="601"/>
      <c r="S122" s="601"/>
      <c r="T122" s="601"/>
      <c r="U122" s="601"/>
      <c r="V122" s="601"/>
    </row>
    <row r="123" spans="2:32" ht="12.75" customHeight="1" x14ac:dyDescent="0.2">
      <c r="B123" s="86"/>
      <c r="D123" s="2"/>
      <c r="E123" s="2"/>
      <c r="F123" s="2"/>
      <c r="G123" s="2"/>
      <c r="H123" s="2"/>
      <c r="I123" s="2"/>
      <c r="J123" s="2"/>
      <c r="K123" s="2"/>
      <c r="L123" s="2"/>
      <c r="M123" s="2"/>
      <c r="N123" s="2"/>
      <c r="O123" s="2"/>
      <c r="P123" s="2"/>
      <c r="Q123" s="2"/>
      <c r="R123" s="2"/>
      <c r="S123" s="2"/>
      <c r="T123" s="2"/>
      <c r="U123" s="2"/>
      <c r="V123" s="2"/>
    </row>
    <row r="124" spans="2:32" ht="15" customHeight="1" x14ac:dyDescent="0.2">
      <c r="B124" s="86" t="str">
        <f>IF( Konsolidovan_izvjestaj, Zaglavlje_Sjediste, "")</f>
        <v/>
      </c>
      <c r="D124" s="601"/>
      <c r="E124" s="601"/>
      <c r="F124" s="601"/>
      <c r="G124" s="601"/>
      <c r="H124" s="601"/>
      <c r="I124" s="601"/>
      <c r="J124" s="601"/>
      <c r="K124" s="601"/>
      <c r="L124" s="601"/>
      <c r="M124" s="601"/>
      <c r="N124" s="601"/>
      <c r="O124" s="601"/>
      <c r="P124" s="601"/>
      <c r="Q124" s="601"/>
      <c r="R124" s="601"/>
      <c r="S124" s="601"/>
      <c r="T124" s="601"/>
      <c r="U124" s="601"/>
      <c r="V124" s="601"/>
    </row>
    <row r="125" spans="2:32" ht="12.75" customHeight="1" x14ac:dyDescent="0.2">
      <c r="B125" s="86"/>
    </row>
    <row r="126" spans="2:32" ht="15" customHeight="1" x14ac:dyDescent="0.2">
      <c r="B126" s="86" t="str">
        <f>IF( Konsolidovan_izvjestaj, Zaglavlje_JIB, "")</f>
        <v/>
      </c>
      <c r="D126" s="84"/>
      <c r="E126" s="143"/>
      <c r="F126" s="144"/>
      <c r="G126" s="84"/>
      <c r="H126" s="143"/>
      <c r="I126" s="144"/>
      <c r="J126" s="84"/>
      <c r="K126" s="143"/>
      <c r="L126" s="144"/>
      <c r="M126" s="143"/>
      <c r="N126" s="144"/>
      <c r="O126" s="143"/>
      <c r="P126" s="144"/>
      <c r="Q126" s="45"/>
      <c r="R126" s="45"/>
      <c r="S126" s="45"/>
      <c r="T126" s="45"/>
      <c r="U126" s="45"/>
      <c r="V126" s="45"/>
    </row>
  </sheetData>
  <mergeCells count="36">
    <mergeCell ref="D82:V82"/>
    <mergeCell ref="D84:V84"/>
    <mergeCell ref="D92:V92"/>
    <mergeCell ref="D124:V124"/>
    <mergeCell ref="D94:V94"/>
    <mergeCell ref="D102:V102"/>
    <mergeCell ref="D104:V104"/>
    <mergeCell ref="D112:V112"/>
    <mergeCell ref="D114:V114"/>
    <mergeCell ref="D122:V122"/>
    <mergeCell ref="D49:V49"/>
    <mergeCell ref="D52:V52"/>
    <mergeCell ref="D56:V56"/>
    <mergeCell ref="D70:V70"/>
    <mergeCell ref="D72:V72"/>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8:E8"/>
    <mergeCell ref="G8:H8"/>
    <mergeCell ref="D10:E10"/>
    <mergeCell ref="G10:H10"/>
    <mergeCell ref="J8:L10"/>
  </mergeCells>
  <conditionalFormatting sqref="E24:P24 E74:P74 E86:P86 E96:P96 E106:P106 E116:P116 E126:P126">
    <cfRule type="expression" dxfId="267" priority="112" stopIfTrue="1">
      <formula>$O$14 &gt; 0</formula>
    </cfRule>
  </conditionalFormatting>
  <conditionalFormatting sqref="D17:E17 D29:F29 D58:F58 D60:F60 D24:P24 H60:J60 L58:N58 L60:N60 D74:P74 D67:K67 D79:K79 D89:K89 D99:K99 D109:K109 D119:K119 D86:P86 D96:P96 D106:P106 D116:P116 D126:P126">
    <cfRule type="expression" dxfId="266" priority="97" stopIfTrue="1">
      <formula>$AC$3 &gt; 0</formula>
    </cfRule>
  </conditionalFormatting>
  <conditionalFormatting sqref="G17:I17">
    <cfRule type="expression" dxfId="265" priority="95" stopIfTrue="1">
      <formula>$AC$3 &gt; 0</formula>
    </cfRule>
  </conditionalFormatting>
  <conditionalFormatting sqref="U27:V27">
    <cfRule type="expression" dxfId="264" priority="94" stopIfTrue="1">
      <formula>$AC$3 &gt; 0</formula>
    </cfRule>
  </conditionalFormatting>
  <conditionalFormatting sqref="U29:V29">
    <cfRule type="expression" dxfId="263" priority="93" stopIfTrue="1">
      <formula>$AC$3 &gt; 0</formula>
    </cfRule>
  </conditionalFormatting>
  <conditionalFormatting sqref="U31:V31">
    <cfRule type="expression" dxfId="262" priority="92" stopIfTrue="1">
      <formula>$AC$3 &gt; 0</formula>
    </cfRule>
  </conditionalFormatting>
  <conditionalFormatting sqref="U35:V35">
    <cfRule type="expression" dxfId="261" priority="90" stopIfTrue="1">
      <formula>$AC$3 &gt; 0</formula>
    </cfRule>
  </conditionalFormatting>
  <conditionalFormatting sqref="D15:K15">
    <cfRule type="expression" dxfId="260" priority="47" stopIfTrue="1">
      <formula>$AC$3 &gt; 0</formula>
    </cfRule>
  </conditionalFormatting>
  <conditionalFormatting sqref="D15:K15">
    <cfRule type="expression" dxfId="259" priority="46" stopIfTrue="1">
      <formula>$AC$3 &gt; 0</formula>
    </cfRule>
  </conditionalFormatting>
  <conditionalFormatting sqref="D27:F27">
    <cfRule type="expression" dxfId="258" priority="45" stopIfTrue="1">
      <formula>$AC$3 &gt; 0</formula>
    </cfRule>
  </conditionalFormatting>
  <conditionalFormatting sqref="D27:F27">
    <cfRule type="expression" dxfId="257" priority="44" stopIfTrue="1">
      <formula>$AC$3 &gt; 0</formula>
    </cfRule>
  </conditionalFormatting>
  <conditionalFormatting sqref="D31:F31">
    <cfRule type="expression" dxfId="256" priority="43" stopIfTrue="1">
      <formula>$AC$3 &gt; 0</formula>
    </cfRule>
  </conditionalFormatting>
  <conditionalFormatting sqref="D31:F31">
    <cfRule type="expression" dxfId="255" priority="42" stopIfTrue="1">
      <formula>$AC$3 &gt; 0</formula>
    </cfRule>
  </conditionalFormatting>
  <conditionalFormatting sqref="D33:F33">
    <cfRule type="expression" dxfId="254" priority="41" stopIfTrue="1">
      <formula>$AC$3 &gt; 0</formula>
    </cfRule>
  </conditionalFormatting>
  <conditionalFormatting sqref="D33:F33">
    <cfRule type="expression" dxfId="253" priority="40" stopIfTrue="1">
      <formula>$AC$3 &gt; 0</formula>
    </cfRule>
  </conditionalFormatting>
  <conditionalFormatting sqref="D35:F35">
    <cfRule type="expression" dxfId="252" priority="39" stopIfTrue="1">
      <formula>$AC$3 &gt; 0</formula>
    </cfRule>
  </conditionalFormatting>
  <conditionalFormatting sqref="D35:F35">
    <cfRule type="expression" dxfId="251" priority="38" stopIfTrue="1">
      <formula>$AC$3 &gt; 0</formula>
    </cfRule>
  </conditionalFormatting>
  <conditionalFormatting sqref="D37:F37">
    <cfRule type="expression" dxfId="250" priority="37" stopIfTrue="1">
      <formula>$AC$3 &gt; 0</formula>
    </cfRule>
  </conditionalFormatting>
  <conditionalFormatting sqref="D37:F37">
    <cfRule type="expression" dxfId="249" priority="36" stopIfTrue="1">
      <formula>$AC$3 &gt; 0</formula>
    </cfRule>
  </conditionalFormatting>
  <conditionalFormatting sqref="H27:J27">
    <cfRule type="expression" dxfId="248" priority="35" stopIfTrue="1">
      <formula>$AC$3 &gt; 0</formula>
    </cfRule>
  </conditionalFormatting>
  <conditionalFormatting sqref="H27:J27">
    <cfRule type="expression" dxfId="247" priority="34" stopIfTrue="1">
      <formula>$AC$3 &gt; 0</formula>
    </cfRule>
  </conditionalFormatting>
  <conditionalFormatting sqref="L27:S27">
    <cfRule type="expression" dxfId="246" priority="33" stopIfTrue="1">
      <formula>$AC$3 &gt; 0</formula>
    </cfRule>
  </conditionalFormatting>
  <conditionalFormatting sqref="L27:S27">
    <cfRule type="expression" dxfId="245" priority="32" stopIfTrue="1">
      <formula>$AC$3 &gt; 0</formula>
    </cfRule>
  </conditionalFormatting>
  <conditionalFormatting sqref="L27:S27">
    <cfRule type="expression" dxfId="244" priority="31" stopIfTrue="1">
      <formula>$AC$3 &gt; 0</formula>
    </cfRule>
  </conditionalFormatting>
  <conditionalFormatting sqref="H29:J29">
    <cfRule type="expression" dxfId="243" priority="30" stopIfTrue="1">
      <formula>$AC$3 &gt; 0</formula>
    </cfRule>
  </conditionalFormatting>
  <conditionalFormatting sqref="H29:J29">
    <cfRule type="expression" dxfId="242" priority="29" stopIfTrue="1">
      <formula>$AC$3 &gt; 0</formula>
    </cfRule>
  </conditionalFormatting>
  <conditionalFormatting sqref="H31:J31">
    <cfRule type="expression" dxfId="241" priority="28" stopIfTrue="1">
      <formula>$AC$3 &gt; 0</formula>
    </cfRule>
  </conditionalFormatting>
  <conditionalFormatting sqref="H31:J31">
    <cfRule type="expression" dxfId="240" priority="27" stopIfTrue="1">
      <formula>$AC$3 &gt; 0</formula>
    </cfRule>
  </conditionalFormatting>
  <conditionalFormatting sqref="H33:J33">
    <cfRule type="expression" dxfId="239" priority="26" stopIfTrue="1">
      <formula>$AC$3 &gt; 0</formula>
    </cfRule>
  </conditionalFormatting>
  <conditionalFormatting sqref="H33:J33">
    <cfRule type="expression" dxfId="238" priority="25" stopIfTrue="1">
      <formula>$AC$3 &gt; 0</formula>
    </cfRule>
  </conditionalFormatting>
  <conditionalFormatting sqref="H35:J35">
    <cfRule type="expression" dxfId="237" priority="24" stopIfTrue="1">
      <formula>$AC$3 &gt; 0</formula>
    </cfRule>
  </conditionalFormatting>
  <conditionalFormatting sqref="H35:J35">
    <cfRule type="expression" dxfId="236" priority="23" stopIfTrue="1">
      <formula>$AC$3 &gt; 0</formula>
    </cfRule>
  </conditionalFormatting>
  <conditionalFormatting sqref="H37:J37">
    <cfRule type="expression" dxfId="235" priority="22" stopIfTrue="1">
      <formula>$AC$3 &gt; 0</formula>
    </cfRule>
  </conditionalFormatting>
  <conditionalFormatting sqref="H37:J37">
    <cfRule type="expression" dxfId="234" priority="21" stopIfTrue="1">
      <formula>$AC$3 &gt; 0</formula>
    </cfRule>
  </conditionalFormatting>
  <conditionalFormatting sqref="L29:S29">
    <cfRule type="expression" dxfId="233" priority="20" stopIfTrue="1">
      <formula>$AC$3 &gt; 0</formula>
    </cfRule>
  </conditionalFormatting>
  <conditionalFormatting sqref="L29:S29">
    <cfRule type="expression" dxfId="232" priority="19" stopIfTrue="1">
      <formula>$AC$3 &gt; 0</formula>
    </cfRule>
  </conditionalFormatting>
  <conditionalFormatting sqref="L29:S29">
    <cfRule type="expression" dxfId="231" priority="18" stopIfTrue="1">
      <formula>$AC$3 &gt; 0</formula>
    </cfRule>
  </conditionalFormatting>
  <conditionalFormatting sqref="L31:S31">
    <cfRule type="expression" dxfId="230" priority="17" stopIfTrue="1">
      <formula>$AC$3 &gt; 0</formula>
    </cfRule>
  </conditionalFormatting>
  <conditionalFormatting sqref="L31:S31">
    <cfRule type="expression" dxfId="229" priority="16" stopIfTrue="1">
      <formula>$AC$3 &gt; 0</formula>
    </cfRule>
  </conditionalFormatting>
  <conditionalFormatting sqref="L31:S31">
    <cfRule type="expression" dxfId="228" priority="15" stopIfTrue="1">
      <formula>$AC$3 &gt; 0</formula>
    </cfRule>
  </conditionalFormatting>
  <conditionalFormatting sqref="L33:S33">
    <cfRule type="expression" dxfId="227" priority="14" stopIfTrue="1">
      <formula>$AC$3 &gt; 0</formula>
    </cfRule>
  </conditionalFormatting>
  <conditionalFormatting sqref="L33:S33">
    <cfRule type="expression" dxfId="226" priority="13" stopIfTrue="1">
      <formula>$AC$3 &gt; 0</formula>
    </cfRule>
  </conditionalFormatting>
  <conditionalFormatting sqref="L33:S33">
    <cfRule type="expression" dxfId="225" priority="12" stopIfTrue="1">
      <formula>$AC$3 &gt; 0</formula>
    </cfRule>
  </conditionalFormatting>
  <conditionalFormatting sqref="L35:S35">
    <cfRule type="expression" dxfId="224" priority="11" stopIfTrue="1">
      <formula>$AC$3 &gt; 0</formula>
    </cfRule>
  </conditionalFormatting>
  <conditionalFormatting sqref="L35:S35">
    <cfRule type="expression" dxfId="223" priority="10" stopIfTrue="1">
      <formula>$AC$3 &gt; 0</formula>
    </cfRule>
  </conditionalFormatting>
  <conditionalFormatting sqref="L35:S35">
    <cfRule type="expression" dxfId="222" priority="9" stopIfTrue="1">
      <formula>$AC$3 &gt; 0</formula>
    </cfRule>
  </conditionalFormatting>
  <conditionalFormatting sqref="L37:S37">
    <cfRule type="expression" dxfId="221" priority="8" stopIfTrue="1">
      <formula>$AC$3 &gt; 0</formula>
    </cfRule>
  </conditionalFormatting>
  <conditionalFormatting sqref="L37:S37">
    <cfRule type="expression" dxfId="220" priority="7" stopIfTrue="1">
      <formula>$AC$3 &gt; 0</formula>
    </cfRule>
  </conditionalFormatting>
  <conditionalFormatting sqref="L37:S37">
    <cfRule type="expression" dxfId="219" priority="6" stopIfTrue="1">
      <formula>$AC$3 &gt; 0</formula>
    </cfRule>
  </conditionalFormatting>
  <conditionalFormatting sqref="U33:V33">
    <cfRule type="expression" dxfId="218" priority="5" stopIfTrue="1">
      <formula>$AC$3 &gt; 0</formula>
    </cfRule>
  </conditionalFormatting>
  <conditionalFormatting sqref="U33:V33">
    <cfRule type="expression" dxfId="217" priority="4" stopIfTrue="1">
      <formula>$AC$3 &gt; 0</formula>
    </cfRule>
  </conditionalFormatting>
  <conditionalFormatting sqref="U37:V37">
    <cfRule type="expression" dxfId="216" priority="3" stopIfTrue="1">
      <formula>$AC$3 &gt; 0</formula>
    </cfRule>
  </conditionalFormatting>
  <conditionalFormatting sqref="U37:V37">
    <cfRule type="expression" dxfId="215" priority="2" stopIfTrue="1">
      <formula>$AC$3 &gt; 0</formula>
    </cfRule>
  </conditionalFormatting>
  <conditionalFormatting sqref="H58:J58">
    <cfRule type="expression" dxfId="214" priority="1" stopIfTrue="1">
      <formula>$AC$3 &gt; 0</formula>
    </cfRule>
  </conditionalFormatting>
  <dataValidations count="6">
    <dataValidation type="whole" allowBlank="1" showErrorMessage="1" errorTitle="Neispravan unos!" error="Unesite dan u mjesecu." sqref="D8:E8 D43:E43 D10:E10">
      <formula1>1</formula1>
      <formula2>31</formula2>
    </dataValidation>
    <dataValidation type="whole" allowBlank="1" showErrorMessage="1" errorTitle="Neispravan unos!" error="Unesite cijeli broj mjeseca od 0 do 12." sqref="G8:H8 G43:H43 G10:H1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15:K15 D24:P24">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formula1>0</formula1>
      <formula2>9</formula2>
    </dataValidation>
    <dataValidation type="whole" operator="greaterThanOrEqual" showErrorMessage="1" errorTitle="Neispravan unos!" error="Unesite cijeli broj &gt;= 2016." sqref="J8:L10">
      <formula1>2016</formula1>
    </dataValidation>
    <dataValidation type="whole" operator="greaterThanOrEqual" showErrorMessage="1" errorTitle="Neispravan unos!" error="Unesite cijeli broj veći od 2010." sqref="J43:L43">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1">
    <tabColor rgb="FFB2B2B2"/>
  </sheetPr>
  <dimension ref="A1:IV175"/>
  <sheetViews>
    <sheetView showGridLines="0" showRowColHeaders="0" zoomScaleSheetLayoutView="85" workbookViewId="0">
      <pane xSplit="14" ySplit="4" topLeftCell="O69" activePane="bottomRight" state="frozen"/>
      <selection pane="topRight" activeCell="O1" sqref="O1"/>
      <selection pane="bottomLeft" activeCell="A5" sqref="A5"/>
      <selection pane="bottomRight" activeCell="K96" sqref="K96:L96"/>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7"/>
      <c r="D1" s="138"/>
      <c r="E1" s="138"/>
      <c r="F1" s="138"/>
      <c r="G1" s="138"/>
      <c r="H1" s="138"/>
      <c r="I1" s="138"/>
      <c r="J1" s="139"/>
      <c r="K1" s="18"/>
      <c r="L1" s="18"/>
      <c r="M1" s="18"/>
      <c r="N1" s="18"/>
    </row>
    <row r="2" spans="1:14" x14ac:dyDescent="0.2">
      <c r="B2" s="8"/>
      <c r="C2" s="137"/>
      <c r="D2" s="138"/>
      <c r="E2" s="138"/>
      <c r="F2" s="138"/>
      <c r="G2" s="138"/>
      <c r="H2" s="138"/>
      <c r="I2" s="138"/>
      <c r="J2" s="139"/>
      <c r="K2" s="18"/>
      <c r="L2" s="18"/>
      <c r="M2" s="18"/>
      <c r="N2" s="18"/>
    </row>
    <row r="3" spans="1:14" x14ac:dyDescent="0.2">
      <c r="B3" s="8"/>
      <c r="C3" s="137"/>
      <c r="D3" s="138"/>
      <c r="E3" s="138"/>
      <c r="F3" s="138"/>
      <c r="G3" s="138"/>
      <c r="H3" s="138"/>
      <c r="I3" s="138"/>
      <c r="J3" s="139"/>
      <c r="K3" s="18"/>
      <c r="L3" s="18"/>
      <c r="M3" s="18"/>
      <c r="N3" s="18"/>
    </row>
    <row r="4" spans="1:14" x14ac:dyDescent="0.2">
      <c r="B4" s="8"/>
      <c r="C4" s="137"/>
      <c r="D4" s="138"/>
      <c r="E4" s="138"/>
      <c r="F4" s="138"/>
      <c r="G4" s="138"/>
      <c r="H4" s="138"/>
      <c r="I4" s="138"/>
      <c r="J4" s="139"/>
      <c r="K4" s="18"/>
      <c r="L4" s="18"/>
      <c r="M4" s="18"/>
      <c r="N4" s="18"/>
    </row>
    <row r="5" spans="1:14" ht="12.75" customHeight="1" x14ac:dyDescent="0.2">
      <c r="A5" s="13"/>
      <c r="B5" s="13"/>
      <c r="C5" s="653" t="str">
        <f>Zaglavlje_Naziv_preduzeca</f>
        <v xml:space="preserve">Naziv privrednog društva, zadruge, drugog pravnog lica ili preduzetnika: </v>
      </c>
      <c r="D5" s="653"/>
      <c r="E5" s="653"/>
      <c r="F5" s="128"/>
      <c r="G5" s="128"/>
      <c r="H5" s="128"/>
      <c r="I5" s="128"/>
      <c r="K5" s="128"/>
      <c r="N5" s="432" t="str">
        <f>Podatak_MB</f>
        <v>01814788</v>
      </c>
    </row>
    <row r="6" spans="1:14" x14ac:dyDescent="0.2">
      <c r="A6" s="13"/>
      <c r="B6" s="13"/>
      <c r="C6" s="653"/>
      <c r="D6" s="653"/>
      <c r="E6" s="653"/>
      <c r="F6" s="130"/>
      <c r="G6" s="128"/>
      <c r="J6" s="128"/>
      <c r="K6" s="128"/>
      <c r="L6" s="128"/>
      <c r="N6" s="449" t="str">
        <f>Zaglavlje_MB</f>
        <v>Matični broj</v>
      </c>
    </row>
    <row r="7" spans="1:14" x14ac:dyDescent="0.2">
      <c r="A7" s="16"/>
      <c r="B7" s="16"/>
      <c r="C7" s="665" t="str">
        <f>Podatak_Naziv_preduzeca</f>
        <v>ODS ELEKTRODISTRIBUCIJA AD PALE</v>
      </c>
      <c r="D7" s="665"/>
      <c r="E7" s="665"/>
      <c r="F7" s="260"/>
      <c r="J7" s="128"/>
      <c r="K7" s="128"/>
      <c r="L7" s="128"/>
      <c r="N7" s="432" t="str">
        <f>Podatak_Sifra_djelatnosti</f>
        <v>35.13</v>
      </c>
    </row>
    <row r="8" spans="1:14" x14ac:dyDescent="0.2">
      <c r="A8" s="16"/>
      <c r="B8" s="16"/>
      <c r="C8" s="127" t="str">
        <f>Zaglavlje_Sjediste</f>
        <v>Sjedište:</v>
      </c>
      <c r="D8" s="677" t="str">
        <f>Podatak_Sjediste</f>
        <v>PALE</v>
      </c>
      <c r="E8" s="677"/>
      <c r="F8" s="131"/>
      <c r="G8" s="128"/>
      <c r="J8" s="128"/>
      <c r="K8" s="128"/>
      <c r="L8" s="128"/>
      <c r="N8" s="259" t="str">
        <f>Zaglavlje_Sifra_djelatnosti</f>
        <v>Šifra djelatnosti</v>
      </c>
    </row>
    <row r="9" spans="1:14" ht="12.75" customHeight="1" x14ac:dyDescent="0.2">
      <c r="A9" s="13"/>
      <c r="B9" s="13"/>
      <c r="C9" s="664" t="str">
        <f>Zaglavlje_Ziro_racun</f>
        <v>Račun kod ovlašćene organizacije za platni promet:</v>
      </c>
      <c r="D9" s="664"/>
      <c r="E9" s="664"/>
      <c r="J9" s="128"/>
      <c r="K9" s="128"/>
      <c r="L9" s="667" t="str">
        <f>Podatak_JIB</f>
        <v>4400570050004</v>
      </c>
      <c r="M9" s="667"/>
      <c r="N9" s="667"/>
    </row>
    <row r="10" spans="1:14" x14ac:dyDescent="0.2">
      <c r="A10" s="13"/>
      <c r="B10" s="13"/>
      <c r="C10" s="666" t="str">
        <f>Podatak_Ziro_racun_1</f>
        <v>562-012-00002669-48</v>
      </c>
      <c r="D10" s="666"/>
      <c r="E10" s="666"/>
      <c r="F10" s="127"/>
      <c r="G10" s="660" t="s">
        <v>888</v>
      </c>
      <c r="H10" s="660"/>
      <c r="J10" s="128"/>
      <c r="K10" s="128"/>
      <c r="L10" s="128"/>
      <c r="N10" s="259" t="str">
        <f>Zaglavlje_JIB</f>
        <v>JIB</v>
      </c>
    </row>
    <row r="11" spans="1:14" x14ac:dyDescent="0.2">
      <c r="B11" s="8"/>
      <c r="C11" s="666" t="str">
        <f>Podatak_Ziro_racun_2</f>
        <v>555-002-00004363-23</v>
      </c>
      <c r="D11" s="666"/>
      <c r="E11" s="666"/>
      <c r="F11" s="132"/>
      <c r="G11" s="132"/>
      <c r="H11" s="132"/>
      <c r="I11" s="132"/>
      <c r="J11" s="133"/>
      <c r="K11" s="133"/>
      <c r="L11" s="132"/>
      <c r="M11" s="134"/>
      <c r="N11" s="134"/>
    </row>
    <row r="12" spans="1:14" x14ac:dyDescent="0.2">
      <c r="B12" s="8"/>
      <c r="C12" s="666" t="str">
        <f>Podatak_Ziro_racun_3</f>
        <v>551-031-00007369-23</v>
      </c>
      <c r="D12" s="666"/>
      <c r="E12" s="666"/>
      <c r="F12" s="132"/>
      <c r="G12" s="132"/>
      <c r="H12" s="132"/>
      <c r="I12" s="132"/>
      <c r="J12" s="133"/>
      <c r="K12" s="133"/>
      <c r="L12" s="132"/>
      <c r="M12" s="134"/>
      <c r="N12" s="134"/>
    </row>
    <row r="13" spans="1:14" x14ac:dyDescent="0.2">
      <c r="B13" s="8"/>
      <c r="C13" s="666" t="str">
        <f>Podatak_Ziro_racun_4</f>
        <v>571-050-00000510-66</v>
      </c>
      <c r="D13" s="666"/>
      <c r="E13" s="666"/>
      <c r="F13" s="132"/>
      <c r="G13" s="132"/>
      <c r="H13" s="132"/>
      <c r="I13" s="132"/>
      <c r="J13" s="133"/>
      <c r="K13" s="133"/>
      <c r="L13" s="132"/>
      <c r="M13" s="134"/>
      <c r="N13" s="134"/>
    </row>
    <row r="14" spans="1:14" ht="15.75" x14ac:dyDescent="0.2">
      <c r="B14" s="8"/>
      <c r="C14" s="678" t="str">
        <f>IF( Id_Konsolidovani, Nazivi_bilansa_Konsolidovani_naziv &amp; LOWER( Nazivi_bilansa_BS), Nazivi_bilansa_BS)</f>
        <v>Bilans stanja</v>
      </c>
      <c r="D14" s="678"/>
      <c r="E14" s="678"/>
      <c r="F14" s="678"/>
      <c r="G14" s="678"/>
      <c r="H14" s="678"/>
      <c r="I14" s="678"/>
      <c r="J14" s="678"/>
      <c r="K14" s="678"/>
      <c r="L14" s="678"/>
      <c r="M14" s="678"/>
      <c r="N14" s="678"/>
    </row>
    <row r="15" spans="1:14" x14ac:dyDescent="0.2">
      <c r="B15" s="8"/>
      <c r="C15" s="663" t="str">
        <f>Nazivi_bilansa_BS1</f>
        <v>(Izvještaj o finansijskom položaju)</v>
      </c>
      <c r="D15" s="663"/>
      <c r="E15" s="663"/>
      <c r="F15" s="663"/>
      <c r="G15" s="663"/>
      <c r="H15" s="663"/>
      <c r="I15" s="663"/>
      <c r="J15" s="663"/>
      <c r="K15" s="663"/>
      <c r="L15" s="663"/>
      <c r="M15" s="663"/>
      <c r="N15" s="663"/>
    </row>
    <row r="16" spans="1:14" x14ac:dyDescent="0.2">
      <c r="B16" s="8"/>
      <c r="C16" s="663" t="str">
        <f>Datumi_Datum_BS</f>
        <v>na dan 31.12.2025. godine</v>
      </c>
      <c r="D16" s="663"/>
      <c r="E16" s="663"/>
      <c r="F16" s="663"/>
      <c r="G16" s="663"/>
      <c r="H16" s="663"/>
      <c r="I16" s="663"/>
      <c r="J16" s="663"/>
      <c r="K16" s="663"/>
      <c r="L16" s="663"/>
      <c r="M16" s="663"/>
      <c r="N16" s="663"/>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22" t="str">
        <f>Tabele_zaglavlje_Grupa_racuna</f>
        <v>Grupa računa, račun</v>
      </c>
      <c r="D18" s="654" t="str">
        <f>Tabele_zaglavlje_Pozicija</f>
        <v>POZICIJA</v>
      </c>
      <c r="E18" s="655"/>
      <c r="F18" s="655"/>
      <c r="G18" s="655"/>
      <c r="H18" s="656"/>
      <c r="I18" s="652" t="str">
        <f>Tabele_zaglavlje_Oznaka_aop</f>
        <v>Oznaka za AOP</v>
      </c>
      <c r="J18" s="624" t="str" cm="1">
        <f t="array" ref="J18">Tabele_zaglavlje_Napomena_aop</f>
        <v>Napomena</v>
      </c>
      <c r="K18" s="662" t="str">
        <f>Tabele_zaglavlje_BS_iznos_tekuca</f>
        <v>Iznos na dan bilansa tekuće godine</v>
      </c>
      <c r="L18" s="662"/>
      <c r="M18" s="662"/>
      <c r="N18" s="661" t="str">
        <f>Tabele_zaglavlje_BS_iznos_prethodna</f>
        <v>Iznos na dan bilansa prethodne godine (PS)</v>
      </c>
    </row>
    <row r="19" spans="2:16" ht="38.25" customHeight="1" x14ac:dyDescent="0.2">
      <c r="B19" s="8"/>
      <c r="C19" s="623"/>
      <c r="D19" s="657"/>
      <c r="E19" s="658"/>
      <c r="F19" s="658"/>
      <c r="G19" s="658"/>
      <c r="H19" s="659"/>
      <c r="I19" s="651"/>
      <c r="J19" s="625"/>
      <c r="K19" s="22" t="str">
        <f>Tabele_zaglavlje_BS_bruto</f>
        <v>Bruto</v>
      </c>
      <c r="L19" s="23" t="str">
        <f>Tabele_zaglavlje_BS_ispravka</f>
        <v>Ispravka vrijednosti</v>
      </c>
      <c r="M19" s="23" t="str">
        <f>Tabele_zaglavlje_BS_neto</f>
        <v>Neto (5-6)</v>
      </c>
      <c r="N19" s="639"/>
      <c r="P19" s="136" t="s">
        <v>509</v>
      </c>
    </row>
    <row r="20" spans="2:16" x14ac:dyDescent="0.2">
      <c r="B20" s="15" t="s">
        <v>123</v>
      </c>
      <c r="C20" s="24">
        <v>1</v>
      </c>
      <c r="D20" s="626">
        <v>2</v>
      </c>
      <c r="E20" s="627"/>
      <c r="F20" s="627"/>
      <c r="G20" s="627"/>
      <c r="H20" s="628"/>
      <c r="I20" s="25">
        <v>3</v>
      </c>
      <c r="J20" s="25">
        <v>4</v>
      </c>
      <c r="K20" s="25">
        <v>5</v>
      </c>
      <c r="L20" s="25">
        <v>6</v>
      </c>
      <c r="M20" s="25">
        <v>7</v>
      </c>
      <c r="N20" s="26">
        <v>8</v>
      </c>
    </row>
    <row r="21" spans="2:16" ht="26.25" customHeight="1" x14ac:dyDescent="0.2">
      <c r="B21" s="15">
        <v>1</v>
      </c>
      <c r="C21" s="381">
        <f>VLOOKUP( $B21, T_Aop[], 5, 1)</f>
        <v>0</v>
      </c>
      <c r="D21" s="635" t="str">
        <f>VLOOKUP( $B21, T_Aop[], 6, 1)</f>
        <v xml:space="preserve">  BILANSNA AKTIVA
A. STALNA SREDSTVA (002+008+015+016+017+022+034)</v>
      </c>
      <c r="E21" s="636"/>
      <c r="F21" s="636"/>
      <c r="G21" s="636"/>
      <c r="H21" s="637"/>
      <c r="I21" s="455">
        <f>VLOOKUP( $B21, T_Aop[], 4, 1)</f>
        <v>1</v>
      </c>
      <c r="J21" s="456"/>
      <c r="K21" s="32">
        <f>SUBTOTAL( 9, K22:K54)</f>
        <v>377599862</v>
      </c>
      <c r="L21" s="32">
        <f>SUBTOTAL( 9, L22:L54)</f>
        <v>224783178</v>
      </c>
      <c r="M21" s="250">
        <f>SUM(K21,-L21)</f>
        <v>152816684</v>
      </c>
      <c r="N21" s="33">
        <f>SUBTOTAL( 9, N22:N54)</f>
        <v>153010752</v>
      </c>
    </row>
    <row r="22" spans="2:16" x14ac:dyDescent="0.2">
      <c r="B22" s="15">
        <v>2</v>
      </c>
      <c r="C22" s="385" t="str">
        <f>VLOOKUP( $B22, T_Aop[], 5, 1)</f>
        <v>01</v>
      </c>
      <c r="D22" s="632" t="str">
        <f>VLOOKUP( $B22, T_Aop[], 6, 1)</f>
        <v xml:space="preserve">  I  NEMATERIJALNA SREDSTVA  (003 do 007)</v>
      </c>
      <c r="E22" s="633"/>
      <c r="F22" s="633"/>
      <c r="G22" s="633"/>
      <c r="H22" s="634"/>
      <c r="I22" s="170">
        <f>VLOOKUP( $B22, T_Aop[], 4, 1)</f>
        <v>2</v>
      </c>
      <c r="J22" s="454">
        <v>20</v>
      </c>
      <c r="K22" s="30">
        <f>SUBTOTAL( 9, K23:K27)</f>
        <v>7997256</v>
      </c>
      <c r="L22" s="30">
        <f>SUBTOTAL( 9, L23:L27)</f>
        <v>2677112</v>
      </c>
      <c r="M22" s="30">
        <f>SUM(K22,-L22)</f>
        <v>5320144</v>
      </c>
      <c r="N22" s="256">
        <f>SUBTOTAL( 9, N23:N27)</f>
        <v>5305397</v>
      </c>
      <c r="P22" s="45"/>
    </row>
    <row r="23" spans="2:16" x14ac:dyDescent="0.2">
      <c r="B23" s="15">
        <v>3</v>
      </c>
      <c r="C23" s="386" t="str">
        <f>VLOOKUP( $B23, T_Aop[], 5, 1)</f>
        <v>010, dio 019</v>
      </c>
      <c r="D23" s="613" t="str">
        <f>VLOOKUP( $B23, T_Aop[], 6, 1)</f>
        <v xml:space="preserve">    1. Ulaganja u razvoj</v>
      </c>
      <c r="E23" s="614"/>
      <c r="F23" s="614"/>
      <c r="G23" s="614"/>
      <c r="H23" s="615"/>
      <c r="I23" s="123">
        <f>VLOOKUP( $B23, T_Aop[], 4, 1)</f>
        <v>3</v>
      </c>
      <c r="J23" s="159"/>
      <c r="K23" s="159">
        <v>42799</v>
      </c>
      <c r="L23" s="159">
        <v>25694</v>
      </c>
      <c r="M23" s="251">
        <f t="shared" ref="M23:M86" si="0">SUM(K23,-L23)</f>
        <v>17105</v>
      </c>
      <c r="N23" s="580">
        <v>18532</v>
      </c>
      <c r="P23" s="45"/>
    </row>
    <row r="24" spans="2:16" x14ac:dyDescent="0.2">
      <c r="B24" s="15">
        <v>4</v>
      </c>
      <c r="C24" s="387" t="str">
        <f>VLOOKUP( $B24, T_Aop[], 5, 1)</f>
        <v>011, 013 dio 019</v>
      </c>
      <c r="D24" s="610" t="str">
        <f>VLOOKUP( $B24, T_Aop[], 6, 1)</f>
        <v xml:space="preserve">    2. Koncesije, patenti, licence, softver i ostala prava</v>
      </c>
      <c r="E24" s="611"/>
      <c r="F24" s="611"/>
      <c r="G24" s="611"/>
      <c r="H24" s="612"/>
      <c r="I24" s="124">
        <f>VLOOKUP( $B24, T_Aop[], 4, 1)</f>
        <v>4</v>
      </c>
      <c r="J24" s="157"/>
      <c r="K24" s="157">
        <v>7954457</v>
      </c>
      <c r="L24" s="157">
        <v>2651418</v>
      </c>
      <c r="M24" s="152">
        <f t="shared" si="0"/>
        <v>5303039</v>
      </c>
      <c r="N24" s="581">
        <f>5305397-N23</f>
        <v>5286865</v>
      </c>
      <c r="P24" s="45"/>
    </row>
    <row r="25" spans="2:16" x14ac:dyDescent="0.2">
      <c r="B25" s="15">
        <v>5</v>
      </c>
      <c r="C25" s="386" t="str">
        <f>VLOOKUP( $B25, T_Aop[], 5, 1)</f>
        <v>012, dio 019</v>
      </c>
      <c r="D25" s="613" t="str">
        <f>VLOOKUP( $B25, T_Aop[], 6, 1)</f>
        <v xml:space="preserve">    3. Goodwill</v>
      </c>
      <c r="E25" s="614"/>
      <c r="F25" s="614"/>
      <c r="G25" s="614"/>
      <c r="H25" s="615"/>
      <c r="I25" s="123">
        <f>VLOOKUP( $B25, T_Aop[], 4, 1)</f>
        <v>5</v>
      </c>
      <c r="J25" s="159"/>
      <c r="K25" s="159"/>
      <c r="L25" s="159"/>
      <c r="M25" s="153">
        <f t="shared" si="0"/>
        <v>0</v>
      </c>
      <c r="N25" s="203"/>
      <c r="P25" s="45"/>
    </row>
    <row r="26" spans="2:16" x14ac:dyDescent="0.2">
      <c r="B26" s="15">
        <v>6</v>
      </c>
      <c r="C26" s="387" t="str">
        <f>VLOOKUP( $B26, T_Aop[], 5, 1)</f>
        <v>014, dio 019</v>
      </c>
      <c r="D26" s="610" t="str">
        <f>VLOOKUP( $B26, T_Aop[], 6, 1)</f>
        <v xml:space="preserve">    4. Ostala nematerijalna sredstva</v>
      </c>
      <c r="E26" s="611"/>
      <c r="F26" s="611"/>
      <c r="G26" s="611"/>
      <c r="H26" s="612"/>
      <c r="I26" s="124">
        <f>VLOOKUP( $B26, T_Aop[], 4, 1)</f>
        <v>6</v>
      </c>
      <c r="J26" s="157"/>
      <c r="K26" s="157"/>
      <c r="L26" s="157"/>
      <c r="M26" s="154">
        <f t="shared" si="0"/>
        <v>0</v>
      </c>
      <c r="N26" s="202"/>
      <c r="P26" s="45"/>
    </row>
    <row r="27" spans="2:16" x14ac:dyDescent="0.2">
      <c r="B27" s="15">
        <v>7</v>
      </c>
      <c r="C27" s="386" t="str">
        <f>VLOOKUP( $B27, T_Aop[], 5, 1)</f>
        <v>015, 016, dio 019</v>
      </c>
      <c r="D27" s="613" t="str">
        <f>VLOOKUP( $B27, T_Aop[], 6, 1)</f>
        <v xml:space="preserve">    5. Avansi i nematerijalna sredstva u pripremi </v>
      </c>
      <c r="E27" s="614"/>
      <c r="F27" s="614"/>
      <c r="G27" s="614"/>
      <c r="H27" s="615"/>
      <c r="I27" s="123">
        <f>VLOOKUP( $B27, T_Aop[], 4, 1)</f>
        <v>7</v>
      </c>
      <c r="J27" s="159"/>
      <c r="K27" s="159"/>
      <c r="L27" s="159"/>
      <c r="M27" s="153">
        <f t="shared" si="0"/>
        <v>0</v>
      </c>
      <c r="N27" s="203"/>
      <c r="P27" s="45"/>
    </row>
    <row r="28" spans="2:16" x14ac:dyDescent="0.2">
      <c r="B28" s="15">
        <v>8</v>
      </c>
      <c r="C28" s="387" t="str">
        <f>VLOOKUP( $B28, T_Aop[], 5, 1)</f>
        <v>02</v>
      </c>
      <c r="D28" s="616" t="str">
        <f>VLOOKUP( $B28, T_Aop[], 6, 1)</f>
        <v xml:space="preserve">  II  NEKRETNINE, POSTROJENJA I OPREMA (009 do 014) </v>
      </c>
      <c r="E28" s="617"/>
      <c r="F28" s="617"/>
      <c r="G28" s="617"/>
      <c r="H28" s="618"/>
      <c r="I28" s="173">
        <f>VLOOKUP( $B28, T_Aop[], 4, 1)</f>
        <v>8</v>
      </c>
      <c r="J28" s="157">
        <v>20</v>
      </c>
      <c r="K28" s="30">
        <f>SUBTOTAL(9,K29:K34)</f>
        <v>347817014</v>
      </c>
      <c r="L28" s="30">
        <f>SUBTOTAL(9,L29:L34)</f>
        <v>221444986</v>
      </c>
      <c r="M28" s="31">
        <f t="shared" si="0"/>
        <v>126372028</v>
      </c>
      <c r="N28" s="256">
        <f>SUBTOTAL(9,N29:N34)</f>
        <v>126557415</v>
      </c>
      <c r="P28" s="45"/>
    </row>
    <row r="29" spans="2:16" x14ac:dyDescent="0.2">
      <c r="B29" s="15">
        <v>9</v>
      </c>
      <c r="C29" s="386" t="str">
        <f>VLOOKUP( $B29, T_Aop[], 5, 1)</f>
        <v>020, dio 029</v>
      </c>
      <c r="D29" s="613" t="str">
        <f>VLOOKUP( $B29, T_Aop[], 6, 1)</f>
        <v xml:space="preserve">    1. Zemljište</v>
      </c>
      <c r="E29" s="614"/>
      <c r="F29" s="614"/>
      <c r="G29" s="614"/>
      <c r="H29" s="615"/>
      <c r="I29" s="123">
        <f>VLOOKUP( $B29, T_Aop[], 4, 1)</f>
        <v>9</v>
      </c>
      <c r="J29" s="159"/>
      <c r="K29" s="159">
        <v>372281</v>
      </c>
      <c r="L29" s="159"/>
      <c r="M29" s="153">
        <f t="shared" si="0"/>
        <v>372281</v>
      </c>
      <c r="N29" s="203">
        <v>368911</v>
      </c>
      <c r="P29" s="45"/>
    </row>
    <row r="30" spans="2:16" x14ac:dyDescent="0.2">
      <c r="B30" s="15">
        <v>10</v>
      </c>
      <c r="C30" s="387" t="str">
        <f>VLOOKUP( $B30, T_Aop[], 5, 1)</f>
        <v>021, dio 029</v>
      </c>
      <c r="D30" s="610" t="str">
        <f>VLOOKUP( $B30, T_Aop[], 6, 1)</f>
        <v xml:space="preserve">    2. Građevinski objekti</v>
      </c>
      <c r="E30" s="611"/>
      <c r="F30" s="611"/>
      <c r="G30" s="611"/>
      <c r="H30" s="612"/>
      <c r="I30" s="124">
        <f>VLOOKUP( $B30, T_Aop[], 4, 1)</f>
        <v>10</v>
      </c>
      <c r="J30" s="157"/>
      <c r="K30" s="157">
        <v>50640801</v>
      </c>
      <c r="L30" s="157">
        <v>20577408</v>
      </c>
      <c r="M30" s="154">
        <f t="shared" si="0"/>
        <v>30063393</v>
      </c>
      <c r="N30" s="202">
        <v>27993431</v>
      </c>
      <c r="P30" s="45"/>
    </row>
    <row r="31" spans="2:16" x14ac:dyDescent="0.2">
      <c r="B31" s="15">
        <v>11</v>
      </c>
      <c r="C31" s="386" t="str">
        <f>VLOOKUP( $B31, T_Aop[], 5, 1)</f>
        <v>022, dio 029</v>
      </c>
      <c r="D31" s="613" t="str">
        <f>VLOOKUP( $B31, T_Aop[], 6, 1)</f>
        <v xml:space="preserve">    3. Postrojenja i oprema</v>
      </c>
      <c r="E31" s="614"/>
      <c r="F31" s="614"/>
      <c r="G31" s="614"/>
      <c r="H31" s="615"/>
      <c r="I31" s="123">
        <f>VLOOKUP( $B31, T_Aop[], 4, 1)</f>
        <v>11</v>
      </c>
      <c r="J31" s="159"/>
      <c r="K31" s="159">
        <v>290589474</v>
      </c>
      <c r="L31" s="159">
        <v>200867578</v>
      </c>
      <c r="M31" s="153">
        <f t="shared" si="0"/>
        <v>89721896</v>
      </c>
      <c r="N31" s="203">
        <f>88900795-169</f>
        <v>88900626</v>
      </c>
      <c r="P31" s="45"/>
    </row>
    <row r="32" spans="2:16" x14ac:dyDescent="0.2">
      <c r="B32" s="15">
        <v>12</v>
      </c>
      <c r="C32" s="387" t="str">
        <f>VLOOKUP( $B32, T_Aop[], 5, 1)</f>
        <v>023, dio 029</v>
      </c>
      <c r="D32" s="610" t="str">
        <f>VLOOKUP( $B32, T_Aop[], 6, 1)</f>
        <v xml:space="preserve">    4. Ostale nekretnine, postrojenja i oprema</v>
      </c>
      <c r="E32" s="611"/>
      <c r="F32" s="611"/>
      <c r="G32" s="611"/>
      <c r="H32" s="612"/>
      <c r="I32" s="124">
        <f>VLOOKUP( $B32, T_Aop[], 4, 1)</f>
        <v>12</v>
      </c>
      <c r="J32" s="157"/>
      <c r="K32" s="157">
        <v>16731</v>
      </c>
      <c r="L32" s="157"/>
      <c r="M32" s="154">
        <f t="shared" si="0"/>
        <v>16731</v>
      </c>
      <c r="N32" s="202">
        <v>16731</v>
      </c>
      <c r="P32" s="45"/>
    </row>
    <row r="33" spans="2:16" x14ac:dyDescent="0.2">
      <c r="B33" s="15">
        <v>13</v>
      </c>
      <c r="C33" s="386" t="str">
        <f>VLOOKUP( $B33, T_Aop[], 5, 1)</f>
        <v>024, dio 029</v>
      </c>
      <c r="D33" s="613" t="str">
        <f>VLOOKUP( $B33, T_Aop[], 6, 1)</f>
        <v xml:space="preserve">    5. Ulaganje na tuđim nekretninama, postrojenjima i opremi</v>
      </c>
      <c r="E33" s="614"/>
      <c r="F33" s="614"/>
      <c r="G33" s="614"/>
      <c r="H33" s="615"/>
      <c r="I33" s="123">
        <f>VLOOKUP( $B33, T_Aop[], 4, 1)</f>
        <v>13</v>
      </c>
      <c r="J33" s="159"/>
      <c r="K33" s="159"/>
      <c r="L33" s="159"/>
      <c r="M33" s="153">
        <f t="shared" si="0"/>
        <v>0</v>
      </c>
      <c r="N33" s="203">
        <v>0</v>
      </c>
      <c r="P33" s="45"/>
    </row>
    <row r="34" spans="2:16" x14ac:dyDescent="0.2">
      <c r="B34" s="15">
        <v>14</v>
      </c>
      <c r="C34" s="387" t="str">
        <f>VLOOKUP( $B34, T_Aop[], 5, 1)</f>
        <v>025, 026, dio 029</v>
      </c>
      <c r="D34" s="610" t="str">
        <f>VLOOKUP( $B34, T_Aop[], 6, 1)</f>
        <v xml:space="preserve">    6. Avansi i nekretnine, postrojenja i opremu u pripremi</v>
      </c>
      <c r="E34" s="611"/>
      <c r="F34" s="611"/>
      <c r="G34" s="611"/>
      <c r="H34" s="612"/>
      <c r="I34" s="124">
        <f>VLOOKUP( $B34, T_Aop[], 4, 1)</f>
        <v>14</v>
      </c>
      <c r="J34" s="157"/>
      <c r="K34" s="157">
        <v>6197727</v>
      </c>
      <c r="L34" s="157"/>
      <c r="M34" s="154">
        <f t="shared" si="0"/>
        <v>6197727</v>
      </c>
      <c r="N34" s="202">
        <v>9277716</v>
      </c>
      <c r="P34" s="45"/>
    </row>
    <row r="35" spans="2:16" ht="12.75" customHeight="1" x14ac:dyDescent="0.2">
      <c r="B35" s="15">
        <v>15</v>
      </c>
      <c r="C35" s="386" t="str">
        <f>VLOOKUP( $B35, T_Aop[], 5, 1)</f>
        <v>03</v>
      </c>
      <c r="D35" s="635" t="str">
        <f>VLOOKUP( $B35, T_Aop[], 6, 1)</f>
        <v xml:space="preserve">  III INVESTICIONE NEKRETNINE</v>
      </c>
      <c r="E35" s="636"/>
      <c r="F35" s="636"/>
      <c r="G35" s="636"/>
      <c r="H35" s="637"/>
      <c r="I35" s="172">
        <f>VLOOKUP( $B35, T_Aop[], 4, 1)</f>
        <v>15</v>
      </c>
      <c r="J35" s="159">
        <v>20</v>
      </c>
      <c r="K35" s="213">
        <v>511675</v>
      </c>
      <c r="L35" s="213">
        <v>86757</v>
      </c>
      <c r="M35" s="32">
        <f t="shared" si="0"/>
        <v>424918</v>
      </c>
      <c r="N35" s="204">
        <v>430097</v>
      </c>
      <c r="P35" s="45"/>
    </row>
    <row r="36" spans="2:16" x14ac:dyDescent="0.2">
      <c r="B36" s="15">
        <v>16</v>
      </c>
      <c r="C36" s="387" t="str">
        <f>VLOOKUP( $B36, T_Aop[], 5, 1)</f>
        <v>04</v>
      </c>
      <c r="D36" s="616" t="str">
        <f>VLOOKUP( $B36, T_Aop[], 6, 1)</f>
        <v xml:space="preserve">  IV SREDSTVA UZETA U ZAKUP </v>
      </c>
      <c r="E36" s="617"/>
      <c r="F36" s="617"/>
      <c r="G36" s="617"/>
      <c r="H36" s="618"/>
      <c r="I36" s="173">
        <f>VLOOKUP( $B36, T_Aop[], 4, 1)</f>
        <v>16</v>
      </c>
      <c r="J36" s="157">
        <v>20</v>
      </c>
      <c r="K36" s="82">
        <v>201025</v>
      </c>
      <c r="L36" s="82">
        <v>25463</v>
      </c>
      <c r="M36" s="31">
        <f t="shared" si="0"/>
        <v>175562</v>
      </c>
      <c r="N36" s="465">
        <v>188293</v>
      </c>
      <c r="P36" s="45"/>
    </row>
    <row r="37" spans="2:16" x14ac:dyDescent="0.2">
      <c r="B37" s="15">
        <v>17</v>
      </c>
      <c r="C37" s="386" t="str">
        <f>VLOOKUP( $B37, T_Aop[], 5, 1)</f>
        <v>05</v>
      </c>
      <c r="D37" s="635" t="str">
        <f>VLOOKUP( $B37, T_Aop[], 6, 1)</f>
        <v xml:space="preserve">  V BIOLOŠKA SREDSTVA   (018 do 021)</v>
      </c>
      <c r="E37" s="636"/>
      <c r="F37" s="636"/>
      <c r="G37" s="636"/>
      <c r="H37" s="637"/>
      <c r="I37" s="172">
        <f>VLOOKUP( $B37, T_Aop[], 4, 1)</f>
        <v>17</v>
      </c>
      <c r="J37" s="159"/>
      <c r="K37" s="32">
        <f>SUBTOTAL(9,K38:K41)</f>
        <v>0</v>
      </c>
      <c r="L37" s="32">
        <f>SUBTOTAL(9,L38:L41)</f>
        <v>0</v>
      </c>
      <c r="M37" s="32">
        <f t="shared" si="0"/>
        <v>0</v>
      </c>
      <c r="N37" s="416">
        <f>SUBTOTAL(9,N38:N41)</f>
        <v>0</v>
      </c>
      <c r="P37" s="45"/>
    </row>
    <row r="38" spans="2:16" x14ac:dyDescent="0.2">
      <c r="B38" s="15">
        <v>18</v>
      </c>
      <c r="C38" s="387" t="str">
        <f>VLOOKUP( $B38, T_Aop[], 5, 1)</f>
        <v>050, dio 059</v>
      </c>
      <c r="D38" s="610" t="str">
        <f>VLOOKUP( $B38, T_Aop[], 6, 1)</f>
        <v xml:space="preserve">    1. Šume</v>
      </c>
      <c r="E38" s="611"/>
      <c r="F38" s="611"/>
      <c r="G38" s="611"/>
      <c r="H38" s="612"/>
      <c r="I38" s="124">
        <f>VLOOKUP( $B38, T_Aop[], 4, 1)</f>
        <v>18</v>
      </c>
      <c r="J38" s="157"/>
      <c r="K38" s="157"/>
      <c r="L38" s="157"/>
      <c r="M38" s="154">
        <f t="shared" si="0"/>
        <v>0</v>
      </c>
      <c r="N38" s="202"/>
      <c r="P38" s="45"/>
    </row>
    <row r="39" spans="2:16" x14ac:dyDescent="0.2">
      <c r="B39" s="15">
        <v>19</v>
      </c>
      <c r="C39" s="386" t="str">
        <f>VLOOKUP( $B39, T_Aop[], 5, 1)</f>
        <v>051, dio 059</v>
      </c>
      <c r="D39" s="613" t="str">
        <f>VLOOKUP( $B39, T_Aop[], 6, 1)</f>
        <v xml:space="preserve">    2. Višegodišnji zasadi</v>
      </c>
      <c r="E39" s="614"/>
      <c r="F39" s="614"/>
      <c r="G39" s="614"/>
      <c r="H39" s="615"/>
      <c r="I39" s="123">
        <f>VLOOKUP( $B39, T_Aop[], 4, 1)</f>
        <v>19</v>
      </c>
      <c r="J39" s="159"/>
      <c r="K39" s="159"/>
      <c r="L39" s="159"/>
      <c r="M39" s="153">
        <f t="shared" si="0"/>
        <v>0</v>
      </c>
      <c r="N39" s="203"/>
      <c r="P39" s="45"/>
    </row>
    <row r="40" spans="2:16" x14ac:dyDescent="0.2">
      <c r="B40" s="15">
        <v>20</v>
      </c>
      <c r="C40" s="387" t="str">
        <f>VLOOKUP( $B40, T_Aop[], 5, 1)</f>
        <v>052, 053 dio 059</v>
      </c>
      <c r="D40" s="610" t="str">
        <f>VLOOKUP( $B40, T_Aop[], 6, 1)</f>
        <v xml:space="preserve">    3. Osnovno stado i ostala biološka sredstva</v>
      </c>
      <c r="E40" s="611"/>
      <c r="F40" s="611"/>
      <c r="G40" s="611"/>
      <c r="H40" s="612"/>
      <c r="I40" s="124">
        <f>VLOOKUP( $B40, T_Aop[], 4, 1)</f>
        <v>20</v>
      </c>
      <c r="J40" s="157"/>
      <c r="K40" s="157"/>
      <c r="L40" s="157"/>
      <c r="M40" s="154">
        <f t="shared" si="0"/>
        <v>0</v>
      </c>
      <c r="N40" s="202"/>
      <c r="P40" s="45"/>
    </row>
    <row r="41" spans="2:16" x14ac:dyDescent="0.2">
      <c r="B41" s="15">
        <v>21</v>
      </c>
      <c r="C41" s="386" t="str">
        <f>VLOOKUP( $B41, T_Aop[], 5, 1)</f>
        <v>055, 056 i dio 059</v>
      </c>
      <c r="D41" s="613" t="str">
        <f>VLOOKUP( $B41, T_Aop[], 6, 1)</f>
        <v xml:space="preserve">    4. Avansi i biološka sredstva u pripremi </v>
      </c>
      <c r="E41" s="614"/>
      <c r="F41" s="614"/>
      <c r="G41" s="614"/>
      <c r="H41" s="615"/>
      <c r="I41" s="123">
        <f>VLOOKUP( $B41, T_Aop[], 4, 1)</f>
        <v>21</v>
      </c>
      <c r="J41" s="159"/>
      <c r="K41" s="159"/>
      <c r="L41" s="159"/>
      <c r="M41" s="153">
        <f t="shared" si="0"/>
        <v>0</v>
      </c>
      <c r="N41" s="203"/>
      <c r="P41" s="45"/>
    </row>
    <row r="42" spans="2:16" x14ac:dyDescent="0.2">
      <c r="B42" s="15">
        <v>22</v>
      </c>
      <c r="C42" s="387">
        <f>VLOOKUP( $B42, T_Aop[], 5, 1)</f>
        <v>6</v>
      </c>
      <c r="D42" s="616" t="str">
        <f>VLOOKUP( $B42, T_Aop[], 6, 1)</f>
        <v xml:space="preserve">  VI  DUGOROČNI FINANSIJSKI PLASMANI (023+024+025+030+033)</v>
      </c>
      <c r="E42" s="617"/>
      <c r="F42" s="617"/>
      <c r="G42" s="617"/>
      <c r="H42" s="618"/>
      <c r="I42" s="173">
        <f>VLOOKUP( $B42, T_Aop[], 4, 1)</f>
        <v>22</v>
      </c>
      <c r="J42" s="157">
        <v>21</v>
      </c>
      <c r="K42" s="31">
        <f>SUBTOTAL(9,K43:K53)</f>
        <v>21072892</v>
      </c>
      <c r="L42" s="31">
        <f>SUBTOTAL(9,L43:L53)</f>
        <v>548860</v>
      </c>
      <c r="M42" s="31">
        <f t="shared" si="0"/>
        <v>20524032</v>
      </c>
      <c r="N42" s="34">
        <f>SUBTOTAL(9,N43:N53)</f>
        <v>20529550</v>
      </c>
      <c r="P42" s="45"/>
    </row>
    <row r="43" spans="2:16" x14ac:dyDescent="0.2">
      <c r="B43" s="15">
        <v>23</v>
      </c>
      <c r="C43" s="386" t="str">
        <f>VLOOKUP( $B43, T_Aop[], 5, 1)</f>
        <v>060, dio 069</v>
      </c>
      <c r="D43" s="613" t="str">
        <f>VLOOKUP( $B43, T_Aop[], 6, 1)</f>
        <v xml:space="preserve">    1. Učešće u kapitalu zavisnih subjekata</v>
      </c>
      <c r="E43" s="614"/>
      <c r="F43" s="614"/>
      <c r="G43" s="614"/>
      <c r="H43" s="615"/>
      <c r="I43" s="123">
        <f>VLOOKUP( $B43, T_Aop[], 4, 1)</f>
        <v>23</v>
      </c>
      <c r="J43" s="159"/>
      <c r="K43" s="159">
        <v>20480669</v>
      </c>
      <c r="L43" s="159"/>
      <c r="M43" s="153">
        <f t="shared" si="0"/>
        <v>20480669</v>
      </c>
      <c r="N43" s="576">
        <v>20480669</v>
      </c>
      <c r="P43" s="45"/>
    </row>
    <row r="44" spans="2:16" x14ac:dyDescent="0.2">
      <c r="B44" s="15">
        <v>24</v>
      </c>
      <c r="C44" s="387" t="str">
        <f>VLOOKUP( $B44, T_Aop[], 5, 1)</f>
        <v>061, dio 069</v>
      </c>
      <c r="D44" s="610" t="str">
        <f>VLOOKUP( $B44, T_Aop[], 6, 1)</f>
        <v xml:space="preserve">    2. Učešće u kapitalu pridruženih subjekata i zajedničkih poduhvata</v>
      </c>
      <c r="E44" s="611"/>
      <c r="F44" s="611"/>
      <c r="G44" s="611"/>
      <c r="H44" s="612"/>
      <c r="I44" s="124">
        <f>VLOOKUP( $B44, T_Aop[], 4, 1)</f>
        <v>24</v>
      </c>
      <c r="J44" s="157"/>
      <c r="K44" s="157"/>
      <c r="L44" s="157"/>
      <c r="M44" s="154">
        <f t="shared" si="0"/>
        <v>0</v>
      </c>
      <c r="N44" s="202"/>
      <c r="P44" s="45"/>
    </row>
    <row r="45" spans="2:16" x14ac:dyDescent="0.2">
      <c r="B45" s="15">
        <v>25</v>
      </c>
      <c r="C45" s="386" t="str">
        <f>VLOOKUP( $B45, T_Aop[], 5, 1)</f>
        <v>dio 06</v>
      </c>
      <c r="D45" s="613" t="str">
        <f>VLOOKUP( $B45, T_Aop[], 6, 1)</f>
        <v xml:space="preserve">    3. Finansijska sredstva po amortizovanoj vrijednosti (026 do 029)</v>
      </c>
      <c r="E45" s="614"/>
      <c r="F45" s="614"/>
      <c r="G45" s="614"/>
      <c r="H45" s="615"/>
      <c r="I45" s="123">
        <f>VLOOKUP( $B45, T_Aop[], 4, 1)</f>
        <v>25</v>
      </c>
      <c r="J45" s="159"/>
      <c r="K45" s="32">
        <f>SUBTOTAL(9,K46:K49)</f>
        <v>548860</v>
      </c>
      <c r="L45" s="32">
        <f>SUBTOTAL(9,L46:L49)</f>
        <v>548860</v>
      </c>
      <c r="M45" s="213">
        <f t="shared" si="0"/>
        <v>0</v>
      </c>
      <c r="N45" s="417">
        <f>SUBTOTAL(9,N46:N49)</f>
        <v>0</v>
      </c>
      <c r="P45" s="45"/>
    </row>
    <row r="46" spans="2:16" x14ac:dyDescent="0.2">
      <c r="B46" s="15">
        <v>26</v>
      </c>
      <c r="C46" s="387" t="str">
        <f>VLOOKUP( $B46, T_Aop[], 5, 1)</f>
        <v>062, dio 069</v>
      </c>
      <c r="D46" s="610" t="str">
        <f>VLOOKUP( $B46, T_Aop[], 6, 1)</f>
        <v xml:space="preserve">      3.1. Dugoročni krediti povezanim pravnim licima</v>
      </c>
      <c r="E46" s="611"/>
      <c r="F46" s="611"/>
      <c r="G46" s="611"/>
      <c r="H46" s="612"/>
      <c r="I46" s="124">
        <f>VLOOKUP( $B46, T_Aop[], 4, 1)</f>
        <v>26</v>
      </c>
      <c r="J46" s="157"/>
      <c r="K46" s="157"/>
      <c r="L46" s="157"/>
      <c r="M46" s="154">
        <f t="shared" si="0"/>
        <v>0</v>
      </c>
      <c r="N46" s="202"/>
      <c r="P46" s="45"/>
    </row>
    <row r="47" spans="2:16" x14ac:dyDescent="0.2">
      <c r="B47" s="15">
        <v>27</v>
      </c>
      <c r="C47" s="386" t="str">
        <f>VLOOKUP( $B47, T_Aop[], 5, 1)</f>
        <v>063, dio 069</v>
      </c>
      <c r="D47" s="613" t="str">
        <f>VLOOKUP( $B47, T_Aop[], 6, 1)</f>
        <v xml:space="preserve">      3.2. Dugoročni krediti u zemlji</v>
      </c>
      <c r="E47" s="614"/>
      <c r="F47" s="614"/>
      <c r="G47" s="614"/>
      <c r="H47" s="615"/>
      <c r="I47" s="123">
        <f>VLOOKUP( $B47, T_Aop[], 4, 1)</f>
        <v>27</v>
      </c>
      <c r="J47" s="159"/>
      <c r="K47" s="159">
        <v>548860</v>
      </c>
      <c r="L47" s="159">
        <v>548860</v>
      </c>
      <c r="M47" s="153">
        <f t="shared" si="0"/>
        <v>0</v>
      </c>
      <c r="N47" s="203"/>
      <c r="P47" s="45"/>
    </row>
    <row r="48" spans="2:16" x14ac:dyDescent="0.2">
      <c r="B48" s="15">
        <v>28</v>
      </c>
      <c r="C48" s="387" t="str">
        <f>VLOOKUP( $B48, T_Aop[], 5, 1)</f>
        <v>064, dio 069</v>
      </c>
      <c r="D48" s="610" t="str">
        <f>VLOOKUP( $B48, T_Aop[], 6, 1)</f>
        <v xml:space="preserve">      3.3. Dugoročni krediti u inostranstvu</v>
      </c>
      <c r="E48" s="611"/>
      <c r="F48" s="611"/>
      <c r="G48" s="611"/>
      <c r="H48" s="612"/>
      <c r="I48" s="124">
        <f>VLOOKUP( $B48, T_Aop[], 4, 1)</f>
        <v>28</v>
      </c>
      <c r="J48" s="157"/>
      <c r="K48" s="157"/>
      <c r="L48" s="157"/>
      <c r="M48" s="154">
        <f t="shared" si="0"/>
        <v>0</v>
      </c>
      <c r="N48" s="202"/>
      <c r="P48" s="45"/>
    </row>
    <row r="49" spans="2:16" x14ac:dyDescent="0.2">
      <c r="B49" s="15">
        <v>29</v>
      </c>
      <c r="C49" s="386" t="str">
        <f>VLOOKUP( $B49, T_Aop[], 5, 1)</f>
        <v>065, dio 069</v>
      </c>
      <c r="D49" s="613" t="str">
        <f>VLOOKUP( $B49, T_Aop[], 6, 1)</f>
        <v xml:space="preserve">      3.4. Ostala finansijska sredstva po amortizovanoj vrijednosti</v>
      </c>
      <c r="E49" s="614"/>
      <c r="F49" s="614"/>
      <c r="G49" s="614"/>
      <c r="H49" s="615"/>
      <c r="I49" s="123">
        <f>VLOOKUP( $B49, T_Aop[], 4, 1)</f>
        <v>29</v>
      </c>
      <c r="J49" s="159"/>
      <c r="K49" s="159"/>
      <c r="L49" s="159"/>
      <c r="M49" s="153">
        <f t="shared" si="0"/>
        <v>0</v>
      </c>
      <c r="N49" s="421"/>
      <c r="P49" s="45"/>
    </row>
    <row r="50" spans="2:16" ht="21.75" customHeight="1" x14ac:dyDescent="0.2">
      <c r="B50" s="15">
        <v>30</v>
      </c>
      <c r="C50" s="387" t="str">
        <f>VLOOKUP( $B50, T_Aop[], 5, 1)</f>
        <v>dio 06</v>
      </c>
      <c r="D50" s="610" t="str">
        <f>VLOOKUP( $B50, T_Aop[], 6, 1)</f>
        <v xml:space="preserve">    4. Finansijska sredstva po fer vrijednosti kroz ostali ukupan rezultat (031+032)</v>
      </c>
      <c r="E50" s="611"/>
      <c r="F50" s="611"/>
      <c r="G50" s="611"/>
      <c r="H50" s="612"/>
      <c r="I50" s="124">
        <f>VLOOKUP( $B50, T_Aop[], 4, 1)</f>
        <v>30</v>
      </c>
      <c r="J50" s="157"/>
      <c r="K50" s="415">
        <f>SUBTOTAL( 9, K51:K52)</f>
        <v>43363</v>
      </c>
      <c r="L50" s="415">
        <f>SUBTOTAL( 9, L51:L52)</f>
        <v>0</v>
      </c>
      <c r="M50" s="31">
        <f t="shared" si="0"/>
        <v>43363</v>
      </c>
      <c r="N50" s="256">
        <f>SUBTOTAL( 9, N51:N52)</f>
        <v>48881</v>
      </c>
      <c r="P50" s="45"/>
    </row>
    <row r="51" spans="2:16" x14ac:dyDescent="0.2">
      <c r="B51" s="15">
        <v>31</v>
      </c>
      <c r="C51" s="386" t="str">
        <f>VLOOKUP( $B51, T_Aop[], 5, 1)</f>
        <v>066, dio 069</v>
      </c>
      <c r="D51" s="613" t="str">
        <f>VLOOKUP( $B51, T_Aop[], 6, 1)</f>
        <v xml:space="preserve">      4.1. Vlasnički instrumenti</v>
      </c>
      <c r="E51" s="614"/>
      <c r="F51" s="614"/>
      <c r="G51" s="614"/>
      <c r="H51" s="615"/>
      <c r="I51" s="123">
        <f>VLOOKUP( $B51, T_Aop[], 4, 1)</f>
        <v>31</v>
      </c>
      <c r="J51" s="159"/>
      <c r="K51" s="252"/>
      <c r="L51" s="252"/>
      <c r="M51" s="153">
        <f t="shared" si="0"/>
        <v>0</v>
      </c>
      <c r="N51" s="421"/>
      <c r="P51" s="45"/>
    </row>
    <row r="52" spans="2:16" x14ac:dyDescent="0.2">
      <c r="B52" s="15">
        <v>32</v>
      </c>
      <c r="C52" s="387" t="str">
        <f>VLOOKUP( $B52, T_Aop[], 5, 1)</f>
        <v>067, dio 069</v>
      </c>
      <c r="D52" s="610" t="str">
        <f>VLOOKUP( $B52, T_Aop[], 6, 1)</f>
        <v xml:space="preserve">      4.2. Dužnički instrumenti</v>
      </c>
      <c r="E52" s="611"/>
      <c r="F52" s="611"/>
      <c r="G52" s="611"/>
      <c r="H52" s="612"/>
      <c r="I52" s="124">
        <f>VLOOKUP( $B52, T_Aop[], 4, 1)</f>
        <v>32</v>
      </c>
      <c r="J52" s="157"/>
      <c r="K52" s="157">
        <v>43363</v>
      </c>
      <c r="L52" s="157"/>
      <c r="M52" s="154">
        <f t="shared" si="0"/>
        <v>43363</v>
      </c>
      <c r="N52" s="577">
        <v>48881</v>
      </c>
      <c r="P52" s="45"/>
    </row>
    <row r="53" spans="2:16" x14ac:dyDescent="0.2">
      <c r="B53" s="15">
        <v>33</v>
      </c>
      <c r="C53" s="386" t="str">
        <f>VLOOKUP( $B53, T_Aop[], 5, 1)</f>
        <v>068, dio 069</v>
      </c>
      <c r="D53" s="613" t="str">
        <f>VLOOKUP( $B53, T_Aop[], 6, 1)</f>
        <v xml:space="preserve">    5. Potraživanja po finansijskom lizingu</v>
      </c>
      <c r="E53" s="614"/>
      <c r="F53" s="614"/>
      <c r="G53" s="614"/>
      <c r="H53" s="615"/>
      <c r="I53" s="123">
        <f>VLOOKUP( $B53, T_Aop[], 4, 1)</f>
        <v>33</v>
      </c>
      <c r="J53" s="159"/>
      <c r="K53" s="252"/>
      <c r="L53" s="252"/>
      <c r="M53" s="153">
        <f t="shared" si="0"/>
        <v>0</v>
      </c>
      <c r="N53" s="421"/>
      <c r="P53" s="45"/>
    </row>
    <row r="54" spans="2:16" x14ac:dyDescent="0.2">
      <c r="B54" s="15">
        <v>34</v>
      </c>
      <c r="C54" s="387" t="str">
        <f>VLOOKUP( $B54, T_Aop[], 5, 1)</f>
        <v>07 i 08</v>
      </c>
      <c r="D54" s="616" t="str">
        <f>VLOOKUP( $B54, T_Aop[], 6, 1)</f>
        <v xml:space="preserve">  VII OSTALA DUGOROČNA SREDSTVA I RAZGRANIČENJA</v>
      </c>
      <c r="E54" s="617"/>
      <c r="F54" s="617"/>
      <c r="G54" s="617"/>
      <c r="H54" s="618"/>
      <c r="I54" s="173">
        <f>VLOOKUP( $B54, T_Aop[], 4, 1)</f>
        <v>34</v>
      </c>
      <c r="J54" s="157"/>
      <c r="K54" s="82"/>
      <c r="L54" s="82"/>
      <c r="M54" s="31">
        <f t="shared" si="0"/>
        <v>0</v>
      </c>
      <c r="N54" s="423"/>
      <c r="P54" s="45"/>
    </row>
    <row r="55" spans="2:16" x14ac:dyDescent="0.2">
      <c r="B55" s="15">
        <v>35</v>
      </c>
      <c r="C55" s="386">
        <f>VLOOKUP( $B55, T_Aop[], 5, 1)</f>
        <v>90</v>
      </c>
      <c r="D55" s="635" t="str">
        <f>VLOOKUP( $B55, T_Aop[], 6, 1)</f>
        <v xml:space="preserve">  B. ODLOŽENA PORESKA SREDSTVA</v>
      </c>
      <c r="E55" s="636"/>
      <c r="F55" s="636"/>
      <c r="G55" s="636"/>
      <c r="H55" s="637"/>
      <c r="I55" s="172">
        <f>VLOOKUP( $B55, T_Aop[], 4, 1)</f>
        <v>35</v>
      </c>
      <c r="J55" s="159"/>
      <c r="K55" s="213">
        <v>100645</v>
      </c>
      <c r="L55" s="213"/>
      <c r="M55" s="32">
        <f t="shared" si="0"/>
        <v>100645</v>
      </c>
      <c r="N55" s="578">
        <v>123540</v>
      </c>
      <c r="P55" s="45"/>
    </row>
    <row r="56" spans="2:16" x14ac:dyDescent="0.2">
      <c r="B56" s="15">
        <v>36</v>
      </c>
      <c r="C56" s="387" t="str">
        <f>VLOOKUP( $B56, T_Aop[], 5, 1)</f>
        <v xml:space="preserve"> </v>
      </c>
      <c r="D56" s="616" t="str">
        <f>VLOOKUP( $B56, T_Aop[], 6, 1)</f>
        <v xml:space="preserve">  V. TEKUĆA SREDSTVA (037+044)</v>
      </c>
      <c r="E56" s="617"/>
      <c r="F56" s="617"/>
      <c r="G56" s="617"/>
      <c r="H56" s="618"/>
      <c r="I56" s="173">
        <f>VLOOKUP( $B56, T_Aop[], 4, 1)</f>
        <v>36</v>
      </c>
      <c r="J56" s="157"/>
      <c r="K56" s="460">
        <f>SUBTOTAL( 9, K57:K85)</f>
        <v>62258846</v>
      </c>
      <c r="L56" s="460">
        <f>SUBTOTAL( 9, L57:L85)</f>
        <v>49697360</v>
      </c>
      <c r="M56" s="460">
        <f t="shared" si="0"/>
        <v>12561486</v>
      </c>
      <c r="N56" s="461">
        <f>SUBTOTAL( 9, N57:N85)</f>
        <v>11982898</v>
      </c>
      <c r="P56" s="45"/>
    </row>
    <row r="57" spans="2:16" ht="25.5" customHeight="1" x14ac:dyDescent="0.2">
      <c r="B57" s="15">
        <v>37</v>
      </c>
      <c r="C57" s="386" t="str">
        <f>VLOOKUP( $B57, T_Aop[], 5, 1)</f>
        <v>10 do 15</v>
      </c>
      <c r="D57" s="635" t="str">
        <f>VLOOKUP( $B57, T_Aop[], 6, 1)</f>
        <v xml:space="preserve">  I   ZALIHE, STALNA SREDSTVA NAMIJENJENA PRODAJI I SREDSTVA POSLOVANJA KOJE SE OBUSTAVLJA (038 do 043)</v>
      </c>
      <c r="E57" s="636"/>
      <c r="F57" s="636"/>
      <c r="G57" s="636"/>
      <c r="H57" s="637"/>
      <c r="I57" s="172">
        <f>VLOOKUP( $B57, T_Aop[], 4, 1)</f>
        <v>37</v>
      </c>
      <c r="J57" s="159">
        <v>22</v>
      </c>
      <c r="K57" s="420">
        <f>SUBTOTAL(9,K58:K63)</f>
        <v>4407798</v>
      </c>
      <c r="L57" s="419">
        <f>SUBTOTAL(9,L58:L63)</f>
        <v>1207228</v>
      </c>
      <c r="M57" s="32">
        <f t="shared" si="0"/>
        <v>3200570</v>
      </c>
      <c r="N57" s="416">
        <f>SUBTOTAL(9,N58:N63)</f>
        <v>3323943</v>
      </c>
      <c r="P57" s="45"/>
    </row>
    <row r="58" spans="2:16" x14ac:dyDescent="0.2">
      <c r="B58" s="15">
        <v>38</v>
      </c>
      <c r="C58" s="387" t="str">
        <f>VLOOKUP( $B58, T_Aop[], 5, 1)</f>
        <v>100 do 109</v>
      </c>
      <c r="D58" s="610" t="str">
        <f>VLOOKUP( $B58, T_Aop[], 6, 1)</f>
        <v xml:space="preserve">    1. Zalihe materijala</v>
      </c>
      <c r="E58" s="611"/>
      <c r="F58" s="611"/>
      <c r="G58" s="611"/>
      <c r="H58" s="612"/>
      <c r="I58" s="124">
        <f>VLOOKUP( $B58, T_Aop[], 4, 1)</f>
        <v>38</v>
      </c>
      <c r="J58" s="157"/>
      <c r="K58" s="157">
        <v>4315791</v>
      </c>
      <c r="L58" s="157">
        <v>1130901</v>
      </c>
      <c r="M58" s="154">
        <f t="shared" si="0"/>
        <v>3184890</v>
      </c>
      <c r="N58" s="422">
        <v>3307559</v>
      </c>
      <c r="P58" s="45"/>
    </row>
    <row r="59" spans="2:16" x14ac:dyDescent="0.2">
      <c r="B59" s="15">
        <v>39</v>
      </c>
      <c r="C59" s="386" t="str">
        <f>VLOOKUP( $B59, T_Aop[], 5, 1)</f>
        <v>110 do 119</v>
      </c>
      <c r="D59" s="613" t="str">
        <f>VLOOKUP( $B59, T_Aop[], 6, 1)</f>
        <v xml:space="preserve">    2. Zalihe nedovršene proizvodnje, poluproizvoda i nedovršenih usluga</v>
      </c>
      <c r="E59" s="614"/>
      <c r="F59" s="614"/>
      <c r="G59" s="614"/>
      <c r="H59" s="615"/>
      <c r="I59" s="123">
        <f>VLOOKUP( $B59, T_Aop[], 4, 1)</f>
        <v>39</v>
      </c>
      <c r="J59" s="159"/>
      <c r="K59" s="159"/>
      <c r="L59" s="159"/>
      <c r="M59" s="153">
        <f t="shared" si="0"/>
        <v>0</v>
      </c>
      <c r="N59" s="421">
        <v>0</v>
      </c>
      <c r="P59" s="45"/>
    </row>
    <row r="60" spans="2:16" x14ac:dyDescent="0.2">
      <c r="B60" s="15">
        <v>40</v>
      </c>
      <c r="C60" s="387" t="str">
        <f>VLOOKUP( $B60, T_Aop[], 5, 1)</f>
        <v>120 do 129</v>
      </c>
      <c r="D60" s="610" t="str">
        <f>VLOOKUP( $B60, T_Aop[], 6, 1)</f>
        <v xml:space="preserve">    3. Zalihe gotovih proizvoda</v>
      </c>
      <c r="E60" s="611"/>
      <c r="F60" s="611"/>
      <c r="G60" s="611"/>
      <c r="H60" s="612"/>
      <c r="I60" s="124">
        <f>VLOOKUP( $B60, T_Aop[], 4, 1)</f>
        <v>40</v>
      </c>
      <c r="J60" s="157"/>
      <c r="K60" s="157"/>
      <c r="L60" s="157"/>
      <c r="M60" s="154">
        <f t="shared" si="0"/>
        <v>0</v>
      </c>
      <c r="N60" s="422">
        <v>0</v>
      </c>
      <c r="P60" s="45"/>
    </row>
    <row r="61" spans="2:16" s="27" customFormat="1" x14ac:dyDescent="0.2">
      <c r="B61" s="15">
        <v>41</v>
      </c>
      <c r="C61" s="386" t="str">
        <f>VLOOKUP( $B61, T_Aop[], 5, 1)</f>
        <v>130 do 139</v>
      </c>
      <c r="D61" s="613" t="str">
        <f>VLOOKUP( $B61, T_Aop[], 6, 1)</f>
        <v xml:space="preserve">    4. Zalihe robe</v>
      </c>
      <c r="E61" s="614"/>
      <c r="F61" s="614"/>
      <c r="G61" s="614"/>
      <c r="H61" s="615"/>
      <c r="I61" s="123">
        <f>VLOOKUP( $B61, T_Aop[], 4, 1)</f>
        <v>41</v>
      </c>
      <c r="J61" s="159"/>
      <c r="K61" s="159"/>
      <c r="L61" s="159"/>
      <c r="M61" s="153">
        <f t="shared" si="0"/>
        <v>0</v>
      </c>
      <c r="N61" s="421">
        <v>0</v>
      </c>
      <c r="P61" s="176"/>
    </row>
    <row r="62" spans="2:16" x14ac:dyDescent="0.2">
      <c r="B62" s="15">
        <v>42</v>
      </c>
      <c r="C62" s="387" t="str">
        <f>VLOOKUP( $B62, T_Aop[], 5, 1)</f>
        <v>140 do 149</v>
      </c>
      <c r="D62" s="610" t="str">
        <f>VLOOKUP( $B62, T_Aop[], 6, 1)</f>
        <v xml:space="preserve">    5. Stalna sredstva namijenjena prodaji i sredstva poslovanja koje se obustavlja</v>
      </c>
      <c r="E62" s="611"/>
      <c r="F62" s="611"/>
      <c r="G62" s="611"/>
      <c r="H62" s="612"/>
      <c r="I62" s="124">
        <f>VLOOKUP( $B62, T_Aop[], 4, 1)</f>
        <v>42</v>
      </c>
      <c r="J62" s="157"/>
      <c r="K62" s="157"/>
      <c r="L62" s="157"/>
      <c r="M62" s="154">
        <f t="shared" si="0"/>
        <v>0</v>
      </c>
      <c r="N62" s="422">
        <v>0</v>
      </c>
      <c r="P62" s="45"/>
    </row>
    <row r="63" spans="2:16" x14ac:dyDescent="0.2">
      <c r="B63" s="15">
        <v>43</v>
      </c>
      <c r="C63" s="386" t="str">
        <f>VLOOKUP( $B63, T_Aop[], 5, 1)</f>
        <v>150 do 159</v>
      </c>
      <c r="D63" s="613" t="str">
        <f>VLOOKUP( $B63, T_Aop[], 6, 1)</f>
        <v xml:space="preserve">    6. Dati avansi</v>
      </c>
      <c r="E63" s="614"/>
      <c r="F63" s="614"/>
      <c r="G63" s="614"/>
      <c r="H63" s="615"/>
      <c r="I63" s="123">
        <f>VLOOKUP( $B63, T_Aop[], 4, 1)</f>
        <v>43</v>
      </c>
      <c r="J63" s="159"/>
      <c r="K63" s="159">
        <v>92007</v>
      </c>
      <c r="L63" s="159">
        <v>76327</v>
      </c>
      <c r="M63" s="153">
        <f t="shared" si="0"/>
        <v>15680</v>
      </c>
      <c r="N63" s="421">
        <v>16384</v>
      </c>
      <c r="P63" s="45"/>
    </row>
    <row r="64" spans="2:16" ht="23.25" customHeight="1" x14ac:dyDescent="0.2">
      <c r="B64" s="15">
        <v>44</v>
      </c>
      <c r="C64" s="387" t="str">
        <f>VLOOKUP( $B64, T_Aop[], 5, 1)</f>
        <v xml:space="preserve"> </v>
      </c>
      <c r="D64" s="616" t="str">
        <f>VLOOKUP( $B64, T_Aop[], 6, 1)</f>
        <v xml:space="preserve">  II  KRATKOROČNA SREDSTVA IZUZEV ZALIHA I STALNIH SREDSTAVA NAMIJENJENIH PRODAJI (045+052+061+064+065)</v>
      </c>
      <c r="E64" s="617"/>
      <c r="F64" s="617"/>
      <c r="G64" s="617"/>
      <c r="H64" s="618"/>
      <c r="I64" s="173">
        <f>VLOOKUP( $B64, T_Aop[], 4, 1)</f>
        <v>44</v>
      </c>
      <c r="J64" s="157"/>
      <c r="K64" s="460">
        <f>SUBTOTAL(9,K65:K85)</f>
        <v>57851048</v>
      </c>
      <c r="L64" s="460">
        <f>SUBTOTAL(9,L65:L85)</f>
        <v>48490132</v>
      </c>
      <c r="M64" s="460">
        <f t="shared" si="0"/>
        <v>9360916</v>
      </c>
      <c r="N64" s="461">
        <f>SUBTOTAL(9,N65:N85)</f>
        <v>8658955</v>
      </c>
      <c r="P64" s="45"/>
    </row>
    <row r="65" spans="2:16" x14ac:dyDescent="0.2">
      <c r="B65" s="15">
        <v>45</v>
      </c>
      <c r="C65" s="386" t="str">
        <f>VLOOKUP( $B65, T_Aop[], 5, 1)</f>
        <v xml:space="preserve"> </v>
      </c>
      <c r="D65" s="613" t="str">
        <f>VLOOKUP( $B65, T_Aop[], 6, 1)</f>
        <v xml:space="preserve">    1. Kratkoročna potraživanja (046 do 051)</v>
      </c>
      <c r="E65" s="614"/>
      <c r="F65" s="614"/>
      <c r="G65" s="614"/>
      <c r="H65" s="615"/>
      <c r="I65" s="123">
        <f>VLOOKUP( $B65, T_Aop[], 4, 1)</f>
        <v>45</v>
      </c>
      <c r="J65" s="159"/>
      <c r="K65" s="420">
        <f t="shared" ref="K65:L65" si="1">SUBTOTAL(9,K66:K71)</f>
        <v>56146052</v>
      </c>
      <c r="L65" s="420">
        <f t="shared" si="1"/>
        <v>47976619</v>
      </c>
      <c r="M65" s="420">
        <f t="shared" si="0"/>
        <v>8169433</v>
      </c>
      <c r="N65" s="416">
        <f>SUBTOTAL(9,N66:N71)</f>
        <v>6547259</v>
      </c>
      <c r="P65" s="45"/>
    </row>
    <row r="66" spans="2:16" x14ac:dyDescent="0.2">
      <c r="B66" s="15">
        <v>46</v>
      </c>
      <c r="C66" s="387" t="str">
        <f>VLOOKUP( $B66, T_Aop[], 5, 1)</f>
        <v>200, dio 209</v>
      </c>
      <c r="D66" s="610" t="str">
        <f>VLOOKUP( $B66, T_Aop[], 6, 1)</f>
        <v xml:space="preserve">      1.1. Kupci - povezana pravna lica</v>
      </c>
      <c r="E66" s="611"/>
      <c r="F66" s="611"/>
      <c r="G66" s="611"/>
      <c r="H66" s="612"/>
      <c r="I66" s="124">
        <f>VLOOKUP( $B66, T_Aop[], 4, 1)</f>
        <v>46</v>
      </c>
      <c r="J66" s="157">
        <v>23</v>
      </c>
      <c r="K66" s="157">
        <v>5671225</v>
      </c>
      <c r="L66" s="157">
        <v>56712</v>
      </c>
      <c r="M66" s="154">
        <f t="shared" si="0"/>
        <v>5614513</v>
      </c>
      <c r="N66" s="422">
        <v>4016862</v>
      </c>
      <c r="P66" s="45"/>
    </row>
    <row r="67" spans="2:16" x14ac:dyDescent="0.2">
      <c r="B67" s="15">
        <v>47</v>
      </c>
      <c r="C67" s="386" t="str">
        <f>VLOOKUP( $B67, T_Aop[], 5, 1)</f>
        <v>201, 202, 203, dio 209</v>
      </c>
      <c r="D67" s="613" t="str">
        <f>VLOOKUP( $B67, T_Aop[], 6, 1)</f>
        <v xml:space="preserve">      1.2. Kupci u zemlji</v>
      </c>
      <c r="E67" s="614"/>
      <c r="F67" s="614"/>
      <c r="G67" s="614"/>
      <c r="H67" s="615"/>
      <c r="I67" s="123">
        <f>VLOOKUP( $B67, T_Aop[], 4, 1)</f>
        <v>47</v>
      </c>
      <c r="J67" s="159">
        <v>23</v>
      </c>
      <c r="K67" s="159">
        <f>39625700+10028</f>
        <v>39635728</v>
      </c>
      <c r="L67" s="159">
        <v>39521400</v>
      </c>
      <c r="M67" s="153">
        <f t="shared" si="0"/>
        <v>114328</v>
      </c>
      <c r="N67" s="421">
        <v>99806</v>
      </c>
      <c r="P67" s="45"/>
    </row>
    <row r="68" spans="2:16" x14ac:dyDescent="0.2">
      <c r="B68" s="15">
        <v>48</v>
      </c>
      <c r="C68" s="387" t="str">
        <f>VLOOKUP( $B68, T_Aop[], 5, 1)</f>
        <v>204, dio 209</v>
      </c>
      <c r="D68" s="610" t="str">
        <f>VLOOKUP( $B68, T_Aop[], 6, 1)</f>
        <v xml:space="preserve">      1.3. Kupci iz inostranstva</v>
      </c>
      <c r="E68" s="611"/>
      <c r="F68" s="611"/>
      <c r="G68" s="611"/>
      <c r="H68" s="612"/>
      <c r="I68" s="124">
        <f>VLOOKUP( $B68, T_Aop[], 4, 1)</f>
        <v>48</v>
      </c>
      <c r="J68" s="157"/>
      <c r="K68" s="157"/>
      <c r="L68" s="157"/>
      <c r="M68" s="154">
        <f t="shared" si="0"/>
        <v>0</v>
      </c>
      <c r="N68" s="422">
        <v>0</v>
      </c>
      <c r="P68" s="45"/>
    </row>
    <row r="69" spans="2:16" x14ac:dyDescent="0.2">
      <c r="B69" s="15">
        <v>49</v>
      </c>
      <c r="C69" s="386" t="str">
        <f>VLOOKUP( $B69, T_Aop[], 5, 1)</f>
        <v>grupa 21, osim 214</v>
      </c>
      <c r="D69" s="613" t="str">
        <f>VLOOKUP( $B69, T_Aop[], 6, 1)</f>
        <v xml:space="preserve">      1.4.Potraživanja iz specifičnih poslova</v>
      </c>
      <c r="E69" s="614"/>
      <c r="F69" s="614"/>
      <c r="G69" s="614"/>
      <c r="H69" s="615"/>
      <c r="I69" s="123">
        <f>VLOOKUP( $B69, T_Aop[], 4, 1)</f>
        <v>49</v>
      </c>
      <c r="J69" s="159"/>
      <c r="K69" s="159"/>
      <c r="L69" s="159"/>
      <c r="M69" s="153">
        <f t="shared" si="0"/>
        <v>0</v>
      </c>
      <c r="N69" s="421">
        <v>0</v>
      </c>
      <c r="P69" s="45"/>
    </row>
    <row r="70" spans="2:16" x14ac:dyDescent="0.2">
      <c r="B70" s="15">
        <v>50</v>
      </c>
      <c r="C70" s="387" t="str">
        <f>VLOOKUP( $B70, T_Aop[], 5, 1)</f>
        <v>grupa 22, osim 224</v>
      </c>
      <c r="D70" s="610" t="str">
        <f>VLOOKUP( $B70, T_Aop[], 6, 1)</f>
        <v xml:space="preserve">      1.5. Ostala kratkoročna potraživanja</v>
      </c>
      <c r="E70" s="611"/>
      <c r="F70" s="611"/>
      <c r="G70" s="611"/>
      <c r="H70" s="612"/>
      <c r="I70" s="124">
        <f>VLOOKUP( $B70, T_Aop[], 4, 1)</f>
        <v>50</v>
      </c>
      <c r="J70" s="157">
        <v>24</v>
      </c>
      <c r="K70" s="157">
        <v>10839099</v>
      </c>
      <c r="L70" s="157">
        <v>8398507</v>
      </c>
      <c r="M70" s="154">
        <f t="shared" si="0"/>
        <v>2440592</v>
      </c>
      <c r="N70" s="422">
        <v>2430591</v>
      </c>
      <c r="P70" s="45"/>
    </row>
    <row r="71" spans="2:16" x14ac:dyDescent="0.2">
      <c r="B71" s="15">
        <v>51</v>
      </c>
      <c r="C71" s="386">
        <f>VLOOKUP( $B71, T_Aop[], 5, 1)</f>
        <v>224</v>
      </c>
      <c r="D71" s="613" t="str">
        <f>VLOOKUP( $B71, T_Aop[], 6, 1)</f>
        <v xml:space="preserve">      1.6. Potraživanja za više plaćen porez na dobit</v>
      </c>
      <c r="E71" s="614"/>
      <c r="F71" s="614"/>
      <c r="G71" s="614"/>
      <c r="H71" s="615"/>
      <c r="I71" s="123">
        <f>VLOOKUP( $B71, T_Aop[], 4, 1)</f>
        <v>51</v>
      </c>
      <c r="J71" s="159"/>
      <c r="K71" s="159"/>
      <c r="L71" s="159"/>
      <c r="M71" s="153">
        <f t="shared" si="0"/>
        <v>0</v>
      </c>
      <c r="N71" s="421">
        <v>0</v>
      </c>
      <c r="P71" s="45"/>
    </row>
    <row r="72" spans="2:16" x14ac:dyDescent="0.2">
      <c r="B72" s="15">
        <v>52</v>
      </c>
      <c r="C72" s="387" t="str">
        <f>VLOOKUP( $B72, T_Aop[], 5, 1)</f>
        <v xml:space="preserve"> </v>
      </c>
      <c r="D72" s="610" t="str">
        <f>VLOOKUP( $B72, T_Aop[], 6, 1)</f>
        <v xml:space="preserve">    2. Kratkoročni finansijski plasmani ( 053 + 058 + 059 + 060)</v>
      </c>
      <c r="E72" s="611"/>
      <c r="F72" s="611"/>
      <c r="G72" s="611"/>
      <c r="H72" s="612"/>
      <c r="I72" s="124">
        <f>VLOOKUP( $B72, T_Aop[], 4, 1)</f>
        <v>52</v>
      </c>
      <c r="J72" s="157"/>
      <c r="K72" s="415">
        <f>SUBTOTAL(9,K73:K80)</f>
        <v>519600</v>
      </c>
      <c r="L72" s="415">
        <f>SUBTOTAL(9,L73:L80)</f>
        <v>513513</v>
      </c>
      <c r="M72" s="415">
        <f t="shared" si="0"/>
        <v>6087</v>
      </c>
      <c r="N72" s="425">
        <f>SUBTOTAL(9,N73:N80)</f>
        <v>6112</v>
      </c>
      <c r="P72" s="45"/>
    </row>
    <row r="73" spans="2:16" x14ac:dyDescent="0.2">
      <c r="B73" s="15">
        <v>53</v>
      </c>
      <c r="C73" s="386" t="str">
        <f>VLOOKUP( $B73, T_Aop[], 5, 1)</f>
        <v xml:space="preserve"> </v>
      </c>
      <c r="D73" s="613" t="str">
        <f>VLOOKUP( $B73, T_Aop[], 6, 1)</f>
        <v xml:space="preserve">      2.1. Finansijska sredstva po amortizovanoj vrijednosti (054 do 057)</v>
      </c>
      <c r="E73" s="614"/>
      <c r="F73" s="614"/>
      <c r="G73" s="614"/>
      <c r="H73" s="615"/>
      <c r="I73" s="123">
        <f>VLOOKUP( $B73, T_Aop[], 4, 1)</f>
        <v>53</v>
      </c>
      <c r="J73" s="159"/>
      <c r="K73" s="32">
        <f>SUBTOTAL(9,K74:K80)</f>
        <v>519600</v>
      </c>
      <c r="L73" s="32">
        <f>SUBTOTAL(9,L74:L80)</f>
        <v>513513</v>
      </c>
      <c r="M73" s="420">
        <f t="shared" si="0"/>
        <v>6087</v>
      </c>
      <c r="N73" s="426">
        <f>SUBTOTAL(9,N74:N77)</f>
        <v>6112</v>
      </c>
      <c r="P73" s="45"/>
    </row>
    <row r="74" spans="2:16" x14ac:dyDescent="0.2">
      <c r="B74" s="15">
        <v>54</v>
      </c>
      <c r="C74" s="387" t="str">
        <f>VLOOKUP( $B74, T_Aop[], 5, 1)</f>
        <v>230, dio 238</v>
      </c>
      <c r="D74" s="610" t="str">
        <f>VLOOKUP( $B74, T_Aop[], 6, 1)</f>
        <v xml:space="preserve">        a) Kratkoročni krediti povezanim pravnim licima</v>
      </c>
      <c r="E74" s="611"/>
      <c r="F74" s="611"/>
      <c r="G74" s="611"/>
      <c r="H74" s="612"/>
      <c r="I74" s="124">
        <f>VLOOKUP( $B74, T_Aop[], 4, 1)</f>
        <v>54</v>
      </c>
      <c r="J74" s="157"/>
      <c r="K74" s="157"/>
      <c r="L74" s="157"/>
      <c r="M74" s="154">
        <f t="shared" si="0"/>
        <v>0</v>
      </c>
      <c r="N74" s="422"/>
      <c r="P74" s="45"/>
    </row>
    <row r="75" spans="2:16" x14ac:dyDescent="0.2">
      <c r="B75" s="15">
        <v>55</v>
      </c>
      <c r="C75" s="386" t="str">
        <f>VLOOKUP( $B75, T_Aop[], 5, 1)</f>
        <v>231, dio 238</v>
      </c>
      <c r="D75" s="613" t="str">
        <f>VLOOKUP( $B75, T_Aop[], 6, 1)</f>
        <v xml:space="preserve">        b) Kratkoročni krediti u zemlji</v>
      </c>
      <c r="E75" s="614"/>
      <c r="F75" s="614"/>
      <c r="G75" s="614"/>
      <c r="H75" s="615"/>
      <c r="I75" s="123">
        <f>VLOOKUP( $B75, T_Aop[], 4, 1)</f>
        <v>55</v>
      </c>
      <c r="J75" s="159"/>
      <c r="K75" s="159">
        <v>519600</v>
      </c>
      <c r="L75" s="159">
        <v>513513</v>
      </c>
      <c r="M75" s="153">
        <f t="shared" si="0"/>
        <v>6087</v>
      </c>
      <c r="N75" s="421">
        <v>6112</v>
      </c>
      <c r="P75" s="45"/>
    </row>
    <row r="76" spans="2:16" x14ac:dyDescent="0.2">
      <c r="B76" s="15">
        <v>56</v>
      </c>
      <c r="C76" s="387" t="str">
        <f>VLOOKUP( $B76, T_Aop[], 5, 1)</f>
        <v>232, dio 238</v>
      </c>
      <c r="D76" s="610" t="str">
        <f>VLOOKUP( $B76, T_Aop[], 6, 1)</f>
        <v xml:space="preserve">        c) Kratkoročni krediti u inostranstvu</v>
      </c>
      <c r="E76" s="611"/>
      <c r="F76" s="611"/>
      <c r="G76" s="611"/>
      <c r="H76" s="612"/>
      <c r="I76" s="124">
        <f>VLOOKUP( $B76, T_Aop[], 4, 1)</f>
        <v>56</v>
      </c>
      <c r="J76" s="157"/>
      <c r="K76" s="157"/>
      <c r="L76" s="157"/>
      <c r="M76" s="154">
        <f t="shared" si="0"/>
        <v>0</v>
      </c>
      <c r="N76" s="422"/>
      <c r="P76" s="45"/>
    </row>
    <row r="77" spans="2:16" x14ac:dyDescent="0.2">
      <c r="B77" s="15">
        <v>57</v>
      </c>
      <c r="C77" s="386" t="str">
        <f>VLOOKUP( $B77, T_Aop[], 5, 1)</f>
        <v>233, dio 238</v>
      </c>
      <c r="D77" s="613" t="str">
        <f>VLOOKUP( $B77, T_Aop[], 6, 1)</f>
        <v xml:space="preserve">        d) Ostala finansijska sredstva po amortizovanoj vrijednosti</v>
      </c>
      <c r="E77" s="614"/>
      <c r="F77" s="614"/>
      <c r="G77" s="614"/>
      <c r="H77" s="615"/>
      <c r="I77" s="123">
        <f>VLOOKUP( $B77, T_Aop[], 4, 1)</f>
        <v>57</v>
      </c>
      <c r="J77" s="159"/>
      <c r="K77" s="159"/>
      <c r="L77" s="159"/>
      <c r="M77" s="153">
        <f t="shared" si="0"/>
        <v>0</v>
      </c>
      <c r="N77" s="421"/>
      <c r="P77" s="45"/>
    </row>
    <row r="78" spans="2:16" x14ac:dyDescent="0.2">
      <c r="B78" s="15">
        <v>58</v>
      </c>
      <c r="C78" s="387" t="str">
        <f>VLOOKUP( $B78, T_Aop[], 5, 1)</f>
        <v>235 i 236</v>
      </c>
      <c r="D78" s="610" t="str">
        <f>VLOOKUP( $B78, T_Aop[], 6, 1)</f>
        <v xml:space="preserve">      2.2. Finansijska sredstva po fer vrijednosti kroz bilans uspjeha</v>
      </c>
      <c r="E78" s="611"/>
      <c r="F78" s="611"/>
      <c r="G78" s="611"/>
      <c r="H78" s="612"/>
      <c r="I78" s="124">
        <f>VLOOKUP( $B78, T_Aop[], 4, 1)</f>
        <v>58</v>
      </c>
      <c r="J78" s="157"/>
      <c r="K78" s="157"/>
      <c r="L78" s="157"/>
      <c r="M78" s="154">
        <f t="shared" si="0"/>
        <v>0</v>
      </c>
      <c r="N78" s="422"/>
      <c r="P78" s="45"/>
    </row>
    <row r="79" spans="2:16" x14ac:dyDescent="0.2">
      <c r="B79" s="15">
        <v>59</v>
      </c>
      <c r="C79" s="386" t="str">
        <f>VLOOKUP( $B79, T_Aop[], 5, 1)</f>
        <v>234, 239</v>
      </c>
      <c r="D79" s="613" t="str">
        <f>VLOOKUP( $B79, T_Aop[], 6, 1)</f>
        <v xml:space="preserve">      2.3. Potraživanje po finansijskom lizingu</v>
      </c>
      <c r="E79" s="614"/>
      <c r="F79" s="614"/>
      <c r="G79" s="614"/>
      <c r="H79" s="615"/>
      <c r="I79" s="123">
        <f>VLOOKUP( $B79, T_Aop[], 4, 1)</f>
        <v>59</v>
      </c>
      <c r="J79" s="159"/>
      <c r="K79" s="159"/>
      <c r="L79" s="159"/>
      <c r="M79" s="153">
        <f t="shared" si="0"/>
        <v>0</v>
      </c>
      <c r="N79" s="421"/>
      <c r="P79" s="45"/>
    </row>
    <row r="80" spans="2:16" x14ac:dyDescent="0.2">
      <c r="B80" s="15">
        <v>60</v>
      </c>
      <c r="C80" s="387">
        <f>VLOOKUP( $B80, T_Aop[], 5, 1)</f>
        <v>214</v>
      </c>
      <c r="D80" s="610" t="str">
        <f>VLOOKUP( $B80, T_Aop[], 6, 1)</f>
        <v xml:space="preserve">      2.4. Derivatna finansijska sredstva</v>
      </c>
      <c r="E80" s="611"/>
      <c r="F80" s="611"/>
      <c r="G80" s="611"/>
      <c r="H80" s="612"/>
      <c r="I80" s="124">
        <f>VLOOKUP( $B80, T_Aop[], 4, 1)</f>
        <v>60</v>
      </c>
      <c r="J80" s="157"/>
      <c r="K80" s="157"/>
      <c r="L80" s="157"/>
      <c r="M80" s="154">
        <f t="shared" si="0"/>
        <v>0</v>
      </c>
      <c r="N80" s="422"/>
      <c r="P80" s="45"/>
    </row>
    <row r="81" spans="2:16" x14ac:dyDescent="0.2">
      <c r="B81" s="15">
        <v>61</v>
      </c>
      <c r="C81" s="386">
        <f>VLOOKUP( $B81, T_Aop[], 5, 1)</f>
        <v>24</v>
      </c>
      <c r="D81" s="613" t="str">
        <f>VLOOKUP( $B81, T_Aop[], 6, 1)</f>
        <v xml:space="preserve">    3. Gotovinski ekvivalenti i gotovina (062 + 063)</v>
      </c>
      <c r="E81" s="614"/>
      <c r="F81" s="614"/>
      <c r="G81" s="614"/>
      <c r="H81" s="615"/>
      <c r="I81" s="123">
        <f>VLOOKUP( $B81, T_Aop[], 4, 1)</f>
        <v>61</v>
      </c>
      <c r="J81" s="159">
        <v>25</v>
      </c>
      <c r="K81" s="32">
        <f>SUBTOTAL(9,K82:K83)</f>
        <v>1101174</v>
      </c>
      <c r="L81" s="32">
        <f>SUBTOTAL(9,L82:L83)</f>
        <v>0</v>
      </c>
      <c r="M81" s="32">
        <f t="shared" si="0"/>
        <v>1101174</v>
      </c>
      <c r="N81" s="426">
        <f>SUBTOTAL(9,N82:N83)</f>
        <v>1667277</v>
      </c>
      <c r="P81" s="45"/>
    </row>
    <row r="82" spans="2:16" x14ac:dyDescent="0.2">
      <c r="B82" s="15">
        <v>62</v>
      </c>
      <c r="C82" s="387" t="str">
        <f>VLOOKUP( $B82, T_Aop[], 5, 1)</f>
        <v>240, dio 249</v>
      </c>
      <c r="D82" s="610" t="str">
        <f>VLOOKUP( $B82, T_Aop[], 6, 1)</f>
        <v xml:space="preserve">      3.1. Gotovinski ekvivalenti </v>
      </c>
      <c r="E82" s="611"/>
      <c r="F82" s="611"/>
      <c r="G82" s="611"/>
      <c r="H82" s="612"/>
      <c r="I82" s="124">
        <f>VLOOKUP( $B82, T_Aop[], 4, 1)</f>
        <v>62</v>
      </c>
      <c r="J82" s="157"/>
      <c r="K82" s="253"/>
      <c r="L82" s="157"/>
      <c r="M82" s="154">
        <f t="shared" si="0"/>
        <v>0</v>
      </c>
      <c r="N82" s="427">
        <v>0</v>
      </c>
      <c r="P82" s="45"/>
    </row>
    <row r="83" spans="2:16" x14ac:dyDescent="0.2">
      <c r="B83" s="15">
        <v>63</v>
      </c>
      <c r="C83" s="386" t="str">
        <f>VLOOKUP( $B83, T_Aop[], 5, 1)</f>
        <v>241 do 249</v>
      </c>
      <c r="D83" s="613" t="str">
        <f>VLOOKUP( $B83, T_Aop[], 6, 1)</f>
        <v xml:space="preserve">      3.2. Gotovina</v>
      </c>
      <c r="E83" s="614"/>
      <c r="F83" s="614"/>
      <c r="G83" s="614"/>
      <c r="H83" s="615"/>
      <c r="I83" s="123">
        <f>VLOOKUP( $B83, T_Aop[], 4, 1)</f>
        <v>63</v>
      </c>
      <c r="J83" s="159"/>
      <c r="K83" s="459">
        <v>1101174</v>
      </c>
      <c r="L83" s="159"/>
      <c r="M83" s="153">
        <f t="shared" si="0"/>
        <v>1101174</v>
      </c>
      <c r="N83" s="421">
        <v>1667277</v>
      </c>
      <c r="P83" s="45"/>
    </row>
    <row r="84" spans="2:16" x14ac:dyDescent="0.2">
      <c r="B84" s="15">
        <v>64</v>
      </c>
      <c r="C84" s="387" t="str">
        <f>VLOOKUP( $B84, T_Aop[], 5, 1)</f>
        <v>270 do 279</v>
      </c>
      <c r="D84" s="610" t="str">
        <f>VLOOKUP( $B84, T_Aop[], 6, 1)</f>
        <v xml:space="preserve">    4. Porez na dodatu vrijednost</v>
      </c>
      <c r="E84" s="611"/>
      <c r="F84" s="611"/>
      <c r="G84" s="611"/>
      <c r="H84" s="612"/>
      <c r="I84" s="124">
        <f>VLOOKUP( $B84, T_Aop[], 4, 1)</f>
        <v>64</v>
      </c>
      <c r="J84" s="157"/>
      <c r="K84" s="458"/>
      <c r="L84" s="157"/>
      <c r="M84" s="154">
        <f t="shared" si="0"/>
        <v>0</v>
      </c>
      <c r="N84" s="422">
        <v>0</v>
      </c>
      <c r="P84" s="45"/>
    </row>
    <row r="85" spans="2:16" x14ac:dyDescent="0.2">
      <c r="B85" s="15">
        <v>65</v>
      </c>
      <c r="C85" s="386" t="str">
        <f>VLOOKUP( $B85, T_Aop[], 5, 1)</f>
        <v>280 do 289</v>
      </c>
      <c r="D85" s="613" t="str">
        <f>VLOOKUP( $B85, T_Aop[], 6, 1)</f>
        <v xml:space="preserve">    5. Kratkoročna  razgraničenja</v>
      </c>
      <c r="E85" s="614"/>
      <c r="F85" s="614"/>
      <c r="G85" s="614"/>
      <c r="H85" s="615"/>
      <c r="I85" s="123">
        <f>VLOOKUP( $B85, T_Aop[], 4, 1)</f>
        <v>65</v>
      </c>
      <c r="J85" s="159"/>
      <c r="K85" s="457">
        <v>84222</v>
      </c>
      <c r="L85" s="159"/>
      <c r="M85" s="153">
        <f t="shared" si="0"/>
        <v>84222</v>
      </c>
      <c r="N85" s="421">
        <v>438307</v>
      </c>
      <c r="P85" s="45"/>
    </row>
    <row r="86" spans="2:16" x14ac:dyDescent="0.2">
      <c r="B86" s="15">
        <v>66</v>
      </c>
      <c r="C86" s="387"/>
      <c r="D86" s="616" t="str">
        <f>VLOOKUP( $B86, T_Aop[], 6, 1)</f>
        <v xml:space="preserve">  G. BILANSNA AKTIVA (001 + 035 + 036)</v>
      </c>
      <c r="E86" s="617"/>
      <c r="F86" s="617"/>
      <c r="G86" s="617"/>
      <c r="H86" s="618"/>
      <c r="I86" s="174">
        <f>VLOOKUP( $B86, T_Aop[], 4, 1)</f>
        <v>66</v>
      </c>
      <c r="J86" s="157"/>
      <c r="K86" s="31">
        <f>SUBTOTAL( 9, K21:K85)</f>
        <v>439959353</v>
      </c>
      <c r="L86" s="31">
        <f>SUBTOTAL( 9, L21:L85)</f>
        <v>274480538</v>
      </c>
      <c r="M86" s="82">
        <f t="shared" si="0"/>
        <v>165478815</v>
      </c>
      <c r="N86" s="256">
        <f>SUBTOTAL( 9, N21:N85)</f>
        <v>165117190</v>
      </c>
      <c r="P86" s="45"/>
    </row>
    <row r="87" spans="2:16" x14ac:dyDescent="0.2">
      <c r="B87" s="15">
        <v>67</v>
      </c>
      <c r="C87" s="388" t="str">
        <f>VLOOKUP( $B87, T_Aop[], 5, 1)</f>
        <v>880 do 888</v>
      </c>
      <c r="D87" s="619" t="str">
        <f>VLOOKUP( $B87, T_Aop[], 6, 1)</f>
        <v xml:space="preserve">  D. VANBILANSNA AKTIVA</v>
      </c>
      <c r="E87" s="620"/>
      <c r="F87" s="620"/>
      <c r="G87" s="620"/>
      <c r="H87" s="621"/>
      <c r="I87" s="175">
        <f>VLOOKUP( $B87, T_Aop[], 4, 1)</f>
        <v>67</v>
      </c>
      <c r="J87" s="428">
        <v>37</v>
      </c>
      <c r="K87" s="579">
        <v>28759409</v>
      </c>
      <c r="L87" s="464"/>
      <c r="M87" s="35">
        <f>SUM(K87,-L87)</f>
        <v>28759409</v>
      </c>
      <c r="N87" s="579">
        <v>28852337</v>
      </c>
      <c r="P87" s="45"/>
    </row>
    <row r="88" spans="2:16" x14ac:dyDescent="0.2">
      <c r="C88" s="125"/>
      <c r="D88" s="125"/>
      <c r="E88" s="125"/>
      <c r="F88" s="125"/>
      <c r="G88" s="125"/>
      <c r="H88" s="125"/>
      <c r="I88" s="125"/>
      <c r="J88" s="125"/>
      <c r="K88" s="125"/>
      <c r="L88" s="125"/>
      <c r="M88" s="126"/>
      <c r="N88" s="125"/>
      <c r="P88" s="45"/>
    </row>
    <row r="89" spans="2:16" x14ac:dyDescent="0.2">
      <c r="C89" s="622" t="str">
        <f>Tabele_zaglavlje_Grupa_racuna</f>
        <v>Grupa računa, račun</v>
      </c>
      <c r="D89" s="640" t="str">
        <f>Tabele_zaglavlje_Pozicija</f>
        <v>POZICIJA</v>
      </c>
      <c r="E89" s="641"/>
      <c r="F89" s="641"/>
      <c r="G89" s="641"/>
      <c r="H89" s="642"/>
      <c r="I89" s="650" t="str">
        <f>Tabele_zaglavlje_Oznaka_aop</f>
        <v>Oznaka za AOP</v>
      </c>
      <c r="J89" s="624" t="str">
        <f>Tabele_zaglavlje_Napomena_aop</f>
        <v>Napomena</v>
      </c>
      <c r="K89" s="646"/>
      <c r="L89" s="647"/>
      <c r="M89" s="652" t="str">
        <f>Tabele_zaglavlje_BS_iznos_tekuca</f>
        <v>Iznos na dan bilansa tekuće godine</v>
      </c>
      <c r="N89" s="638" t="str">
        <f>Tabele_zaglavlje_BS_iznos_prethodna</f>
        <v>Iznos na dan bilansa prethodne godine (PS)</v>
      </c>
      <c r="P89" s="45"/>
    </row>
    <row r="90" spans="2:16" ht="39.75" customHeight="1" x14ac:dyDescent="0.2">
      <c r="C90" s="623"/>
      <c r="D90" s="643"/>
      <c r="E90" s="644"/>
      <c r="F90" s="644"/>
      <c r="G90" s="644"/>
      <c r="H90" s="645"/>
      <c r="I90" s="651"/>
      <c r="J90" s="625"/>
      <c r="K90" s="648"/>
      <c r="L90" s="649"/>
      <c r="M90" s="651"/>
      <c r="N90" s="639"/>
      <c r="P90" s="45"/>
    </row>
    <row r="91" spans="2:16" x14ac:dyDescent="0.2">
      <c r="C91" s="24">
        <v>1</v>
      </c>
      <c r="D91" s="626">
        <v>2</v>
      </c>
      <c r="E91" s="627"/>
      <c r="F91" s="627"/>
      <c r="G91" s="627"/>
      <c r="H91" s="628"/>
      <c r="I91" s="249">
        <v>3</v>
      </c>
      <c r="J91" s="257">
        <v>4</v>
      </c>
      <c r="K91" s="430"/>
      <c r="L91" s="431"/>
      <c r="M91" s="248">
        <v>5</v>
      </c>
      <c r="N91" s="26">
        <v>6</v>
      </c>
      <c r="P91" s="45"/>
    </row>
    <row r="92" spans="2:16" ht="22.5" customHeight="1" x14ac:dyDescent="0.2">
      <c r="B92" s="15">
        <v>68</v>
      </c>
      <c r="C92" s="171">
        <f>VLOOKUP( $B92, T_Aop[], 5, 1)</f>
        <v>0</v>
      </c>
      <c r="D92" s="629" t="str">
        <f>VLOOKUP( $B92, T_Aop[], 6, 1)</f>
        <v xml:space="preserve">  BILANSNA PASIVA
A. KAPITAL  (102 -110 + 113 - 114 + 115 + 119 + 122 - 123 + 124 - 128 + 131)</v>
      </c>
      <c r="E92" s="630"/>
      <c r="F92" s="630"/>
      <c r="G92" s="630"/>
      <c r="H92" s="631"/>
      <c r="I92" s="172">
        <f>VLOOKUP( $B92, T_Aop[], 4, 1)</f>
        <v>101</v>
      </c>
      <c r="J92" s="456">
        <v>27</v>
      </c>
      <c r="K92" s="679"/>
      <c r="L92" s="680"/>
      <c r="M92" s="559">
        <f>SUBTOTAL( 9, M95:M100, M102:M103,M104,M107:M109, M111:M113,M116:M118,M122) - SUBTOTAL( 9,  M114, M120:M121) -SUBTOTAL(9, M105)</f>
        <v>115501685</v>
      </c>
      <c r="N92" s="560">
        <f>SUBTOTAL( 9, N95:N100, N102:N103,N104,N107:N109, N111:N113,N116:N118,N122) - SUBTOTAL( 9,  N114, N120:N121)-SUBTOTAL(9,N105)</f>
        <v>115215482</v>
      </c>
      <c r="P92" s="45"/>
    </row>
    <row r="93" spans="2:16" x14ac:dyDescent="0.2">
      <c r="B93" s="15">
        <v>69</v>
      </c>
      <c r="C93" s="382">
        <f>VLOOKUP( $B93, T_Aop[], 5, 1)</f>
        <v>29</v>
      </c>
      <c r="D93" s="632" t="str">
        <f>VLOOKUP( $B93, T_Aop[], 6, 1)</f>
        <v xml:space="preserve">  I OSNOVNI KAPITAL (103 + 106 + 107 + 108 + 109)</v>
      </c>
      <c r="E93" s="633"/>
      <c r="F93" s="633"/>
      <c r="G93" s="633"/>
      <c r="H93" s="634"/>
      <c r="I93" s="258">
        <f>VLOOKUP( $B93, T_Aop[], 4, 1)</f>
        <v>102</v>
      </c>
      <c r="J93" s="454"/>
      <c r="K93" s="681"/>
      <c r="L93" s="682"/>
      <c r="M93" s="561">
        <f>SUBTOTAL( 9, M94:M100)</f>
        <v>15795899</v>
      </c>
      <c r="N93" s="562">
        <f>SUBTOTAL( 9, N94:N100)</f>
        <v>15795899</v>
      </c>
      <c r="P93" s="45"/>
    </row>
    <row r="94" spans="2:16" x14ac:dyDescent="0.2">
      <c r="B94" s="15">
        <v>70</v>
      </c>
      <c r="C94" s="383">
        <f>VLOOKUP( $B94, T_Aop[], 5, 1)</f>
        <v>300</v>
      </c>
      <c r="D94" s="613" t="str">
        <f>VLOOKUP( $B94, T_Aop[], 6, 1)</f>
        <v xml:space="preserve">    1. Akcijski kapital (104 + 105)</v>
      </c>
      <c r="E94" s="614"/>
      <c r="F94" s="614"/>
      <c r="G94" s="614"/>
      <c r="H94" s="615"/>
      <c r="I94" s="172">
        <f>VLOOKUP( $B94, T_Aop[], 4, 1)</f>
        <v>103</v>
      </c>
      <c r="J94" s="159"/>
      <c r="K94" s="679"/>
      <c r="L94" s="680"/>
      <c r="M94" s="49">
        <f>SUBTOTAL( 9, M95:M96)</f>
        <v>15795899</v>
      </c>
      <c r="N94" s="50">
        <f>SUBTOTAL( 9, N95:N96)</f>
        <v>15795899</v>
      </c>
      <c r="P94" s="45"/>
    </row>
    <row r="95" spans="2:16" x14ac:dyDescent="0.2">
      <c r="B95" s="15">
        <v>71</v>
      </c>
      <c r="C95" s="384">
        <f>VLOOKUP( $B95, T_Aop[], 5, 1)</f>
        <v>0</v>
      </c>
      <c r="D95" s="610" t="str">
        <f>VLOOKUP( $B95, T_Aop[], 6, 1)</f>
        <v xml:space="preserve">      1.1. Akcijski kapital - obične akcije </v>
      </c>
      <c r="E95" s="611"/>
      <c r="F95" s="611"/>
      <c r="G95" s="611"/>
      <c r="H95" s="612"/>
      <c r="I95" s="124">
        <f>VLOOKUP( $B95, T_Aop[], 4, 1)</f>
        <v>104</v>
      </c>
      <c r="J95" s="157"/>
      <c r="K95" s="681"/>
      <c r="L95" s="682"/>
      <c r="M95" s="205">
        <v>15795899</v>
      </c>
      <c r="N95" s="206">
        <v>15795899</v>
      </c>
      <c r="P95" s="45"/>
    </row>
    <row r="96" spans="2:16" x14ac:dyDescent="0.2">
      <c r="B96" s="15">
        <v>72</v>
      </c>
      <c r="C96" s="383">
        <f>VLOOKUP( $B96, T_Aop[], 5, 1)</f>
        <v>0</v>
      </c>
      <c r="D96" s="613" t="str">
        <f>VLOOKUP( $B96, T_Aop[], 6, 1)</f>
        <v xml:space="preserve">      1.2. Akcijski kapital – povlašćene (prioritetne) akcije</v>
      </c>
      <c r="E96" s="614"/>
      <c r="F96" s="614"/>
      <c r="G96" s="614"/>
      <c r="H96" s="615"/>
      <c r="I96" s="123">
        <f>VLOOKUP( $B96, T_Aop[], 4, 1)</f>
        <v>105</v>
      </c>
      <c r="J96" s="159"/>
      <c r="K96" s="679"/>
      <c r="L96" s="680"/>
      <c r="M96" s="207"/>
      <c r="N96" s="208"/>
      <c r="P96" s="45"/>
    </row>
    <row r="97" spans="2:16" x14ac:dyDescent="0.2">
      <c r="B97" s="15">
        <v>73</v>
      </c>
      <c r="C97" s="384">
        <f>VLOOKUP( $B97, T_Aop[], 5, 1)</f>
        <v>302</v>
      </c>
      <c r="D97" s="610" t="str">
        <f>VLOOKUP( $B97, T_Aop[], 6, 1)</f>
        <v xml:space="preserve">    2. Udjeli društva sa ograničenom odgovornošću</v>
      </c>
      <c r="E97" s="611"/>
      <c r="F97" s="611"/>
      <c r="G97" s="611"/>
      <c r="H97" s="612"/>
      <c r="I97" s="124">
        <f>VLOOKUP( $B97, T_Aop[], 4, 1)</f>
        <v>106</v>
      </c>
      <c r="J97" s="157"/>
      <c r="K97" s="681"/>
      <c r="L97" s="682"/>
      <c r="M97" s="205"/>
      <c r="N97" s="206"/>
      <c r="P97" s="45"/>
    </row>
    <row r="98" spans="2:16" x14ac:dyDescent="0.2">
      <c r="B98" s="15">
        <v>74</v>
      </c>
      <c r="C98" s="383">
        <f>VLOOKUP( $B98, T_Aop[], 5, 1)</f>
        <v>304</v>
      </c>
      <c r="D98" s="613" t="str">
        <f>VLOOKUP( $B98, T_Aop[], 6, 1)</f>
        <v xml:space="preserve">    3. Ulozi</v>
      </c>
      <c r="E98" s="614"/>
      <c r="F98" s="614"/>
      <c r="G98" s="614"/>
      <c r="H98" s="615"/>
      <c r="I98" s="123">
        <f>VLOOKUP( $B98, T_Aop[], 4, 1)</f>
        <v>107</v>
      </c>
      <c r="J98" s="159"/>
      <c r="K98" s="679"/>
      <c r="L98" s="680"/>
      <c r="M98" s="207"/>
      <c r="N98" s="208"/>
      <c r="P98" s="45"/>
    </row>
    <row r="99" spans="2:16" x14ac:dyDescent="0.2">
      <c r="B99" s="15">
        <v>75</v>
      </c>
      <c r="C99" s="384">
        <f>VLOOKUP( $B99, T_Aop[], 5, 1)</f>
        <v>305</v>
      </c>
      <c r="D99" s="610" t="str">
        <f>VLOOKUP( $B99, T_Aop[], 6, 1)</f>
        <v xml:space="preserve">    4. Državni kapital</v>
      </c>
      <c r="E99" s="611"/>
      <c r="F99" s="611"/>
      <c r="G99" s="611"/>
      <c r="H99" s="612"/>
      <c r="I99" s="124">
        <f>VLOOKUP( $B99, T_Aop[], 4, 1)</f>
        <v>108</v>
      </c>
      <c r="J99" s="157"/>
      <c r="K99" s="681"/>
      <c r="L99" s="682"/>
      <c r="M99" s="205"/>
      <c r="N99" s="206"/>
      <c r="P99" s="45"/>
    </row>
    <row r="100" spans="2:16" x14ac:dyDescent="0.2">
      <c r="B100" s="15">
        <v>76</v>
      </c>
      <c r="C100" s="383" t="str">
        <f>VLOOKUP( $B100, T_Aop[], 5, 1)</f>
        <v>309</v>
      </c>
      <c r="D100" s="613" t="str">
        <f>VLOOKUP( $B100, T_Aop[], 6, 1)</f>
        <v xml:space="preserve">    5. Ostali osnovni kapital</v>
      </c>
      <c r="E100" s="614"/>
      <c r="F100" s="614"/>
      <c r="G100" s="614"/>
      <c r="H100" s="615"/>
      <c r="I100" s="123">
        <f>VLOOKUP( $B100, T_Aop[], 4, 1)</f>
        <v>109</v>
      </c>
      <c r="J100" s="159"/>
      <c r="K100" s="679"/>
      <c r="L100" s="680"/>
      <c r="M100" s="207"/>
      <c r="N100" s="208"/>
      <c r="P100" s="45"/>
    </row>
    <row r="101" spans="2:16" x14ac:dyDescent="0.2">
      <c r="B101" s="15">
        <v>77</v>
      </c>
      <c r="C101" s="384">
        <f>VLOOKUP( $B101, T_Aop[], 5, 1)</f>
        <v>31</v>
      </c>
      <c r="D101" s="616" t="str">
        <f>VLOOKUP( $B101, T_Aop[], 6, 1)</f>
        <v xml:space="preserve">  II OTKUPLJENE SOPSTVENE AKCIJE I UPISANI NEUPLAĆENI KAPITAL (111 + 112)</v>
      </c>
      <c r="E101" s="617"/>
      <c r="F101" s="617"/>
      <c r="G101" s="617"/>
      <c r="H101" s="618"/>
      <c r="I101" s="173">
        <f>VLOOKUP( $B101, T_Aop[], 4, 1)</f>
        <v>110</v>
      </c>
      <c r="J101" s="157"/>
      <c r="K101" s="681"/>
      <c r="L101" s="682"/>
      <c r="M101" s="51">
        <f>SUBTOTAL( 9, M102:M103)</f>
        <v>0</v>
      </c>
      <c r="N101" s="52">
        <f>SUBTOTAL( 9, N102:N103)</f>
        <v>0</v>
      </c>
      <c r="P101" s="45"/>
    </row>
    <row r="102" spans="2:16" x14ac:dyDescent="0.2">
      <c r="B102" s="15">
        <v>78</v>
      </c>
      <c r="C102" s="383">
        <f>VLOOKUP( $B102, T_Aop[], 5, 1)</f>
        <v>310</v>
      </c>
      <c r="D102" s="613" t="str">
        <f>VLOOKUP( $B102, T_Aop[], 6, 1)</f>
        <v xml:space="preserve">    1. Otkupljene sopstvene akcije i udjeli </v>
      </c>
      <c r="E102" s="614"/>
      <c r="F102" s="614"/>
      <c r="G102" s="614"/>
      <c r="H102" s="615"/>
      <c r="I102" s="123">
        <f>VLOOKUP( $B102, T_Aop[], 4, 1)</f>
        <v>111</v>
      </c>
      <c r="J102" s="159"/>
      <c r="K102" s="679"/>
      <c r="L102" s="680"/>
      <c r="M102" s="211"/>
      <c r="N102" s="212"/>
      <c r="P102" s="45"/>
    </row>
    <row r="103" spans="2:16" x14ac:dyDescent="0.2">
      <c r="B103" s="15">
        <v>79</v>
      </c>
      <c r="C103" s="384">
        <f>VLOOKUP( $B103, T_Aop[], 5, 1)</f>
        <v>311</v>
      </c>
      <c r="D103" s="610" t="str">
        <f>VLOOKUP( $B103, T_Aop[], 6, 1)</f>
        <v xml:space="preserve">    2. Upisani neuplaćeni kapital</v>
      </c>
      <c r="E103" s="611"/>
      <c r="F103" s="611"/>
      <c r="G103" s="611"/>
      <c r="H103" s="612"/>
      <c r="I103" s="124">
        <f>VLOOKUP( $B103, T_Aop[], 4, 1)</f>
        <v>112</v>
      </c>
      <c r="J103" s="157"/>
      <c r="K103" s="681"/>
      <c r="L103" s="682"/>
      <c r="M103" s="209"/>
      <c r="N103" s="210"/>
      <c r="P103" s="45"/>
    </row>
    <row r="104" spans="2:16" x14ac:dyDescent="0.2">
      <c r="B104" s="15">
        <v>80</v>
      </c>
      <c r="C104" s="383">
        <f>VLOOKUP( $B104, T_Aop[], 5, 1)</f>
        <v>320</v>
      </c>
      <c r="D104" s="635" t="str">
        <f>VLOOKUP( $B104, T_Aop[], 6, 1)</f>
        <v xml:space="preserve">  III EMISIONA PREMIJA</v>
      </c>
      <c r="E104" s="636"/>
      <c r="F104" s="636"/>
      <c r="G104" s="636"/>
      <c r="H104" s="637"/>
      <c r="I104" s="172">
        <f>VLOOKUP( $B104, T_Aop[], 4, 1)</f>
        <v>113</v>
      </c>
      <c r="J104" s="159"/>
      <c r="K104" s="679"/>
      <c r="L104" s="680"/>
      <c r="M104" s="211"/>
      <c r="N104" s="212"/>
      <c r="P104" s="45"/>
    </row>
    <row r="105" spans="2:16" x14ac:dyDescent="0.2">
      <c r="B105" s="15">
        <v>81</v>
      </c>
      <c r="C105" s="384">
        <f>VLOOKUP( $B105, T_Aop[], 5, 1)</f>
        <v>321</v>
      </c>
      <c r="D105" s="616" t="str">
        <f>VLOOKUP( $B105, T_Aop[], 6, 1)</f>
        <v xml:space="preserve">  IV EMISIONI GUBITAK</v>
      </c>
      <c r="E105" s="617"/>
      <c r="F105" s="617"/>
      <c r="G105" s="617"/>
      <c r="H105" s="618"/>
      <c r="I105" s="173">
        <f>VLOOKUP( $B105, T_Aop[], 4, 1)</f>
        <v>114</v>
      </c>
      <c r="J105" s="157"/>
      <c r="K105" s="681"/>
      <c r="L105" s="682"/>
      <c r="M105" s="209"/>
      <c r="N105" s="210"/>
      <c r="P105" s="45"/>
    </row>
    <row r="106" spans="2:16" x14ac:dyDescent="0.2">
      <c r="B106" s="15">
        <v>82</v>
      </c>
      <c r="C106" s="383" t="str">
        <f>VLOOKUP( $B106, T_Aop[], 5, 1)</f>
        <v>dio 32</v>
      </c>
      <c r="D106" s="635" t="str">
        <f>VLOOKUP( $B106, T_Aop[], 6, 1)</f>
        <v xml:space="preserve">  V REZERVE (116 do 118)</v>
      </c>
      <c r="E106" s="636"/>
      <c r="F106" s="636"/>
      <c r="G106" s="636"/>
      <c r="H106" s="637"/>
      <c r="I106" s="172">
        <f>VLOOKUP( $B106, T_Aop[], 4, 1)</f>
        <v>115</v>
      </c>
      <c r="J106" s="159"/>
      <c r="K106" s="679"/>
      <c r="L106" s="680"/>
      <c r="M106" s="49">
        <f>SUBTOTAL( 9, M107:M109)</f>
        <v>14953035</v>
      </c>
      <c r="N106" s="50">
        <f>SUBTOTAL( 9, N107:N109)</f>
        <v>14738412</v>
      </c>
      <c r="P106" s="45"/>
    </row>
    <row r="107" spans="2:16" x14ac:dyDescent="0.2">
      <c r="B107" s="15">
        <v>83</v>
      </c>
      <c r="C107" s="384">
        <f>VLOOKUP( $B107, T_Aop[], 5, 1)</f>
        <v>322</v>
      </c>
      <c r="D107" s="610" t="str">
        <f>VLOOKUP( $B107, T_Aop[], 6, 1)</f>
        <v xml:space="preserve">    1. Zakonske rezerve</v>
      </c>
      <c r="E107" s="611"/>
      <c r="F107" s="611"/>
      <c r="G107" s="611"/>
      <c r="H107" s="612"/>
      <c r="I107" s="124">
        <f>VLOOKUP( $B107, T_Aop[], 4, 1)</f>
        <v>116</v>
      </c>
      <c r="J107" s="157"/>
      <c r="K107" s="681"/>
      <c r="L107" s="682"/>
      <c r="M107" s="205">
        <v>967982</v>
      </c>
      <c r="N107" s="205">
        <v>753359</v>
      </c>
      <c r="P107" s="45"/>
    </row>
    <row r="108" spans="2:16" x14ac:dyDescent="0.2">
      <c r="B108" s="15">
        <v>84</v>
      </c>
      <c r="C108" s="383">
        <f>VLOOKUP( $B108, T_Aop[], 5, 1)</f>
        <v>323</v>
      </c>
      <c r="D108" s="613" t="str">
        <f>VLOOKUP( $B108, T_Aop[], 6, 1)</f>
        <v xml:space="preserve">    2. Statutarne rezerve</v>
      </c>
      <c r="E108" s="614"/>
      <c r="F108" s="614"/>
      <c r="G108" s="614"/>
      <c r="H108" s="615"/>
      <c r="I108" s="123">
        <f>VLOOKUP( $B108, T_Aop[], 4, 1)</f>
        <v>117</v>
      </c>
      <c r="J108" s="159"/>
      <c r="K108" s="679"/>
      <c r="L108" s="680"/>
      <c r="M108" s="161"/>
      <c r="N108" s="161"/>
      <c r="P108" s="45"/>
    </row>
    <row r="109" spans="2:16" x14ac:dyDescent="0.2">
      <c r="B109" s="15">
        <v>85</v>
      </c>
      <c r="C109" s="384">
        <f>VLOOKUP( $B109, T_Aop[], 5, 1)</f>
        <v>329</v>
      </c>
      <c r="D109" s="610" t="str">
        <f>VLOOKUP( $B109, T_Aop[], 6, 1)</f>
        <v xml:space="preserve">    3. Ostale rezerve</v>
      </c>
      <c r="E109" s="611"/>
      <c r="F109" s="611"/>
      <c r="G109" s="611"/>
      <c r="H109" s="612"/>
      <c r="I109" s="124">
        <f>VLOOKUP( $B109, T_Aop[], 4, 1)</f>
        <v>118</v>
      </c>
      <c r="J109" s="157"/>
      <c r="K109" s="681"/>
      <c r="L109" s="682"/>
      <c r="M109" s="209">
        <v>13985053</v>
      </c>
      <c r="N109" s="209">
        <v>13985053</v>
      </c>
      <c r="P109" s="45"/>
    </row>
    <row r="110" spans="2:16" ht="11.25" customHeight="1" x14ac:dyDescent="0.2">
      <c r="B110" s="15">
        <v>86</v>
      </c>
      <c r="C110" s="383" t="str">
        <f>VLOOKUP( $B110, T_Aop[], 5, 1)</f>
        <v>dio 33</v>
      </c>
      <c r="D110" s="635" t="str">
        <f>VLOOKUP( $B110, T_Aop[], 6, 1)</f>
        <v xml:space="preserve">   VI REVALORIZACIONE REZERVE (120 + 121)</v>
      </c>
      <c r="E110" s="636"/>
      <c r="F110" s="636"/>
      <c r="G110" s="636"/>
      <c r="H110" s="637"/>
      <c r="I110" s="172">
        <f>VLOOKUP( $B110, T_Aop[], 4, 1)</f>
        <v>119</v>
      </c>
      <c r="J110" s="159"/>
      <c r="K110" s="679"/>
      <c r="L110" s="680"/>
      <c r="M110" s="49">
        <f>SUBTOTAL( 9, M111:M112)</f>
        <v>39197536</v>
      </c>
      <c r="N110" s="426">
        <f>SUBTOTAL( 9, N111:N112)</f>
        <v>41208804</v>
      </c>
      <c r="P110" s="45"/>
    </row>
    <row r="111" spans="2:16" x14ac:dyDescent="0.2">
      <c r="B111" s="15">
        <v>87</v>
      </c>
      <c r="C111" s="384">
        <f>VLOOKUP( $B111, T_Aop[], 5, 1)</f>
        <v>330</v>
      </c>
      <c r="D111" s="610" t="str">
        <f>VLOOKUP( $B111, T_Aop[], 6, 1)</f>
        <v xml:space="preserve">    1. Revalorizacione rezerve za nekretnine, postrojenja, opremu i nematerijalna sredstva</v>
      </c>
      <c r="E111" s="611"/>
      <c r="F111" s="611"/>
      <c r="G111" s="611"/>
      <c r="H111" s="612"/>
      <c r="I111" s="124">
        <f>VLOOKUP( $B111, T_Aop[], 4, 1)</f>
        <v>120</v>
      </c>
      <c r="J111" s="157"/>
      <c r="K111" s="681"/>
      <c r="L111" s="682"/>
      <c r="M111" s="205">
        <v>39197536</v>
      </c>
      <c r="N111" s="205">
        <v>41208804</v>
      </c>
      <c r="P111" s="45"/>
    </row>
    <row r="112" spans="2:16" x14ac:dyDescent="0.2">
      <c r="B112" s="15">
        <v>88</v>
      </c>
      <c r="C112" s="383" t="str">
        <f>VLOOKUP( $B112, T_Aop[], 5, 1)</f>
        <v>331 i 334</v>
      </c>
      <c r="D112" s="613" t="str">
        <f>VLOOKUP( $B112, T_Aop[], 6, 1)</f>
        <v xml:space="preserve">    2. Ostale revalorizacione rezerve</v>
      </c>
      <c r="E112" s="614"/>
      <c r="F112" s="614"/>
      <c r="G112" s="614"/>
      <c r="H112" s="615"/>
      <c r="I112" s="123">
        <f>VLOOKUP( $B112, T_Aop[], 4, 1)</f>
        <v>121</v>
      </c>
      <c r="J112" s="159"/>
      <c r="K112" s="679"/>
      <c r="L112" s="680"/>
      <c r="M112" s="207"/>
      <c r="N112" s="421"/>
      <c r="P112" s="45"/>
    </row>
    <row r="113" spans="2:16" ht="21" customHeight="1" x14ac:dyDescent="0.2">
      <c r="B113" s="15">
        <v>89</v>
      </c>
      <c r="C113" s="384">
        <f>VLOOKUP( $B113, T_Aop[], 5, 1)</f>
        <v>332</v>
      </c>
      <c r="D113" s="668" t="str">
        <f>VLOOKUP( $B113, T_Aop[], 6, 1)</f>
        <v xml:space="preserve">  VII POZITIVNI EFEKTI VREDNOVANJA FINANSIJSKIH SREDSTAVA KOJA SE VREDNUJU PO FER VRIJEDNOSTI KROZ OSTALI UKUPNI REZULTAT</v>
      </c>
      <c r="E113" s="669"/>
      <c r="F113" s="669"/>
      <c r="G113" s="669"/>
      <c r="H113" s="670"/>
      <c r="I113" s="173">
        <f>VLOOKUP( $B113, T_Aop[], 4, 1)</f>
        <v>122</v>
      </c>
      <c r="J113" s="157"/>
      <c r="K113" s="681"/>
      <c r="L113" s="682"/>
      <c r="M113" s="209"/>
      <c r="N113" s="423"/>
      <c r="P113" s="45"/>
    </row>
    <row r="114" spans="2:16" ht="23.25" customHeight="1" x14ac:dyDescent="0.2">
      <c r="B114" s="15">
        <v>90</v>
      </c>
      <c r="C114" s="383">
        <f>VLOOKUP( $B114, T_Aop[], 5, 1)</f>
        <v>333</v>
      </c>
      <c r="D114" s="629" t="str">
        <f>VLOOKUP( $B114, T_Aop[], 6, 1)</f>
        <v xml:space="preserve">  VIII NEGATIVNI EFEKTI VREDNOVANJA FINANSIJSKIH SREDSTAVA KOJA SE VREDNUJU PO FER VRIJEDNOSTI KROZ OSTALI UKUPNI REZULTAT</v>
      </c>
      <c r="E114" s="630"/>
      <c r="F114" s="630"/>
      <c r="G114" s="630"/>
      <c r="H114" s="631"/>
      <c r="I114" s="172">
        <f>VLOOKUP( $B114, T_Aop[], 4, 1)</f>
        <v>123</v>
      </c>
      <c r="J114" s="159"/>
      <c r="K114" s="679"/>
      <c r="L114" s="680"/>
      <c r="M114" s="211"/>
      <c r="N114" s="424"/>
      <c r="P114" s="45"/>
    </row>
    <row r="115" spans="2:16" x14ac:dyDescent="0.2">
      <c r="B115" s="15">
        <v>91</v>
      </c>
      <c r="C115" s="384">
        <f>VLOOKUP( $B115, T_Aop[], 5, 1)</f>
        <v>34</v>
      </c>
      <c r="D115" s="616" t="str">
        <f>VLOOKUP( $B115, T_Aop[], 6, 1)</f>
        <v xml:space="preserve">  IX  NERASPOREĐENA DOBIT (125 do 127)</v>
      </c>
      <c r="E115" s="617"/>
      <c r="F115" s="617"/>
      <c r="G115" s="617"/>
      <c r="H115" s="618"/>
      <c r="I115" s="173">
        <f>VLOOKUP( $B115, T_Aop[], 4, 1)</f>
        <v>124</v>
      </c>
      <c r="J115" s="157"/>
      <c r="K115" s="681"/>
      <c r="L115" s="682"/>
      <c r="M115" s="51">
        <f>SUBTOTAL( 9, M116:M118)</f>
        <v>45555215</v>
      </c>
      <c r="N115" s="256">
        <f>SUBTOTAL( 9, N116:N118)</f>
        <v>43472367</v>
      </c>
      <c r="P115" s="45"/>
    </row>
    <row r="116" spans="2:16" ht="12" customHeight="1" x14ac:dyDescent="0.2">
      <c r="B116" s="15">
        <v>92</v>
      </c>
      <c r="C116" s="383" t="str">
        <f>VLOOKUP( $B116, T_Aop[], 5, 1)</f>
        <v>340 ili 342</v>
      </c>
      <c r="D116" s="671" t="str">
        <f>VLOOKUP( $B116, T_Aop[], 6, 1)</f>
        <v xml:space="preserve">    1. Neraspoređena dobit ranijih godina / Neraspoređeni višak prihoda nad rashodima ranijih godina</v>
      </c>
      <c r="E116" s="672"/>
      <c r="F116" s="672"/>
      <c r="G116" s="672"/>
      <c r="H116" s="673"/>
      <c r="I116" s="123">
        <f>VLOOKUP( $B116, T_Aop[], 4, 1)</f>
        <v>125</v>
      </c>
      <c r="J116" s="159"/>
      <c r="K116" s="679"/>
      <c r="L116" s="680"/>
      <c r="M116" s="207">
        <v>43043122</v>
      </c>
      <c r="N116" s="207">
        <v>39143710</v>
      </c>
      <c r="P116" s="45"/>
    </row>
    <row r="117" spans="2:16" ht="12" customHeight="1" x14ac:dyDescent="0.2">
      <c r="B117" s="15">
        <v>93</v>
      </c>
      <c r="C117" s="384" t="str">
        <f>VLOOKUP( $B117, T_Aop[], 5, 1)</f>
        <v>341 ili 343</v>
      </c>
      <c r="D117" s="674" t="str">
        <f>VLOOKUP( $B117, T_Aop[], 6, 1)</f>
        <v xml:space="preserve">    2. Neraspoređena dobit tekuće godine / Neraspoređeni višak prihoda nad rashodima tekuće godine</v>
      </c>
      <c r="E117" s="675"/>
      <c r="F117" s="675"/>
      <c r="G117" s="675"/>
      <c r="H117" s="676"/>
      <c r="I117" s="124">
        <f>VLOOKUP( $B117, T_Aop[], 4, 1)</f>
        <v>126</v>
      </c>
      <c r="J117" s="157"/>
      <c r="K117" s="681"/>
      <c r="L117" s="682"/>
      <c r="M117" s="205">
        <f>2011268+500825</f>
        <v>2512093</v>
      </c>
      <c r="N117" s="205">
        <v>4328657</v>
      </c>
      <c r="P117" s="45"/>
    </row>
    <row r="118" spans="2:16" x14ac:dyDescent="0.2">
      <c r="B118" s="15">
        <v>94</v>
      </c>
      <c r="C118" s="383">
        <f>VLOOKUP( $B118, T_Aop[], 5, 1)</f>
        <v>344</v>
      </c>
      <c r="D118" s="613" t="str">
        <f>VLOOKUP( $B118, T_Aop[], 6, 1)</f>
        <v xml:space="preserve">    3. Neto prihod od samostalne djelatnosti</v>
      </c>
      <c r="E118" s="614"/>
      <c r="F118" s="614"/>
      <c r="G118" s="614"/>
      <c r="H118" s="615"/>
      <c r="I118" s="123">
        <f>VLOOKUP( $B118, T_Aop[], 4, 1)</f>
        <v>127</v>
      </c>
      <c r="J118" s="159"/>
      <c r="K118" s="679"/>
      <c r="L118" s="680"/>
      <c r="M118" s="207"/>
      <c r="N118" s="421"/>
      <c r="P118" s="45"/>
    </row>
    <row r="119" spans="2:16" x14ac:dyDescent="0.2">
      <c r="B119" s="15">
        <v>95</v>
      </c>
      <c r="C119" s="384" t="str">
        <f>VLOOKUP( $B119, T_Aop[], 5, 1)</f>
        <v>35</v>
      </c>
      <c r="D119" s="616" t="str">
        <f>VLOOKUP( $B119, T_Aop[], 6, 1)</f>
        <v xml:space="preserve">  X GUBITAK (129 + 130)  </v>
      </c>
      <c r="E119" s="617"/>
      <c r="F119" s="617"/>
      <c r="G119" s="617"/>
      <c r="H119" s="618"/>
      <c r="I119" s="173">
        <f>VLOOKUP( $B119, T_Aop[], 4, 1)</f>
        <v>128</v>
      </c>
      <c r="J119" s="157"/>
      <c r="K119" s="681"/>
      <c r="L119" s="682"/>
      <c r="M119" s="51">
        <f>SUBTOTAL( 9, M120:M121)</f>
        <v>0</v>
      </c>
      <c r="N119" s="256">
        <f>SUBTOTAL( 9, N120:N121)</f>
        <v>0</v>
      </c>
      <c r="P119" s="45"/>
    </row>
    <row r="120" spans="2:16" x14ac:dyDescent="0.2">
      <c r="B120" s="15">
        <v>96</v>
      </c>
      <c r="C120" s="383" t="str">
        <f>VLOOKUP( $B120, T_Aop[], 5, 1)</f>
        <v>350 ili 352</v>
      </c>
      <c r="D120" s="613" t="str">
        <f>VLOOKUP( $B120, T_Aop[], 6, 1)</f>
        <v xml:space="preserve">    1. Gubitak ranijih godina / Višak rashoda nad prihodima ranijih godina</v>
      </c>
      <c r="E120" s="614"/>
      <c r="F120" s="614"/>
      <c r="G120" s="614"/>
      <c r="H120" s="615"/>
      <c r="I120" s="123">
        <f>VLOOKUP( $B120, T_Aop[], 4, 1)</f>
        <v>129</v>
      </c>
      <c r="J120" s="159"/>
      <c r="K120" s="679"/>
      <c r="L120" s="680"/>
      <c r="M120" s="207"/>
      <c r="N120" s="421"/>
      <c r="P120" s="45"/>
    </row>
    <row r="121" spans="2:16" x14ac:dyDescent="0.2">
      <c r="B121" s="15">
        <v>97</v>
      </c>
      <c r="C121" s="384" t="str">
        <f>VLOOKUP( $B121, T_Aop[], 5, 1)</f>
        <v>351 ili 353</v>
      </c>
      <c r="D121" s="610" t="str">
        <f>VLOOKUP( $B121, T_Aop[], 6, 1)</f>
        <v xml:space="preserve">    2. Gubitak tekuće godine / Višak rashoda nad prihodima tekuće godine</v>
      </c>
      <c r="E121" s="611"/>
      <c r="F121" s="611"/>
      <c r="G121" s="611"/>
      <c r="H121" s="612"/>
      <c r="I121" s="124">
        <f>VLOOKUP( $B121, T_Aop[], 4, 1)</f>
        <v>130</v>
      </c>
      <c r="J121" s="157"/>
      <c r="K121" s="681"/>
      <c r="L121" s="682"/>
      <c r="M121" s="205"/>
      <c r="N121" s="422"/>
      <c r="P121" s="45"/>
    </row>
    <row r="122" spans="2:16" x14ac:dyDescent="0.2">
      <c r="B122" s="15">
        <v>98</v>
      </c>
      <c r="C122" s="383" t="str">
        <f>VLOOKUP( $B122, T_Aop[], 5, 1)</f>
        <v xml:space="preserve"> </v>
      </c>
      <c r="D122" s="635" t="str">
        <f>VLOOKUP( $B122, T_Aop[], 6, 1)</f>
        <v xml:space="preserve">  XI UČEŠĆA BEZ PRAVA KONTROLE</v>
      </c>
      <c r="E122" s="636"/>
      <c r="F122" s="636"/>
      <c r="G122" s="636"/>
      <c r="H122" s="637"/>
      <c r="I122" s="172">
        <f>VLOOKUP( $B122, T_Aop[], 4, 1)</f>
        <v>131</v>
      </c>
      <c r="J122" s="159"/>
      <c r="K122" s="679"/>
      <c r="L122" s="680"/>
      <c r="M122" s="211"/>
      <c r="N122" s="424"/>
      <c r="P122" s="45"/>
    </row>
    <row r="123" spans="2:16" x14ac:dyDescent="0.2">
      <c r="B123" s="15">
        <v>99</v>
      </c>
      <c r="C123" s="384" t="str">
        <f>VLOOKUP( $B123, T_Aop[], 5, 1)</f>
        <v xml:space="preserve"> </v>
      </c>
      <c r="D123" s="616" t="str">
        <f>VLOOKUP( $B123, T_Aop[], 6, 1)</f>
        <v xml:space="preserve">  B. DUGOROČNA REZERVISANJA I DUGOROČNE OBAVEZE (133 + 137 + 145)</v>
      </c>
      <c r="E123" s="617"/>
      <c r="F123" s="617"/>
      <c r="G123" s="617"/>
      <c r="H123" s="618"/>
      <c r="I123" s="173">
        <f>VLOOKUP( $B123, T_Aop[], 4, 1)</f>
        <v>132</v>
      </c>
      <c r="J123" s="157"/>
      <c r="K123" s="681"/>
      <c r="L123" s="682"/>
      <c r="M123" s="414">
        <f>SUBTOTAL( 9, M124:M136)</f>
        <v>31554154</v>
      </c>
      <c r="N123" s="425">
        <f>SUBTOTAL( 9, N124:N136)</f>
        <v>33018158</v>
      </c>
      <c r="P123" s="45"/>
    </row>
    <row r="124" spans="2:16" x14ac:dyDescent="0.2">
      <c r="B124" s="15">
        <v>100</v>
      </c>
      <c r="C124" s="383" t="str">
        <f>VLOOKUP( $B124, T_Aop[], 5, 1)</f>
        <v>dio 40</v>
      </c>
      <c r="D124" s="635" t="str">
        <f>VLOOKUP( $B124, T_Aop[], 6, 1)</f>
        <v xml:space="preserve">  I DUGOROČNA REZERVISANJA (134 do 136)</v>
      </c>
      <c r="E124" s="636"/>
      <c r="F124" s="636"/>
      <c r="G124" s="636"/>
      <c r="H124" s="637"/>
      <c r="I124" s="172">
        <f>VLOOKUP( $B124, T_Aop[], 4, 1)</f>
        <v>133</v>
      </c>
      <c r="J124" s="159">
        <v>28</v>
      </c>
      <c r="K124" s="679"/>
      <c r="L124" s="680"/>
      <c r="M124" s="49">
        <f>SUBTOTAL( 9, M125:M127)</f>
        <v>1041750</v>
      </c>
      <c r="N124" s="426">
        <f>SUBTOTAL( 9, N125:N127)</f>
        <v>729736</v>
      </c>
      <c r="P124" s="45"/>
    </row>
    <row r="125" spans="2:16" x14ac:dyDescent="0.2">
      <c r="B125" s="15">
        <v>101</v>
      </c>
      <c r="C125" s="384">
        <f>VLOOKUP( $B125, T_Aop[], 5, 1)</f>
        <v>400</v>
      </c>
      <c r="D125" s="610" t="str">
        <f>VLOOKUP( $B125, T_Aop[], 6, 1)</f>
        <v xml:space="preserve">    1. Rezervisanja za troškove u garantnom roku</v>
      </c>
      <c r="E125" s="611"/>
      <c r="F125" s="611"/>
      <c r="G125" s="611"/>
      <c r="H125" s="612"/>
      <c r="I125" s="124">
        <f>VLOOKUP( $B125, T_Aop[], 4, 1)</f>
        <v>134</v>
      </c>
      <c r="J125" s="157"/>
      <c r="K125" s="681"/>
      <c r="L125" s="682"/>
      <c r="M125" s="205"/>
      <c r="N125" s="422"/>
      <c r="P125" s="45"/>
    </row>
    <row r="126" spans="2:16" x14ac:dyDescent="0.2">
      <c r="B126" s="15">
        <v>102</v>
      </c>
      <c r="C126" s="383">
        <f>VLOOKUP( $B126, T_Aop[], 5, 1)</f>
        <v>404</v>
      </c>
      <c r="D126" s="613" t="str">
        <f>VLOOKUP( $B126, T_Aop[], 6, 1)</f>
        <v xml:space="preserve">    2. Rezervisanja za naknade i beneficije zaposlenih</v>
      </c>
      <c r="E126" s="614"/>
      <c r="F126" s="614"/>
      <c r="G126" s="614"/>
      <c r="H126" s="615"/>
      <c r="I126" s="123">
        <f>VLOOKUP( $B126, T_Aop[], 4, 1)</f>
        <v>135</v>
      </c>
      <c r="J126" s="159"/>
      <c r="K126" s="679"/>
      <c r="L126" s="680"/>
      <c r="M126" s="207">
        <v>677095</v>
      </c>
      <c r="N126" s="207">
        <v>687496</v>
      </c>
      <c r="P126" s="45"/>
    </row>
    <row r="127" spans="2:16" x14ac:dyDescent="0.2">
      <c r="B127" s="15">
        <v>103</v>
      </c>
      <c r="C127" s="384" t="str">
        <f>VLOOKUP( $B127, T_Aop[], 5, 1)</f>
        <v>401, 402, 403, dio 409</v>
      </c>
      <c r="D127" s="610" t="str">
        <f>VLOOKUP( $B127, T_Aop[], 6, 1)</f>
        <v xml:space="preserve">    3. Ostala dugoročna rezervisanja</v>
      </c>
      <c r="E127" s="611"/>
      <c r="F127" s="611"/>
      <c r="G127" s="611"/>
      <c r="H127" s="612"/>
      <c r="I127" s="124">
        <f>VLOOKUP( $B127, T_Aop[], 4, 1)</f>
        <v>136</v>
      </c>
      <c r="J127" s="157"/>
      <c r="K127" s="681"/>
      <c r="L127" s="682"/>
      <c r="M127" s="422">
        <v>364655</v>
      </c>
      <c r="N127" s="422">
        <v>42240</v>
      </c>
      <c r="P127" s="45"/>
    </row>
    <row r="128" spans="2:16" x14ac:dyDescent="0.2">
      <c r="B128" s="15">
        <v>104</v>
      </c>
      <c r="C128" s="383" t="str">
        <f>VLOOKUP( $B128, T_Aop[], 5, 1)</f>
        <v xml:space="preserve"> </v>
      </c>
      <c r="D128" s="635" t="str">
        <f>VLOOKUP( $B128, T_Aop[], 6, 1)</f>
        <v xml:space="preserve">  II DUGOROČNE OBAVEZE (138 do 144)</v>
      </c>
      <c r="E128" s="636"/>
      <c r="F128" s="636"/>
      <c r="G128" s="636"/>
      <c r="H128" s="637"/>
      <c r="I128" s="172">
        <f>VLOOKUP( $B128, T_Aop[], 4, 1)</f>
        <v>137</v>
      </c>
      <c r="J128" s="159">
        <v>30</v>
      </c>
      <c r="K128" s="679"/>
      <c r="L128" s="680"/>
      <c r="M128" s="49">
        <f>SUBTOTAL( 9, M129:M135)</f>
        <v>16449272</v>
      </c>
      <c r="N128" s="426">
        <f>SUBTOTAL( 9, N129:N135)</f>
        <v>18920021</v>
      </c>
      <c r="P128" s="45"/>
    </row>
    <row r="129" spans="2:16" x14ac:dyDescent="0.2">
      <c r="B129" s="15">
        <v>105</v>
      </c>
      <c r="C129" s="384">
        <f>VLOOKUP( $B129, T_Aop[], 5, 1)</f>
        <v>411</v>
      </c>
      <c r="D129" s="610" t="str">
        <f>VLOOKUP( $B129, T_Aop[], 6, 1)</f>
        <v xml:space="preserve">    1. Obaveze prema povezanim pravnim licima</v>
      </c>
      <c r="E129" s="611"/>
      <c r="F129" s="611"/>
      <c r="G129" s="611"/>
      <c r="H129" s="612"/>
      <c r="I129" s="124">
        <f>VLOOKUP( $B129, T_Aop[], 4, 1)</f>
        <v>138</v>
      </c>
      <c r="J129" s="157"/>
      <c r="K129" s="681"/>
      <c r="L129" s="682"/>
      <c r="M129" s="205">
        <v>12661297</v>
      </c>
      <c r="N129" s="205">
        <v>13148617</v>
      </c>
      <c r="P129" s="45"/>
    </row>
    <row r="130" spans="2:16" x14ac:dyDescent="0.2">
      <c r="B130" s="15">
        <v>106</v>
      </c>
      <c r="C130" s="383">
        <f>VLOOKUP( $B130, T_Aop[], 5, 1)</f>
        <v>413</v>
      </c>
      <c r="D130" s="613" t="str">
        <f>VLOOKUP( $B130, T_Aop[], 6, 1)</f>
        <v xml:space="preserve">    2. Dugoročni krediti u zemlji</v>
      </c>
      <c r="E130" s="614"/>
      <c r="F130" s="614"/>
      <c r="G130" s="614"/>
      <c r="H130" s="615"/>
      <c r="I130" s="123">
        <f>VLOOKUP( $B130, T_Aop[], 4, 1)</f>
        <v>139</v>
      </c>
      <c r="J130" s="159"/>
      <c r="K130" s="679"/>
      <c r="L130" s="680"/>
      <c r="M130" s="207"/>
      <c r="N130" s="207"/>
      <c r="P130" s="45"/>
    </row>
    <row r="131" spans="2:16" x14ac:dyDescent="0.2">
      <c r="B131" s="15">
        <v>107</v>
      </c>
      <c r="C131" s="384">
        <f>VLOOKUP( $B131, T_Aop[], 5, 1)</f>
        <v>414</v>
      </c>
      <c r="D131" s="610" t="str">
        <f>VLOOKUP( $B131, T_Aop[], 6, 1)</f>
        <v xml:space="preserve">    3. Dugoročni krediti u inostranstvu</v>
      </c>
      <c r="E131" s="611"/>
      <c r="F131" s="611"/>
      <c r="G131" s="611"/>
      <c r="H131" s="612"/>
      <c r="I131" s="124">
        <f>VLOOKUP( $B131, T_Aop[], 4, 1)</f>
        <v>140</v>
      </c>
      <c r="J131" s="157"/>
      <c r="K131" s="681"/>
      <c r="L131" s="682"/>
      <c r="M131" s="205">
        <v>2865920</v>
      </c>
      <c r="N131" s="205">
        <v>3222279</v>
      </c>
      <c r="P131" s="45"/>
    </row>
    <row r="132" spans="2:16" x14ac:dyDescent="0.2">
      <c r="B132" s="15">
        <v>108</v>
      </c>
      <c r="C132" s="383">
        <f>VLOOKUP( $B132, T_Aop[], 5, 1)</f>
        <v>412</v>
      </c>
      <c r="D132" s="613" t="str">
        <f>VLOOKUP( $B132, T_Aop[], 6, 1)</f>
        <v xml:space="preserve">    4. Obaveze po emitovanim dužničkim instrumentima</v>
      </c>
      <c r="E132" s="614"/>
      <c r="F132" s="614"/>
      <c r="G132" s="614"/>
      <c r="H132" s="615"/>
      <c r="I132" s="123">
        <f>VLOOKUP( $B132, T_Aop[], 4, 1)</f>
        <v>141</v>
      </c>
      <c r="J132" s="159"/>
      <c r="K132" s="679"/>
      <c r="L132" s="680"/>
      <c r="M132" s="207">
        <v>759581</v>
      </c>
      <c r="N132" s="207">
        <v>2232195</v>
      </c>
      <c r="P132" s="45"/>
    </row>
    <row r="133" spans="2:16" x14ac:dyDescent="0.2">
      <c r="B133" s="15">
        <v>109</v>
      </c>
      <c r="C133" s="384" t="str">
        <f>VLOOKUP( $B133, T_Aop[], 5, 1)</f>
        <v>415, 416</v>
      </c>
      <c r="D133" s="610" t="str">
        <f>VLOOKUP( $B133, T_Aop[], 6, 1)</f>
        <v xml:space="preserve">    5. Dugoročne obaveze po lizingu</v>
      </c>
      <c r="E133" s="611"/>
      <c r="F133" s="611"/>
      <c r="G133" s="611"/>
      <c r="H133" s="612"/>
      <c r="I133" s="124">
        <f>VLOOKUP( $B133, T_Aop[], 4, 1)</f>
        <v>142</v>
      </c>
      <c r="J133" s="157"/>
      <c r="K133" s="681"/>
      <c r="L133" s="682"/>
      <c r="M133" s="205">
        <v>67196</v>
      </c>
      <c r="N133" s="205">
        <v>108806</v>
      </c>
      <c r="P133" s="45"/>
    </row>
    <row r="134" spans="2:16" x14ac:dyDescent="0.2">
      <c r="B134" s="15">
        <v>110</v>
      </c>
      <c r="C134" s="383" t="str">
        <f>VLOOKUP( $B134, T_Aop[], 5, 1)</f>
        <v>418</v>
      </c>
      <c r="D134" s="613" t="str">
        <f>VLOOKUP( $B134, T_Aop[], 6, 1)</f>
        <v xml:space="preserve">    6. Ostale dugoročne finansijske obaveze po amortizovanoj vrijednosti</v>
      </c>
      <c r="E134" s="614"/>
      <c r="F134" s="614"/>
      <c r="G134" s="614"/>
      <c r="H134" s="615"/>
      <c r="I134" s="123">
        <f>VLOOKUP( $B134, T_Aop[], 4, 1)</f>
        <v>143</v>
      </c>
      <c r="J134" s="159"/>
      <c r="K134" s="679"/>
      <c r="L134" s="680"/>
      <c r="M134" s="207"/>
      <c r="N134" s="208"/>
      <c r="P134" s="45"/>
    </row>
    <row r="135" spans="2:16" x14ac:dyDescent="0.2">
      <c r="B135" s="15">
        <v>111</v>
      </c>
      <c r="C135" s="384" t="str">
        <f>VLOOKUP( $B135, T_Aop[], 5, 1)</f>
        <v>dio 409, 410, 419</v>
      </c>
      <c r="D135" s="610" t="str">
        <f>VLOOKUP( $B135, T_Aop[], 6, 1)</f>
        <v xml:space="preserve">    7. Ostale dugoročne obaveze, uključujući razgraničenja</v>
      </c>
      <c r="E135" s="611"/>
      <c r="F135" s="611"/>
      <c r="G135" s="611"/>
      <c r="H135" s="612"/>
      <c r="I135" s="124">
        <f>VLOOKUP( $B135, T_Aop[], 4, 1)</f>
        <v>144</v>
      </c>
      <c r="J135" s="157"/>
      <c r="K135" s="681"/>
      <c r="L135" s="682"/>
      <c r="M135" s="206">
        <v>95278</v>
      </c>
      <c r="N135" s="206">
        <v>208124</v>
      </c>
      <c r="P135" s="45"/>
    </row>
    <row r="136" spans="2:16" x14ac:dyDescent="0.2">
      <c r="B136" s="15">
        <v>112</v>
      </c>
      <c r="C136" s="383">
        <f>VLOOKUP( $B136, T_Aop[], 5, 1)</f>
        <v>408</v>
      </c>
      <c r="D136" s="635" t="str">
        <f>VLOOKUP( $B136, T_Aop[], 6, 1)</f>
        <v xml:space="preserve">  III RAZGRANIČENI PRIHODI I PRIMLJENE DONACIJE</v>
      </c>
      <c r="E136" s="636"/>
      <c r="F136" s="636"/>
      <c r="G136" s="636"/>
      <c r="H136" s="637"/>
      <c r="I136" s="172">
        <f>VLOOKUP( $B136, T_Aop[], 4, 1)</f>
        <v>145</v>
      </c>
      <c r="J136" s="159">
        <v>29</v>
      </c>
      <c r="K136" s="679"/>
      <c r="L136" s="680"/>
      <c r="M136" s="211">
        <v>14063132</v>
      </c>
      <c r="N136" s="211">
        <v>13368401</v>
      </c>
      <c r="P136" s="45"/>
    </row>
    <row r="137" spans="2:16" x14ac:dyDescent="0.2">
      <c r="B137" s="15">
        <v>113</v>
      </c>
      <c r="C137" s="384">
        <f>VLOOKUP( $B137, T_Aop[], 5, 1)</f>
        <v>407</v>
      </c>
      <c r="D137" s="616" t="str">
        <f>VLOOKUP( $B137, T_Aop[], 6, 1)</f>
        <v xml:space="preserve">  V. ODLOŽENE PORESKE OBAVEZE </v>
      </c>
      <c r="E137" s="617"/>
      <c r="F137" s="617"/>
      <c r="G137" s="617"/>
      <c r="H137" s="618"/>
      <c r="I137" s="173">
        <f>VLOOKUP( $B137, T_Aop[], 4, 1)</f>
        <v>146</v>
      </c>
      <c r="J137" s="157"/>
      <c r="K137" s="681"/>
      <c r="L137" s="682"/>
      <c r="M137" s="210">
        <v>6738170</v>
      </c>
      <c r="N137" s="210">
        <v>6835465</v>
      </c>
      <c r="P137" s="45"/>
    </row>
    <row r="138" spans="2:16" ht="23.25" customHeight="1" x14ac:dyDescent="0.2">
      <c r="B138" s="15">
        <v>114</v>
      </c>
      <c r="C138" s="383" t="str">
        <f>VLOOKUP( $B138, T_Aop[], 5, 1)</f>
        <v>42 do 49</v>
      </c>
      <c r="D138" s="635" t="str">
        <f>VLOOKUP( $B138, T_Aop[], 6, 1)</f>
        <v xml:space="preserve">   G. KRATKOROČNE OBAVEZE I KRATKOROČNA REZERVISANJA(148 + 155 + 161 + 162 + 163 + 164 + 165 + 166 + 167 + 168)</v>
      </c>
      <c r="E138" s="636"/>
      <c r="F138" s="636"/>
      <c r="G138" s="636"/>
      <c r="H138" s="637"/>
      <c r="I138" s="172">
        <f>VLOOKUP( $B138, T_Aop[], 4, 1)</f>
        <v>147</v>
      </c>
      <c r="J138" s="159"/>
      <c r="K138" s="679"/>
      <c r="L138" s="680"/>
      <c r="M138" s="49">
        <f>SUBTOTAL( 9, M139:M159)</f>
        <v>11684806</v>
      </c>
      <c r="N138" s="50">
        <f>SUBTOTAL( 9, N139:N159)</f>
        <v>10048085</v>
      </c>
      <c r="P138" s="45"/>
    </row>
    <row r="139" spans="2:16" x14ac:dyDescent="0.2">
      <c r="B139" s="15">
        <v>115</v>
      </c>
      <c r="C139" s="384">
        <f>VLOOKUP( $B139, T_Aop[], 5, 1)</f>
        <v>42</v>
      </c>
      <c r="D139" s="610" t="str">
        <f>VLOOKUP( $B139, T_Aop[], 6, 1)</f>
        <v xml:space="preserve">    1. Kratkoročne finansijske obaveze (149 do 154)</v>
      </c>
      <c r="E139" s="611"/>
      <c r="F139" s="611"/>
      <c r="G139" s="611"/>
      <c r="H139" s="612"/>
      <c r="I139" s="124">
        <f>VLOOKUP( $B139, T_Aop[], 4, 1)</f>
        <v>148</v>
      </c>
      <c r="J139" s="157"/>
      <c r="K139" s="681"/>
      <c r="L139" s="682"/>
      <c r="M139" s="51">
        <f>SUBTOTAL( 9, M140:M145)</f>
        <v>3127869</v>
      </c>
      <c r="N139" s="52">
        <f>SUBTOTAL( 9, N140:N145)</f>
        <v>3065475</v>
      </c>
      <c r="P139" s="45"/>
    </row>
    <row r="140" spans="2:16" x14ac:dyDescent="0.2">
      <c r="B140" s="15">
        <v>116</v>
      </c>
      <c r="C140" s="383">
        <f>VLOOKUP( $B140, T_Aop[], 5, 1)</f>
        <v>420</v>
      </c>
      <c r="D140" s="613" t="str">
        <f>VLOOKUP( $B140, T_Aop[], 6, 1)</f>
        <v xml:space="preserve">      1.1. Kratkoročne finansijske obaveze prema povezanim pravnim licima</v>
      </c>
      <c r="E140" s="614"/>
      <c r="F140" s="614"/>
      <c r="G140" s="614"/>
      <c r="H140" s="615"/>
      <c r="I140" s="123">
        <f>VLOOKUP( $B140, T_Aop[], 4, 1)</f>
        <v>149</v>
      </c>
      <c r="J140" s="159"/>
      <c r="K140" s="679"/>
      <c r="L140" s="680"/>
      <c r="M140" s="207">
        <v>1058803</v>
      </c>
      <c r="N140" s="207">
        <v>1058803</v>
      </c>
      <c r="P140" s="45"/>
    </row>
    <row r="141" spans="2:16" x14ac:dyDescent="0.2">
      <c r="B141" s="15">
        <v>117</v>
      </c>
      <c r="C141" s="384" t="str">
        <f>VLOOKUP( $B141, T_Aop[], 5, 1)</f>
        <v>421 do 424</v>
      </c>
      <c r="D141" s="610" t="str">
        <f>VLOOKUP( $B141, T_Aop[], 6, 1)</f>
        <v xml:space="preserve">      1.2. Kratkoročni krediti i obaveze po emitovanim kratkoročnim hartijama od vrijednosti</v>
      </c>
      <c r="E141" s="611"/>
      <c r="F141" s="611"/>
      <c r="G141" s="611"/>
      <c r="H141" s="612"/>
      <c r="I141" s="124">
        <f>VLOOKUP( $B141, T_Aop[], 4, 1)</f>
        <v>150</v>
      </c>
      <c r="J141" s="157"/>
      <c r="K141" s="681"/>
      <c r="L141" s="682"/>
      <c r="M141" s="205">
        <f>1472614+558254</f>
        <v>2030868</v>
      </c>
      <c r="N141" s="205">
        <v>1970914</v>
      </c>
      <c r="P141" s="45"/>
    </row>
    <row r="142" spans="2:16" x14ac:dyDescent="0.2">
      <c r="B142" s="15">
        <v>118</v>
      </c>
      <c r="C142" s="383" t="str">
        <f>VLOOKUP( $B142, T_Aop[], 5, 1)</f>
        <v>425 i 426</v>
      </c>
      <c r="D142" s="613" t="str">
        <f>VLOOKUP( $B142, T_Aop[], 6, 1)</f>
        <v xml:space="preserve">      1.3. Kratkoročne obaveze po lizingu</v>
      </c>
      <c r="E142" s="614"/>
      <c r="F142" s="614"/>
      <c r="G142" s="614"/>
      <c r="H142" s="615"/>
      <c r="I142" s="123">
        <f>VLOOKUP( $B142, T_Aop[], 4, 1)</f>
        <v>151</v>
      </c>
      <c r="J142" s="159"/>
      <c r="K142" s="679"/>
      <c r="L142" s="680"/>
      <c r="M142" s="207">
        <v>38198</v>
      </c>
      <c r="N142" s="207">
        <v>35758</v>
      </c>
      <c r="P142" s="45"/>
    </row>
    <row r="143" spans="2:16" x14ac:dyDescent="0.2">
      <c r="B143" s="15">
        <v>119</v>
      </c>
      <c r="C143" s="384">
        <f>VLOOKUP( $B143, T_Aop[], 5, 1)</f>
        <v>427</v>
      </c>
      <c r="D143" s="610" t="str">
        <f>VLOOKUP( $B143, T_Aop[], 6, 1)</f>
        <v xml:space="preserve">      1.4. Kratkoročne obaveze po fer vrijednosti kroz bilans uspjeha</v>
      </c>
      <c r="E143" s="611"/>
      <c r="F143" s="611"/>
      <c r="G143" s="611"/>
      <c r="H143" s="612"/>
      <c r="I143" s="124">
        <f>VLOOKUP( $B143, T_Aop[], 4, 1)</f>
        <v>152</v>
      </c>
      <c r="J143" s="157"/>
      <c r="K143" s="681"/>
      <c r="L143" s="682"/>
      <c r="M143" s="205"/>
      <c r="N143" s="206"/>
      <c r="P143" s="45"/>
    </row>
    <row r="144" spans="2:16" x14ac:dyDescent="0.2">
      <c r="B144" s="15">
        <v>120</v>
      </c>
      <c r="C144" s="383">
        <f>VLOOKUP( $B144, T_Aop[], 5, 1)</f>
        <v>428</v>
      </c>
      <c r="D144" s="613" t="str">
        <f>VLOOKUP( $B144, T_Aop[], 6, 1)</f>
        <v xml:space="preserve">      1.5. Derivatne finansijske obaveze</v>
      </c>
      <c r="E144" s="614"/>
      <c r="F144" s="614"/>
      <c r="G144" s="614"/>
      <c r="H144" s="615"/>
      <c r="I144" s="123">
        <f>VLOOKUP( $B144, T_Aop[], 4, 1)</f>
        <v>153</v>
      </c>
      <c r="J144" s="159"/>
      <c r="K144" s="679"/>
      <c r="L144" s="680"/>
      <c r="M144" s="207"/>
      <c r="N144" s="208"/>
      <c r="P144" s="45"/>
    </row>
    <row r="145" spans="2:16" x14ac:dyDescent="0.2">
      <c r="B145" s="15">
        <v>121</v>
      </c>
      <c r="C145" s="384">
        <f>VLOOKUP( $B145, T_Aop[], 5, 1)</f>
        <v>429</v>
      </c>
      <c r="D145" s="610" t="str">
        <f>VLOOKUP( $B145, T_Aop[], 6, 1)</f>
        <v xml:space="preserve">      1.6. Ostale obaveze po amortizovanoj vrijednosti</v>
      </c>
      <c r="E145" s="611"/>
      <c r="F145" s="611"/>
      <c r="G145" s="611"/>
      <c r="H145" s="612"/>
      <c r="I145" s="124">
        <f>VLOOKUP( $B145, T_Aop[], 4, 1)</f>
        <v>154</v>
      </c>
      <c r="J145" s="157"/>
      <c r="K145" s="681"/>
      <c r="L145" s="682"/>
      <c r="M145" s="205"/>
      <c r="N145" s="206"/>
      <c r="P145" s="45"/>
    </row>
    <row r="146" spans="2:16" x14ac:dyDescent="0.2">
      <c r="B146" s="15">
        <v>122</v>
      </c>
      <c r="C146" s="383">
        <f>VLOOKUP( $B146, T_Aop[], 5, 1)</f>
        <v>43</v>
      </c>
      <c r="D146" s="613" t="str">
        <f>VLOOKUP( $B146, T_Aop[], 6, 1)</f>
        <v xml:space="preserve">    2. Obaveze iz poslovanja (156 do 160)</v>
      </c>
      <c r="E146" s="614"/>
      <c r="F146" s="614"/>
      <c r="G146" s="614"/>
      <c r="H146" s="615"/>
      <c r="I146" s="123">
        <f>VLOOKUP( $B146, T_Aop[], 4, 1)</f>
        <v>155</v>
      </c>
      <c r="J146" s="159">
        <v>31</v>
      </c>
      <c r="K146" s="679"/>
      <c r="L146" s="680"/>
      <c r="M146" s="472">
        <f>SUBTOTAL( 9, M147:M151)</f>
        <v>5501013</v>
      </c>
      <c r="N146" s="480">
        <f>SUBTOTAL( 9, N147:N151)</f>
        <v>4061698</v>
      </c>
      <c r="P146" s="45"/>
    </row>
    <row r="147" spans="2:16" x14ac:dyDescent="0.2">
      <c r="B147" s="15">
        <v>123</v>
      </c>
      <c r="C147" s="384" t="str">
        <f>VLOOKUP( $B147, T_Aop[], 5, 1)</f>
        <v>430 i 436</v>
      </c>
      <c r="D147" s="610" t="str">
        <f>VLOOKUP( $B147, T_Aop[], 6, 1)</f>
        <v xml:space="preserve">      2.1. Primljeni avansi, depoziti i kaucije</v>
      </c>
      <c r="E147" s="611"/>
      <c r="F147" s="611"/>
      <c r="G147" s="611"/>
      <c r="H147" s="612"/>
      <c r="I147" s="124">
        <f>VLOOKUP( $B147, T_Aop[], 4, 1)</f>
        <v>156</v>
      </c>
      <c r="J147" s="157"/>
      <c r="K147" s="681"/>
      <c r="L147" s="682"/>
      <c r="M147" s="205">
        <v>416142</v>
      </c>
      <c r="N147" s="205">
        <v>439015</v>
      </c>
      <c r="P147" s="45"/>
    </row>
    <row r="148" spans="2:16" x14ac:dyDescent="0.2">
      <c r="B148" s="15">
        <v>124</v>
      </c>
      <c r="C148" s="383">
        <f>VLOOKUP( $B148, T_Aop[], 5, 1)</f>
        <v>431</v>
      </c>
      <c r="D148" s="613" t="str">
        <f>VLOOKUP( $B148, T_Aop[], 6, 1)</f>
        <v xml:space="preserve">      2.2. Dobavljači – povezana pravna lica</v>
      </c>
      <c r="E148" s="614"/>
      <c r="F148" s="614"/>
      <c r="G148" s="614"/>
      <c r="H148" s="615"/>
      <c r="I148" s="123">
        <f>VLOOKUP( $B148, T_Aop[], 4, 1)</f>
        <v>157</v>
      </c>
      <c r="J148" s="159"/>
      <c r="K148" s="679"/>
      <c r="L148" s="680"/>
      <c r="M148" s="207">
        <v>4184279</v>
      </c>
      <c r="N148" s="207">
        <v>2770834</v>
      </c>
      <c r="P148" s="45"/>
    </row>
    <row r="149" spans="2:16" x14ac:dyDescent="0.2">
      <c r="B149" s="15">
        <v>125</v>
      </c>
      <c r="C149" s="384" t="str">
        <f>VLOOKUP( $B149, T_Aop[], 5, 1)</f>
        <v>432, 433, 434</v>
      </c>
      <c r="D149" s="610" t="str">
        <f>VLOOKUP( $B149, T_Aop[], 6, 1)</f>
        <v xml:space="preserve">      2.3. Dobavljači u zemlji</v>
      </c>
      <c r="E149" s="611"/>
      <c r="F149" s="611"/>
      <c r="G149" s="611"/>
      <c r="H149" s="612"/>
      <c r="I149" s="124">
        <f>VLOOKUP( $B149, T_Aop[], 4, 1)</f>
        <v>158</v>
      </c>
      <c r="J149" s="157"/>
      <c r="K149" s="681"/>
      <c r="L149" s="682"/>
      <c r="M149" s="205">
        <v>776721</v>
      </c>
      <c r="N149" s="205">
        <v>839786</v>
      </c>
      <c r="P149" s="45"/>
    </row>
    <row r="150" spans="2:16" x14ac:dyDescent="0.2">
      <c r="B150" s="15">
        <v>126</v>
      </c>
      <c r="C150" s="383">
        <f>VLOOKUP( $B150, T_Aop[], 5, 1)</f>
        <v>435</v>
      </c>
      <c r="D150" s="613" t="str">
        <f>VLOOKUP( $B150, T_Aop[], 6, 1)</f>
        <v xml:space="preserve">      2.4. Dobavljači iz inostranstva</v>
      </c>
      <c r="E150" s="614"/>
      <c r="F150" s="614"/>
      <c r="G150" s="614"/>
      <c r="H150" s="615"/>
      <c r="I150" s="123">
        <f>VLOOKUP( $B150, T_Aop[], 4, 1)</f>
        <v>159</v>
      </c>
      <c r="J150" s="159"/>
      <c r="K150" s="679"/>
      <c r="L150" s="680"/>
      <c r="M150" s="207">
        <v>123871</v>
      </c>
      <c r="N150" s="207">
        <v>12063</v>
      </c>
      <c r="P150" s="45"/>
    </row>
    <row r="151" spans="2:16" x14ac:dyDescent="0.2">
      <c r="B151" s="15">
        <v>127</v>
      </c>
      <c r="C151" s="384" t="str">
        <f>VLOOKUP( $B151, T_Aop[], 5, 1)</f>
        <v>437, 439</v>
      </c>
      <c r="D151" s="610" t="str">
        <f>VLOOKUP( $B151, T_Aop[], 6, 1)</f>
        <v xml:space="preserve">      2.5. Ostale obaveze iz poslovanja</v>
      </c>
      <c r="E151" s="611"/>
      <c r="F151" s="611"/>
      <c r="G151" s="611"/>
      <c r="H151" s="612"/>
      <c r="I151" s="124">
        <f>VLOOKUP( $B151, T_Aop[], 4, 1)</f>
        <v>160</v>
      </c>
      <c r="J151" s="157"/>
      <c r="K151" s="681"/>
      <c r="L151" s="682"/>
      <c r="M151" s="205"/>
      <c r="N151" s="206"/>
      <c r="P151" s="45"/>
    </row>
    <row r="152" spans="2:16" x14ac:dyDescent="0.2">
      <c r="B152" s="15">
        <v>128</v>
      </c>
      <c r="C152" s="383" t="str">
        <f>VLOOKUP( $B152, T_Aop[], 5, 1)</f>
        <v>440 do 449</v>
      </c>
      <c r="D152" s="613" t="str">
        <f>VLOOKUP( $B152, T_Aop[], 6, 1)</f>
        <v xml:space="preserve">    3. Obaveze iz specifičnih poslova</v>
      </c>
      <c r="E152" s="614"/>
      <c r="F152" s="614"/>
      <c r="G152" s="614"/>
      <c r="H152" s="615"/>
      <c r="I152" s="123">
        <f>VLOOKUP( $B152, T_Aop[], 4, 1)</f>
        <v>161</v>
      </c>
      <c r="J152" s="159">
        <v>32</v>
      </c>
      <c r="K152" s="679"/>
      <c r="L152" s="680"/>
      <c r="M152" s="207">
        <v>419687</v>
      </c>
      <c r="N152" s="207">
        <v>430566</v>
      </c>
      <c r="P152" s="45"/>
    </row>
    <row r="153" spans="2:16" x14ac:dyDescent="0.2">
      <c r="B153" s="15">
        <v>129</v>
      </c>
      <c r="C153" s="384" t="str">
        <f>VLOOKUP( $B153, T_Aop[], 5, 1)</f>
        <v>450 do 458</v>
      </c>
      <c r="D153" s="610" t="str">
        <f>VLOOKUP( $B153, T_Aop[], 6, 1)</f>
        <v xml:space="preserve">    4. Obaveze za plate i naknade plata</v>
      </c>
      <c r="E153" s="611"/>
      <c r="F153" s="611"/>
      <c r="G153" s="611"/>
      <c r="H153" s="612"/>
      <c r="I153" s="124">
        <f>VLOOKUP( $B153, T_Aop[], 4, 1)</f>
        <v>162</v>
      </c>
      <c r="J153" s="157">
        <v>32</v>
      </c>
      <c r="K153" s="681"/>
      <c r="L153" s="682"/>
      <c r="M153" s="205">
        <v>1074560</v>
      </c>
      <c r="N153" s="205">
        <v>1096186</v>
      </c>
      <c r="P153" s="45"/>
    </row>
    <row r="154" spans="2:16" x14ac:dyDescent="0.2">
      <c r="B154" s="15">
        <v>130</v>
      </c>
      <c r="C154" s="383" t="str">
        <f>VLOOKUP( $B154, T_Aop[], 5, 1)</f>
        <v>460 do 468</v>
      </c>
      <c r="D154" s="613" t="str">
        <f>VLOOKUP( $B154, T_Aop[], 6, 1)</f>
        <v xml:space="preserve">    5. Ostale obaveze</v>
      </c>
      <c r="E154" s="614"/>
      <c r="F154" s="614"/>
      <c r="G154" s="614"/>
      <c r="H154" s="615"/>
      <c r="I154" s="123">
        <f>VLOOKUP( $B154, T_Aop[], 4, 1)</f>
        <v>163</v>
      </c>
      <c r="J154" s="159">
        <v>32</v>
      </c>
      <c r="K154" s="679"/>
      <c r="L154" s="680"/>
      <c r="M154" s="207">
        <v>229161</v>
      </c>
      <c r="N154" s="207">
        <v>27208</v>
      </c>
      <c r="P154" s="45"/>
    </row>
    <row r="155" spans="2:16" x14ac:dyDescent="0.2">
      <c r="B155" s="15">
        <v>131</v>
      </c>
      <c r="C155" s="384" t="str">
        <f>VLOOKUP( $B155, T_Aop[], 5, 1)</f>
        <v>470 do 479</v>
      </c>
      <c r="D155" s="610" t="str">
        <f>VLOOKUP( $B155, T_Aop[], 6, 1)</f>
        <v xml:space="preserve">    6. Porez na dodatu vrijednost</v>
      </c>
      <c r="E155" s="611"/>
      <c r="F155" s="611"/>
      <c r="G155" s="611"/>
      <c r="H155" s="612"/>
      <c r="I155" s="124">
        <f>VLOOKUP( $B155, T_Aop[], 4, 1)</f>
        <v>164</v>
      </c>
      <c r="J155" s="157">
        <v>32</v>
      </c>
      <c r="K155" s="681"/>
      <c r="L155" s="682"/>
      <c r="M155" s="205">
        <v>304709</v>
      </c>
      <c r="N155" s="205">
        <v>222500</v>
      </c>
      <c r="P155" s="45"/>
    </row>
    <row r="156" spans="2:16" ht="12.75" customHeight="1" x14ac:dyDescent="0.2">
      <c r="B156" s="15">
        <v>132</v>
      </c>
      <c r="C156" s="383" t="str">
        <f>VLOOKUP( $B156, T_Aop[], 5, 1)</f>
        <v>48, osim 481</v>
      </c>
      <c r="D156" s="613" t="str">
        <f>VLOOKUP( $B156, T_Aop[], 6, 1)</f>
        <v xml:space="preserve">    7. Obaveze za ostale poreze, doprinose i druge dažbine</v>
      </c>
      <c r="E156" s="614"/>
      <c r="F156" s="614"/>
      <c r="G156" s="614"/>
      <c r="H156" s="615"/>
      <c r="I156" s="123">
        <f>VLOOKUP( $B156, T_Aop[], 4, 1)</f>
        <v>165</v>
      </c>
      <c r="J156" s="159">
        <v>32</v>
      </c>
      <c r="K156" s="679"/>
      <c r="L156" s="680"/>
      <c r="M156" s="207">
        <v>51010</v>
      </c>
      <c r="N156" s="207">
        <v>53995</v>
      </c>
      <c r="P156" s="45"/>
    </row>
    <row r="157" spans="2:16" ht="10.5" customHeight="1" x14ac:dyDescent="0.2">
      <c r="B157" s="15">
        <v>133</v>
      </c>
      <c r="C157" s="384">
        <f>VLOOKUP( $B157, T_Aop[], 5, 1)</f>
        <v>481</v>
      </c>
      <c r="D157" s="610" t="str">
        <f>VLOOKUP( $B157, T_Aop[], 6, 1)</f>
        <v xml:space="preserve">    8. Obaveze za porez na dobit</v>
      </c>
      <c r="E157" s="611"/>
      <c r="F157" s="611"/>
      <c r="G157" s="611"/>
      <c r="H157" s="612"/>
      <c r="I157" s="124">
        <f>VLOOKUP( $B157, T_Aop[], 4, 1)</f>
        <v>166</v>
      </c>
      <c r="J157" s="157">
        <v>32</v>
      </c>
      <c r="K157" s="681"/>
      <c r="L157" s="682"/>
      <c r="M157" s="205">
        <v>203325</v>
      </c>
      <c r="N157" s="205">
        <v>45155</v>
      </c>
      <c r="P157" s="45"/>
    </row>
    <row r="158" spans="2:16" ht="12.75" customHeight="1" x14ac:dyDescent="0.2">
      <c r="B158" s="15">
        <v>134</v>
      </c>
      <c r="C158" s="383" t="str">
        <f>VLOOKUP( $B158, T_Aop[], 5, 1)</f>
        <v>49, osim 496</v>
      </c>
      <c r="D158" s="613" t="str">
        <f>VLOOKUP( $B158, T_Aop[], 6, 1)</f>
        <v xml:space="preserve">    9. Kratkoročna razgraničenja</v>
      </c>
      <c r="E158" s="614"/>
      <c r="F158" s="614"/>
      <c r="G158" s="614"/>
      <c r="H158" s="615"/>
      <c r="I158" s="123">
        <f>VLOOKUP( $B158, T_Aop[], 4, 1)</f>
        <v>167</v>
      </c>
      <c r="J158" s="159">
        <v>32</v>
      </c>
      <c r="K158" s="679"/>
      <c r="L158" s="680"/>
      <c r="M158" s="207">
        <v>773472</v>
      </c>
      <c r="N158" s="207">
        <v>1045302</v>
      </c>
      <c r="P158" s="45"/>
    </row>
    <row r="159" spans="2:16" ht="12.75" customHeight="1" x14ac:dyDescent="0.2">
      <c r="B159" s="15">
        <v>135</v>
      </c>
      <c r="C159" s="384">
        <f>VLOOKUP( $B159, T_Aop[], 5, 1)</f>
        <v>496</v>
      </c>
      <c r="D159" s="610" t="str">
        <f>VLOOKUP( $B159, T_Aop[], 6, 1)</f>
        <v xml:space="preserve">    10. Kratkoročna rezervisanja</v>
      </c>
      <c r="E159" s="611"/>
      <c r="F159" s="611"/>
      <c r="G159" s="611"/>
      <c r="H159" s="612"/>
      <c r="I159" s="124">
        <f>VLOOKUP( $B159, T_Aop[], 4, 1)</f>
        <v>168</v>
      </c>
      <c r="J159" s="157"/>
      <c r="K159" s="681"/>
      <c r="L159" s="682"/>
      <c r="M159" s="205"/>
      <c r="N159" s="206"/>
    </row>
    <row r="160" spans="2:16" ht="6" customHeight="1" x14ac:dyDescent="0.2">
      <c r="B160" s="15">
        <v>136</v>
      </c>
      <c r="C160" s="383"/>
      <c r="D160" s="613" t="str">
        <f>VLOOKUP( $B160, T_Aop[], 6, 1)</f>
        <v/>
      </c>
      <c r="E160" s="614"/>
      <c r="F160" s="614"/>
      <c r="G160" s="614"/>
      <c r="H160" s="615"/>
      <c r="I160" s="172">
        <f>VLOOKUP( $B160, T_Aop[], 4, 1)</f>
        <v>0</v>
      </c>
      <c r="J160" s="159"/>
      <c r="K160" s="679"/>
      <c r="L160" s="680"/>
      <c r="M160" s="207"/>
      <c r="N160" s="208"/>
    </row>
    <row r="161" spans="2:20" ht="12.75" customHeight="1" x14ac:dyDescent="0.2">
      <c r="B161" s="15">
        <v>137</v>
      </c>
      <c r="C161" s="384">
        <f>VLOOKUP( $B161, T_Aop[], 5, 1)</f>
        <v>0</v>
      </c>
      <c r="D161" s="616" t="str">
        <f>VLOOKUP( $B161, T_Aop[], 6, 1)</f>
        <v xml:space="preserve">  D. BILANSNA PASIVA (101 + 132 + 146 + 147)</v>
      </c>
      <c r="E161" s="617"/>
      <c r="F161" s="617"/>
      <c r="G161" s="617"/>
      <c r="H161" s="618"/>
      <c r="I161" s="173">
        <f>VLOOKUP( $B161, T_Aop[], 4, 1)</f>
        <v>169</v>
      </c>
      <c r="J161" s="157"/>
      <c r="K161" s="681"/>
      <c r="L161" s="682"/>
      <c r="M161" s="414">
        <f>SUBTOTAL( 9, M93:M100, M106:M109,M104, M110:M112,M113,M115:M118,M122:M159) - SUBTOTAL( 9, M114, M101:M103, M105,  M119:M121)</f>
        <v>165478815</v>
      </c>
      <c r="N161" s="425">
        <f>SUBTOTAL( 9, N93:N100, N106:N109,N104, N110:N112,N113,N115:N118,N122:N159) - SUBTOTAL( 9, N114, N101:N103, N105,  N119:N121)</f>
        <v>165117190</v>
      </c>
    </row>
    <row r="162" spans="2:20" ht="9.75" customHeight="1" x14ac:dyDescent="0.2">
      <c r="B162" s="15">
        <v>138</v>
      </c>
      <c r="C162" s="389" t="str">
        <f>VLOOKUP( $B162, T_Aop[], 5, 1)</f>
        <v>890 do 898</v>
      </c>
      <c r="D162" s="619" t="str">
        <f>VLOOKUP( $B162, T_Aop[], 6, 1)</f>
        <v xml:space="preserve">  Đ. VANBILANSNA PASIVA</v>
      </c>
      <c r="E162" s="620"/>
      <c r="F162" s="620"/>
      <c r="G162" s="620"/>
      <c r="H162" s="621"/>
      <c r="I162" s="175">
        <f>VLOOKUP( $B162, T_Aop[], 4, 1)</f>
        <v>170</v>
      </c>
      <c r="J162" s="546">
        <v>37</v>
      </c>
      <c r="K162" s="683"/>
      <c r="L162" s="684"/>
      <c r="M162" s="466">
        <v>28759409</v>
      </c>
      <c r="N162" s="466">
        <v>28852337</v>
      </c>
    </row>
    <row r="163" spans="2:20" ht="9.75" customHeight="1" x14ac:dyDescent="0.2"/>
    <row r="164" spans="2:20" ht="3" hidden="1" customHeight="1" x14ac:dyDescent="0.2"/>
    <row r="165" spans="2:20" ht="0.75" hidden="1" customHeight="1" x14ac:dyDescent="0.2">
      <c r="C165" s="184"/>
      <c r="D165" s="556"/>
      <c r="E165"/>
      <c r="F165" s="57"/>
    </row>
    <row r="166" spans="2:20" ht="25.5" customHeight="1" x14ac:dyDescent="0.2">
      <c r="C166" s="184" t="str">
        <f>Podnozje_U</f>
        <v>U:</v>
      </c>
      <c r="D166" s="447" t="str">
        <f>Podatak_U</f>
        <v>Palama</v>
      </c>
      <c r="E166"/>
      <c r="F166" s="57"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x14ac:dyDescent="0.2">
      <c r="D167" s="129"/>
      <c r="E167" t="s">
        <v>888</v>
      </c>
      <c r="F167" s="608" t="str">
        <f>Podatak_Lice_sa_licencom</f>
        <v>Slobodan Butulija</v>
      </c>
      <c r="G167" s="608"/>
      <c r="H167" s="8" t="str">
        <f>Podatak_Broj_Licence</f>
        <v>SR-0005/26</v>
      </c>
      <c r="I167" s="554"/>
      <c r="L167" s="545" t="str">
        <f>Podatak_Direktor</f>
        <v>Aco Stanišić ma.ecc.</v>
      </c>
      <c r="M167" s="545"/>
      <c r="N167" s="545"/>
      <c r="O167" s="14"/>
      <c r="P167" s="14"/>
      <c r="R167" s="14"/>
      <c r="S167" s="14"/>
      <c r="T167" s="29"/>
    </row>
    <row r="168" spans="2:20" ht="24" customHeight="1" x14ac:dyDescent="0.2">
      <c r="C168" s="184" t="str">
        <f>Podnozje_Dana</f>
        <v>Dana:</v>
      </c>
      <c r="D168" s="446" t="str">
        <f>Podatak_Dana</f>
        <v>27.02.2026.</v>
      </c>
      <c r="E168"/>
      <c r="F168" s="445"/>
      <c r="G168"/>
      <c r="H168" s="8"/>
      <c r="I168" s="8"/>
      <c r="J168" s="9"/>
      <c r="L168" s="558"/>
      <c r="M168" s="558"/>
      <c r="N168" s="557"/>
      <c r="O168" s="14"/>
      <c r="P168" s="14"/>
      <c r="Q168" s="14"/>
      <c r="R168" s="14"/>
      <c r="S168" s="14"/>
      <c r="T168" s="29"/>
    </row>
    <row r="169" spans="2:20" ht="18.75" customHeight="1" x14ac:dyDescent="0.2"/>
    <row r="170" spans="2:20" ht="14.25" customHeight="1" x14ac:dyDescent="0.2">
      <c r="C170" s="184"/>
      <c r="D170" s="556"/>
      <c r="E170"/>
      <c r="F170" s="57"/>
      <c r="G170" s="8"/>
      <c r="H170" s="8" t="e">
        <f ca="1">_xlfn.TEXTJOIN(" ",FALSE,Osnovni_podaci!D66,Osnovni_podaci!D68)</f>
        <v>#NAME?</v>
      </c>
      <c r="I170" s="37"/>
      <c r="J170" s="607"/>
      <c r="K170" s="607"/>
      <c r="L170" s="607"/>
    </row>
    <row r="171" spans="2:20" hidden="1" x14ac:dyDescent="0.2">
      <c r="D171" s="129"/>
      <c r="E171"/>
      <c r="F171" s="608"/>
      <c r="G171" s="608"/>
      <c r="H171" s="8"/>
      <c r="I171" s="554"/>
      <c r="J171" s="609" t="s">
        <v>491</v>
      </c>
      <c r="K171" s="609"/>
      <c r="L171" s="609"/>
    </row>
    <row r="172" spans="2:20" hidden="1" x14ac:dyDescent="0.2">
      <c r="C172" s="184"/>
      <c r="D172" s="446"/>
      <c r="E172"/>
      <c r="F172" s="445"/>
      <c r="G172"/>
      <c r="H172" s="8"/>
      <c r="I172" s="8"/>
      <c r="J172" s="9"/>
      <c r="K172" s="281"/>
      <c r="L172" s="281"/>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sheet="1" objects="1" scenarios="1"/>
  <mergeCells count="241">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 ref="K137:L137"/>
    <mergeCell ref="K138:L138"/>
    <mergeCell ref="K139:L139"/>
    <mergeCell ref="K140:L140"/>
    <mergeCell ref="K141:L141"/>
    <mergeCell ref="K142:L142"/>
    <mergeCell ref="K143:L143"/>
    <mergeCell ref="K144:L144"/>
    <mergeCell ref="K145:L145"/>
    <mergeCell ref="K128:L128"/>
    <mergeCell ref="K129:L129"/>
    <mergeCell ref="K130:L130"/>
    <mergeCell ref="K131:L131"/>
    <mergeCell ref="K132:L132"/>
    <mergeCell ref="K133:L133"/>
    <mergeCell ref="K134:L134"/>
    <mergeCell ref="K135:L135"/>
    <mergeCell ref="K136:L136"/>
    <mergeCell ref="K119:L119"/>
    <mergeCell ref="K120:L120"/>
    <mergeCell ref="K121:L121"/>
    <mergeCell ref="K122:L122"/>
    <mergeCell ref="K123:L123"/>
    <mergeCell ref="K124:L124"/>
    <mergeCell ref="K125:L125"/>
    <mergeCell ref="K126:L126"/>
    <mergeCell ref="K127:L127"/>
    <mergeCell ref="K110:L110"/>
    <mergeCell ref="K111:L111"/>
    <mergeCell ref="K112:L112"/>
    <mergeCell ref="K113:L113"/>
    <mergeCell ref="K114:L114"/>
    <mergeCell ref="K115:L115"/>
    <mergeCell ref="K116:L116"/>
    <mergeCell ref="K117:L117"/>
    <mergeCell ref="K118:L118"/>
    <mergeCell ref="K101:L101"/>
    <mergeCell ref="K102:L102"/>
    <mergeCell ref="K103:L103"/>
    <mergeCell ref="K104:L104"/>
    <mergeCell ref="K105:L105"/>
    <mergeCell ref="K106:L106"/>
    <mergeCell ref="K107:L107"/>
    <mergeCell ref="K108:L108"/>
    <mergeCell ref="K109:L109"/>
    <mergeCell ref="K92:L92"/>
    <mergeCell ref="K93:L93"/>
    <mergeCell ref="K94:L94"/>
    <mergeCell ref="K95:L95"/>
    <mergeCell ref="K96:L96"/>
    <mergeCell ref="K97:L97"/>
    <mergeCell ref="K98:L98"/>
    <mergeCell ref="K99:L99"/>
    <mergeCell ref="K100:L100"/>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42:H42"/>
    <mergeCell ref="D43:H43"/>
    <mergeCell ref="D44:H44"/>
    <mergeCell ref="D45:H45"/>
    <mergeCell ref="D46:H46"/>
    <mergeCell ref="D35:H35"/>
    <mergeCell ref="D36:H36"/>
    <mergeCell ref="D37:H37"/>
    <mergeCell ref="D38:H38"/>
    <mergeCell ref="D39:H39"/>
    <mergeCell ref="D40:H40"/>
    <mergeCell ref="D41:H41"/>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s>
  <phoneticPr fontId="0" type="noConversion"/>
  <dataValidations xWindow="1226" yWindow="846" count="4">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N107:N109 M129:N137 M147:M160 K38:L41 K43:L44 N43:N44 K46:L49 N46:N49 M162:N162 M116:N118 M120:N122 K87:L87 M95:N100 K82:L85 M113:N114 K58:L63 K26:L27 N140:N160 M140:M145 N58:N63 N74:N80 K66:L71 K51:L55 N66:N71 N51:N55 M106:M109 M105:N105 N87">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104 N21:N22 M115:N115 M119:N119 K64:L65 M110:N110 M128:N128 K28:L28 M146 M21:M41 K37:L37 K45:L45 N45 K50:L50 N50 M138:N139 N56:N57 N64:N65 M161:N161 M101:N101 M106:N106 M123:N124 M43:M87 N72:N73 K56:L57 K81:L81 N81 K72:L73 N86">
      <formula1>0</formula1>
    </dataValidation>
    <dataValidation allowBlank="1" showInputMessage="1" showErrorMessage="1" prompt="Podaci se popunjavaju u kolone 5 i 6, desno." sqref="K92:L162"/>
    <dataValidation operator="greaterThanOrEqual" allowBlank="1" showInputMessage="1" showErrorMessage="1" errorTitle="Greška" error="Unose se vrijednosti u konvertibilnim markama, bez decimalnih mjesta. Nije dozvoljen unos negativnih brojeva." sqref="J21:J87 J92:J162 M111:N112"/>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a">
    <tabColor rgb="FFB2B2B2"/>
  </sheetPr>
  <dimension ref="B1:XFC161"/>
  <sheetViews>
    <sheetView showGridLines="0" showRowColHeaders="0" tabSelected="1" showWhiteSpace="0" zoomScaleSheetLayoutView="100" workbookViewId="0">
      <pane xSplit="16383" ySplit="4" topLeftCell="XFD122" activePane="bottomRight" state="frozen"/>
      <selection pane="topRight" activeCell="XFD1" sqref="XFD1"/>
      <selection pane="bottomLeft" activeCell="A5" sqref="A5"/>
      <selection pane="bottomRight" activeCell="K142" sqref="K142"/>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ht="12.75" customHeight="1" x14ac:dyDescent="0.2">
      <c r="C1" s="18"/>
      <c r="D1" s="18"/>
      <c r="E1" s="18"/>
      <c r="F1" s="18"/>
      <c r="G1" s="18"/>
      <c r="H1" s="18"/>
      <c r="I1" s="18"/>
      <c r="J1" s="18"/>
      <c r="K1" s="18"/>
    </row>
    <row r="2" spans="3:12" ht="12.75" customHeight="1" x14ac:dyDescent="0.2">
      <c r="C2" s="18"/>
      <c r="D2" s="18"/>
      <c r="E2" s="18"/>
      <c r="F2" s="18"/>
      <c r="G2" s="18"/>
      <c r="H2" s="18"/>
      <c r="I2" s="18"/>
      <c r="J2" s="18"/>
      <c r="K2" s="18"/>
    </row>
    <row r="3" spans="3:12" ht="12.75" customHeight="1" x14ac:dyDescent="0.2">
      <c r="C3" s="18"/>
      <c r="D3" s="18"/>
      <c r="E3" s="18"/>
      <c r="F3" s="18"/>
      <c r="G3" s="18"/>
      <c r="H3" s="18"/>
      <c r="I3" s="18"/>
      <c r="J3" s="18"/>
      <c r="K3" s="18"/>
    </row>
    <row r="4" spans="3:12" ht="12.75" customHeight="1" x14ac:dyDescent="0.2">
      <c r="C4" s="18"/>
      <c r="D4" s="18"/>
      <c r="E4" s="18"/>
      <c r="F4" s="18"/>
      <c r="G4" s="18"/>
      <c r="H4" s="18"/>
      <c r="I4" s="18"/>
      <c r="J4" s="18"/>
      <c r="K4" s="18"/>
    </row>
    <row r="5" spans="3:12" ht="14.25" customHeight="1" x14ac:dyDescent="0.2">
      <c r="C5" s="653" t="str">
        <f>Zaglavlje_Naziv_preduzeca</f>
        <v xml:space="preserve">Naziv privrednog društva, zadruge, drugog pravnog lica ili preduzetnika: </v>
      </c>
      <c r="D5" s="653"/>
      <c r="E5" s="653"/>
      <c r="K5" s="9"/>
      <c r="L5" s="432" t="str">
        <f>Podatak_MB</f>
        <v>01814788</v>
      </c>
    </row>
    <row r="6" spans="3:12" ht="14.25" customHeight="1" x14ac:dyDescent="0.2">
      <c r="C6" s="653"/>
      <c r="D6" s="653"/>
      <c r="E6" s="653"/>
      <c r="F6" s="9"/>
      <c r="K6" s="9"/>
      <c r="L6" s="449" t="str">
        <f>Zaglavlje_MB</f>
        <v>Matični broj</v>
      </c>
    </row>
    <row r="7" spans="3:12" ht="14.25" customHeight="1" x14ac:dyDescent="0.2">
      <c r="C7" s="665" t="str">
        <f>Podatak_Naziv_preduzeca</f>
        <v>ODS ELEKTRODISTRIBUCIJA AD PALE</v>
      </c>
      <c r="D7" s="665"/>
      <c r="E7" s="665"/>
      <c r="F7" s="17"/>
      <c r="K7" s="9"/>
      <c r="L7" s="432" t="str">
        <f>Podatak_Sifra_djelatnosti</f>
        <v>35.13</v>
      </c>
    </row>
    <row r="8" spans="3:12" ht="12.75" customHeight="1" x14ac:dyDescent="0.2">
      <c r="C8" s="127" t="str">
        <f>Zaglavlje_Sjediste</f>
        <v>Sjedište:</v>
      </c>
      <c r="D8" s="677" t="str">
        <f>Podatak_Sjediste</f>
        <v>PALE</v>
      </c>
      <c r="E8" s="677"/>
      <c r="F8" s="17"/>
      <c r="K8" s="9"/>
      <c r="L8" s="449" t="str">
        <f>Zaglavlje_Sifra_djelatnosti</f>
        <v>Šifra djelatnosti</v>
      </c>
    </row>
    <row r="9" spans="3:12" ht="12.75" customHeight="1" x14ac:dyDescent="0.2">
      <c r="C9" s="664" t="str">
        <f>Zaglavlje_Ziro_racun</f>
        <v>Račun kod ovlašćene organizacije za platni promet:</v>
      </c>
      <c r="D9" s="664"/>
      <c r="E9" s="664"/>
      <c r="F9" s="260"/>
      <c r="K9" s="9"/>
      <c r="L9" s="432" t="str">
        <f>Podatak_JIB</f>
        <v>4400570050004</v>
      </c>
    </row>
    <row r="10" spans="3:12" ht="12.75" customHeight="1" x14ac:dyDescent="0.2">
      <c r="C10" s="666" t="str">
        <f>Podatak_Ziro_racun_1</f>
        <v>562-012-00002669-48</v>
      </c>
      <c r="D10" s="666"/>
      <c r="E10" s="666"/>
      <c r="F10" s="14"/>
      <c r="G10" s="13"/>
      <c r="H10" s="13"/>
      <c r="I10" s="13"/>
      <c r="J10" s="13"/>
      <c r="K10" s="714" t="str">
        <f>Zaglavlje_JIB</f>
        <v>JIB</v>
      </c>
      <c r="L10" s="714"/>
    </row>
    <row r="11" spans="3:12" ht="12.75" customHeight="1" x14ac:dyDescent="0.2">
      <c r="C11" s="666" t="str">
        <f>Podatak_Ziro_racun_2</f>
        <v>555-002-00004363-23</v>
      </c>
      <c r="D11" s="666"/>
      <c r="E11" s="666"/>
      <c r="F11" s="14"/>
      <c r="J11" s="261"/>
      <c r="K11" s="261"/>
    </row>
    <row r="12" spans="3:12" ht="12.75" customHeight="1" x14ac:dyDescent="0.2">
      <c r="C12" s="710" t="str">
        <f>Podatak_Ziro_racun_3</f>
        <v>551-031-00007369-23</v>
      </c>
      <c r="D12" s="710"/>
      <c r="E12" s="710"/>
      <c r="F12" s="14"/>
      <c r="J12" s="261"/>
      <c r="K12" s="261"/>
    </row>
    <row r="13" spans="3:12" ht="12.75" customHeight="1" x14ac:dyDescent="0.2">
      <c r="C13" s="710" t="str">
        <f>Podatak_Ziro_racun_4</f>
        <v>571-050-00000510-66</v>
      </c>
      <c r="D13" s="710"/>
      <c r="E13" s="710"/>
      <c r="F13" s="18"/>
      <c r="G13" s="18"/>
      <c r="H13" s="18"/>
      <c r="I13" s="18"/>
      <c r="J13"/>
      <c r="K13"/>
    </row>
    <row r="14" spans="3:12" ht="12.75" customHeight="1" x14ac:dyDescent="0.2">
      <c r="C14" s="678" t="str">
        <f>IF( Id_Konsolidovani, Nazivi_bilansa_Konsolidovani_naziv &amp; LOWER( Nazivi_bilansa_BUa), Nazivi_bilansa_BUa)</f>
        <v>Bilans uspjeha</v>
      </c>
      <c r="D14" s="678"/>
      <c r="E14" s="678"/>
      <c r="F14" s="678"/>
      <c r="G14" s="678"/>
      <c r="H14" s="678"/>
      <c r="I14" s="678"/>
      <c r="J14" s="678"/>
      <c r="K14" s="678"/>
      <c r="L14" s="678"/>
    </row>
    <row r="15" spans="3:12" ht="12.75" customHeight="1" x14ac:dyDescent="0.2">
      <c r="C15" s="713" t="str">
        <f>Nazivi_bilansa_BUa1</f>
        <v>(Izvještaj o ukupnom rezultatu u periodu)</v>
      </c>
      <c r="D15" s="713"/>
      <c r="E15" s="713"/>
      <c r="F15" s="713"/>
      <c r="G15" s="713"/>
      <c r="H15" s="713"/>
      <c r="I15" s="713"/>
      <c r="J15" s="713"/>
      <c r="K15" s="713"/>
      <c r="L15" s="713"/>
    </row>
    <row r="16" spans="3:12" ht="12.75" customHeight="1" x14ac:dyDescent="0.2">
      <c r="C16" s="713" t="str">
        <f>Datumi_Datum_BU</f>
        <v>za period od 01.01. do 31.12.2025. godine</v>
      </c>
      <c r="D16" s="713"/>
      <c r="E16" s="713"/>
      <c r="F16" s="713"/>
      <c r="G16" s="713"/>
      <c r="H16" s="713"/>
      <c r="I16" s="713"/>
      <c r="J16" s="713"/>
      <c r="K16" s="713"/>
      <c r="L16" s="713"/>
    </row>
    <row r="17" spans="2:16" ht="12.75" customHeight="1" x14ac:dyDescent="0.2">
      <c r="C17" s="41"/>
      <c r="D17" s="41"/>
      <c r="E17" s="41"/>
      <c r="F17" s="41"/>
      <c r="G17" s="41"/>
      <c r="H17" s="41"/>
      <c r="I17" s="41"/>
      <c r="J17" s="41"/>
      <c r="L17" s="479" t="str">
        <f>Tabele_zaglavlje_Valuta</f>
        <v>- u konvertibilnim markama -</v>
      </c>
    </row>
    <row r="18" spans="2:16" ht="12.75" customHeight="1" x14ac:dyDescent="0.2">
      <c r="C18" s="715" t="str">
        <f>Tabele_zaglavlje_Grupa_racuna</f>
        <v>Grupa računa, račun</v>
      </c>
      <c r="D18" s="717" t="str">
        <f>Tabele_zaglavlje_Pozicija</f>
        <v>POZICIJA</v>
      </c>
      <c r="E18" s="718"/>
      <c r="F18" s="718"/>
      <c r="G18" s="718"/>
      <c r="H18" s="719"/>
      <c r="I18" s="688" t="str">
        <f>Tabele_zaglavlje_Oznaka_aop</f>
        <v>Oznaka za AOP</v>
      </c>
      <c r="J18" s="688" t="str">
        <f>Tabele_zaglavlje_Napomena_aop</f>
        <v>Napomena</v>
      </c>
      <c r="K18" s="690" t="str">
        <f>Tabele_zaglavlje_Iznos</f>
        <v>Iznos</v>
      </c>
      <c r="L18" s="691"/>
      <c r="N18" s="42"/>
    </row>
    <row r="19" spans="2:16" ht="20.25" customHeight="1" x14ac:dyDescent="0.2">
      <c r="C19" s="716"/>
      <c r="D19" s="720"/>
      <c r="E19" s="721"/>
      <c r="F19" s="721"/>
      <c r="G19" s="721"/>
      <c r="H19" s="722"/>
      <c r="I19" s="689"/>
      <c r="J19" s="689"/>
      <c r="K19" s="245" t="str">
        <f>Tabele_zaglavlje_Tekuca_godina</f>
        <v>Tekuća godina</v>
      </c>
      <c r="L19" s="44" t="str">
        <f>Tabele_zaglavlje_Prethodna_godina</f>
        <v>Prethodna godina</v>
      </c>
      <c r="N19" s="42"/>
      <c r="P19" s="136" t="s">
        <v>509</v>
      </c>
    </row>
    <row r="20" spans="2:16" ht="12.75" customHeight="1" x14ac:dyDescent="0.2">
      <c r="B20" s="45" t="s">
        <v>123</v>
      </c>
      <c r="C20" s="477">
        <v>1</v>
      </c>
      <c r="D20" s="723">
        <v>2</v>
      </c>
      <c r="E20" s="724"/>
      <c r="F20" s="724"/>
      <c r="G20" s="724"/>
      <c r="H20" s="725"/>
      <c r="I20" s="435">
        <v>3</v>
      </c>
      <c r="J20" s="435">
        <v>4</v>
      </c>
      <c r="K20" s="435">
        <v>5</v>
      </c>
      <c r="L20" s="436">
        <v>6</v>
      </c>
    </row>
    <row r="21" spans="2:16" ht="25.5" customHeight="1" x14ac:dyDescent="0.2">
      <c r="B21" s="15">
        <v>139</v>
      </c>
      <c r="C21" s="483">
        <f>VLOOKUP( $B21, T_Aop[], 5, 1)</f>
        <v>0</v>
      </c>
      <c r="D21" s="726" t="str">
        <f>VLOOKUP( $B21, T_Aop[], 6, 1)</f>
        <v xml:space="preserve">  A. POSLOVNI PRIHODI I RASHODI
I POSLOVNI PRIHODI 
(202 + 206 + 210 + 214 – 215 + 216 – 217 + 218)</v>
      </c>
      <c r="E21" s="727"/>
      <c r="F21" s="727"/>
      <c r="G21" s="727"/>
      <c r="H21" s="728"/>
      <c r="I21" s="537">
        <f>VLOOKUP( $B21, T_Aop[], 4, 1)</f>
        <v>201</v>
      </c>
      <c r="J21" s="532"/>
      <c r="K21" s="433">
        <f>SUBTOTAL(9,K22:K33,K34,K36,K38)-SUBTOTAL(9,K35,K37)</f>
        <v>37375470</v>
      </c>
      <c r="L21" s="434">
        <f>SUBTOTAL(9,L22:L33,L34,L36,L38)-SUBTOTAL(9,L35,L37)</f>
        <v>38853665</v>
      </c>
      <c r="N21" s="45"/>
      <c r="P21" s="187"/>
    </row>
    <row r="22" spans="2:16" ht="13.5" customHeight="1" x14ac:dyDescent="0.2">
      <c r="B22" s="15">
        <v>140</v>
      </c>
      <c r="C22" s="484">
        <f>VLOOKUP( $B22, T_Aop[], 5, 1)</f>
        <v>60</v>
      </c>
      <c r="D22" s="692" t="str">
        <f>VLOOKUP( $B22, T_Aop[], 6, 1)</f>
        <v xml:space="preserve">    1. Prihodi od prodaje robe (203 do 205)</v>
      </c>
      <c r="E22" s="693"/>
      <c r="F22" s="693"/>
      <c r="G22" s="693"/>
      <c r="H22" s="694"/>
      <c r="I22" s="180">
        <f>VLOOKUP( $B22, T_Aop[], 4, 1)</f>
        <v>202</v>
      </c>
      <c r="J22" s="488"/>
      <c r="K22" s="155">
        <f>SUBTOTAL( 9, K23:K25)</f>
        <v>86618</v>
      </c>
      <c r="L22" s="517">
        <f>SUBTOTAL( 9, L23:L25)</f>
        <v>12250</v>
      </c>
      <c r="N22" s="45"/>
      <c r="P22" s="187"/>
    </row>
    <row r="23" spans="2:16" ht="13.5" customHeight="1" x14ac:dyDescent="0.2">
      <c r="B23" s="15">
        <v>141</v>
      </c>
      <c r="C23" s="485" t="str">
        <f>VLOOKUP( $B23, T_Aop[], 5, 1)</f>
        <v>600, dio 605</v>
      </c>
      <c r="D23" s="695" t="str">
        <f>VLOOKUP( $B23, T_Aop[], 6, 1)</f>
        <v xml:space="preserve">      a) Prihodi od prodaje robe povezanim pravnim licima</v>
      </c>
      <c r="E23" s="696"/>
      <c r="F23" s="696"/>
      <c r="G23" s="696"/>
      <c r="H23" s="697"/>
      <c r="I23" s="181">
        <f>VLOOKUP( $B23, T_Aop[], 4, 1)</f>
        <v>203</v>
      </c>
      <c r="J23" s="486"/>
      <c r="K23" s="486"/>
      <c r="L23" s="487"/>
      <c r="N23" s="45"/>
      <c r="P23" s="187"/>
    </row>
    <row r="24" spans="2:16" ht="22.5" customHeight="1" x14ac:dyDescent="0.2">
      <c r="B24" s="15">
        <v>142</v>
      </c>
      <c r="C24" s="484" t="str">
        <f>VLOOKUP( $B24, T_Aop[], 5, 1)</f>
        <v>601, 602, 603,dio 605</v>
      </c>
      <c r="D24" s="692" t="str">
        <f>VLOOKUP( $B24, T_Aop[], 6, 1)</f>
        <v xml:space="preserve">      b) Prihodi od prodaje robe na domaćem tržištu</v>
      </c>
      <c r="E24" s="693"/>
      <c r="F24" s="693"/>
      <c r="G24" s="693"/>
      <c r="H24" s="694"/>
      <c r="I24" s="180">
        <f>VLOOKUP( $B24, T_Aop[], 4, 1)</f>
        <v>204</v>
      </c>
      <c r="J24" s="488">
        <v>6</v>
      </c>
      <c r="K24" s="488">
        <v>86618</v>
      </c>
      <c r="L24" s="488">
        <v>12250</v>
      </c>
      <c r="N24" s="45"/>
      <c r="P24" s="187"/>
    </row>
    <row r="25" spans="2:16" ht="13.5" customHeight="1" x14ac:dyDescent="0.2">
      <c r="B25" s="15">
        <v>143</v>
      </c>
      <c r="C25" s="485" t="str">
        <f>VLOOKUP( $B25, T_Aop[], 5, 1)</f>
        <v>604, dio 605</v>
      </c>
      <c r="D25" s="695" t="str">
        <f>VLOOKUP( $B25, T_Aop[], 6, 1)</f>
        <v xml:space="preserve">      c) Prihodi od prodaje robe na inostranom tržištu</v>
      </c>
      <c r="E25" s="696"/>
      <c r="F25" s="696"/>
      <c r="G25" s="696"/>
      <c r="H25" s="697"/>
      <c r="I25" s="181">
        <f>VLOOKUP( $B25, T_Aop[], 4, 1)</f>
        <v>205</v>
      </c>
      <c r="J25" s="486"/>
      <c r="K25" s="486"/>
      <c r="L25" s="487"/>
      <c r="N25" s="45"/>
      <c r="P25" s="187"/>
    </row>
    <row r="26" spans="2:16" ht="13.5" customHeight="1" x14ac:dyDescent="0.2">
      <c r="B26" s="15">
        <v>144</v>
      </c>
      <c r="C26" s="484" t="str">
        <f>VLOOKUP( $B26, T_Aop[], 5, 1)</f>
        <v>61</v>
      </c>
      <c r="D26" s="692" t="str">
        <f>VLOOKUP( $B26, T_Aop[], 6, 1)</f>
        <v xml:space="preserve">    2. Prihodi od prodaje proizvoda (207 do 209)</v>
      </c>
      <c r="E26" s="693"/>
      <c r="F26" s="693"/>
      <c r="G26" s="693"/>
      <c r="H26" s="694"/>
      <c r="I26" s="180">
        <f>VLOOKUP( $B26, T_Aop[], 4, 1)</f>
        <v>206</v>
      </c>
      <c r="J26" s="488"/>
      <c r="K26" s="490">
        <f>SUBTOTAL( 9, K27:K29)</f>
        <v>0</v>
      </c>
      <c r="L26" s="491">
        <f>SUBTOTAL( 9, L27:L29)</f>
        <v>0</v>
      </c>
      <c r="N26" s="45"/>
      <c r="P26" s="187"/>
    </row>
    <row r="27" spans="2:16" ht="13.5" customHeight="1" x14ac:dyDescent="0.2">
      <c r="B27" s="15">
        <v>145</v>
      </c>
      <c r="C27" s="485" t="str">
        <f>VLOOKUP( $B27, T_Aop[], 5, 1)</f>
        <v>610, dio 615</v>
      </c>
      <c r="D27" s="695" t="str">
        <f>VLOOKUP( $B27, T_Aop[], 6, 1)</f>
        <v xml:space="preserve">      a) Prihodi od prodaje proizvoda povezanim pravnim licima</v>
      </c>
      <c r="E27" s="696"/>
      <c r="F27" s="696"/>
      <c r="G27" s="696"/>
      <c r="H27" s="697"/>
      <c r="I27" s="181">
        <f>VLOOKUP( $B27, T_Aop[], 4, 1)</f>
        <v>207</v>
      </c>
      <c r="J27" s="486"/>
      <c r="K27" s="575"/>
      <c r="L27" s="575"/>
      <c r="N27" s="45"/>
      <c r="P27" s="187"/>
    </row>
    <row r="28" spans="2:16" ht="22.5" customHeight="1" x14ac:dyDescent="0.2">
      <c r="B28" s="15">
        <v>146</v>
      </c>
      <c r="C28" s="484" t="str">
        <f>VLOOKUP( $B28, T_Aop[], 5, 1)</f>
        <v>611, 612, 613, dio 615</v>
      </c>
      <c r="D28" s="692" t="str">
        <f>VLOOKUP( $B28, T_Aop[], 6, 1)</f>
        <v xml:space="preserve">      b) Prihodi od prodaje proizvoda na domaćem tržištu</v>
      </c>
      <c r="E28" s="693"/>
      <c r="F28" s="693"/>
      <c r="G28" s="693"/>
      <c r="H28" s="694"/>
      <c r="I28" s="180">
        <f>VLOOKUP( $B28, T_Aop[], 4, 1)</f>
        <v>208</v>
      </c>
      <c r="J28" s="488"/>
      <c r="K28" s="488"/>
      <c r="L28" s="489"/>
      <c r="N28" s="45"/>
      <c r="P28" s="187"/>
    </row>
    <row r="29" spans="2:16" ht="13.5" customHeight="1" x14ac:dyDescent="0.2">
      <c r="B29" s="15">
        <v>147</v>
      </c>
      <c r="C29" s="485" t="str">
        <f>VLOOKUP( $B29, T_Aop[], 5, 1)</f>
        <v>614, dio 615</v>
      </c>
      <c r="D29" s="695" t="str">
        <f>VLOOKUP( $B29, T_Aop[], 6, 1)</f>
        <v xml:space="preserve">      c) Prihodi od prodaje proizvoda na inostranom tržištu</v>
      </c>
      <c r="E29" s="696"/>
      <c r="F29" s="696"/>
      <c r="G29" s="696"/>
      <c r="H29" s="697"/>
      <c r="I29" s="181">
        <f>VLOOKUP( $B29, T_Aop[], 4, 1)</f>
        <v>209</v>
      </c>
      <c r="J29" s="486"/>
      <c r="K29" s="486"/>
      <c r="L29" s="487"/>
      <c r="N29" s="45"/>
      <c r="P29" s="187"/>
    </row>
    <row r="30" spans="2:16" ht="13.5" customHeight="1" x14ac:dyDescent="0.2">
      <c r="B30" s="15">
        <v>148</v>
      </c>
      <c r="C30" s="484" t="str">
        <f>VLOOKUP( $B30, T_Aop[], 5, 1)</f>
        <v>62</v>
      </c>
      <c r="D30" s="692" t="str">
        <f>VLOOKUP( $B30, T_Aop[], 6, 1)</f>
        <v xml:space="preserve">     3. Prihodi od pruženih usluga (211 do 213)</v>
      </c>
      <c r="E30" s="693"/>
      <c r="F30" s="693"/>
      <c r="G30" s="693"/>
      <c r="H30" s="694"/>
      <c r="I30" s="180">
        <f>VLOOKUP( $B30, T_Aop[], 4, 1)</f>
        <v>210</v>
      </c>
      <c r="J30" s="488">
        <v>6</v>
      </c>
      <c r="K30" s="155">
        <f>SUBTOTAL( 9, K31:K33)</f>
        <v>35517645</v>
      </c>
      <c r="L30" s="517">
        <f>SUBTOTAL( 9, L31:L33)</f>
        <v>34164231</v>
      </c>
      <c r="N30" s="45"/>
      <c r="P30" s="187"/>
    </row>
    <row r="31" spans="2:16" ht="13.5" customHeight="1" x14ac:dyDescent="0.2">
      <c r="B31" s="15">
        <v>149</v>
      </c>
      <c r="C31" s="485" t="str">
        <f>VLOOKUP( $B31, T_Aop[], 5, 1)</f>
        <v>620, dio 625</v>
      </c>
      <c r="D31" s="695" t="str">
        <f>VLOOKUP( $B31, T_Aop[], 6, 1)</f>
        <v xml:space="preserve">      a) Prihodi od pruženih usluga povezanim licima</v>
      </c>
      <c r="E31" s="696"/>
      <c r="F31" s="696"/>
      <c r="G31" s="696"/>
      <c r="H31" s="697"/>
      <c r="I31" s="181">
        <f>VLOOKUP( $B31, T_Aop[], 4, 1)</f>
        <v>211</v>
      </c>
      <c r="J31" s="486"/>
      <c r="K31" s="486">
        <v>34009955</v>
      </c>
      <c r="L31" s="486">
        <v>32641758</v>
      </c>
      <c r="N31" s="45"/>
      <c r="P31" s="187"/>
    </row>
    <row r="32" spans="2:16" ht="22.5" customHeight="1" x14ac:dyDescent="0.2">
      <c r="B32" s="15">
        <v>150</v>
      </c>
      <c r="C32" s="484" t="str">
        <f>VLOOKUP( $B32, T_Aop[], 5, 1)</f>
        <v>621, 622, 623, dio 625</v>
      </c>
      <c r="D32" s="692" t="str">
        <f>VLOOKUP( $B32, T_Aop[], 6, 1)</f>
        <v xml:space="preserve">      b) Prihodi od pruženih usluga na domaćem tržištu</v>
      </c>
      <c r="E32" s="693"/>
      <c r="F32" s="693"/>
      <c r="G32" s="693"/>
      <c r="H32" s="694"/>
      <c r="I32" s="180">
        <f>VLOOKUP( $B32, T_Aop[], 4, 1)</f>
        <v>212</v>
      </c>
      <c r="J32" s="488"/>
      <c r="K32" s="488">
        <v>1507690</v>
      </c>
      <c r="L32" s="488">
        <v>1522473</v>
      </c>
      <c r="N32" s="45"/>
      <c r="P32" s="187"/>
    </row>
    <row r="33" spans="2:16" ht="13.5" customHeight="1" x14ac:dyDescent="0.2">
      <c r="B33" s="15">
        <v>151</v>
      </c>
      <c r="C33" s="485" t="str">
        <f>VLOOKUP( $B33, T_Aop[], 5, 1)</f>
        <v>624, dio 625</v>
      </c>
      <c r="D33" s="695" t="str">
        <f>VLOOKUP( $B33, T_Aop[], 6, 1)</f>
        <v xml:space="preserve">      c) Prihodi od pruženih usluga na inostranom tržištu</v>
      </c>
      <c r="E33" s="696"/>
      <c r="F33" s="696"/>
      <c r="G33" s="696"/>
      <c r="H33" s="697"/>
      <c r="I33" s="181">
        <f>VLOOKUP( $B33, T_Aop[], 4, 1)</f>
        <v>213</v>
      </c>
      <c r="J33" s="486"/>
      <c r="K33" s="486"/>
      <c r="L33" s="487"/>
      <c r="N33" s="45"/>
      <c r="P33" s="187"/>
    </row>
    <row r="34" spans="2:16" ht="13.5" customHeight="1" x14ac:dyDescent="0.2">
      <c r="B34" s="15">
        <v>152</v>
      </c>
      <c r="C34" s="484" t="str">
        <f>VLOOKUP( $B34, T_Aop[], 5, 1)</f>
        <v>630</v>
      </c>
      <c r="D34" s="692" t="str">
        <f>VLOOKUP( $B34, T_Aop[], 6, 1)</f>
        <v xml:space="preserve">    4. Povećanje vrijednosti zaliha učinaka</v>
      </c>
      <c r="E34" s="693"/>
      <c r="F34" s="693"/>
      <c r="G34" s="693"/>
      <c r="H34" s="694"/>
      <c r="I34" s="180">
        <f>VLOOKUP( $B34, T_Aop[], 4, 1)</f>
        <v>214</v>
      </c>
      <c r="J34" s="488"/>
      <c r="K34" s="488"/>
      <c r="L34" s="489"/>
      <c r="N34" s="45"/>
      <c r="P34" s="187"/>
    </row>
    <row r="35" spans="2:16" ht="13.5" customHeight="1" x14ac:dyDescent="0.2">
      <c r="B35" s="15">
        <v>153</v>
      </c>
      <c r="C35" s="485" t="str">
        <f>VLOOKUP( $B35, T_Aop[], 5, 1)</f>
        <v>631</v>
      </c>
      <c r="D35" s="695" t="str">
        <f>VLOOKUP( $B35, T_Aop[], 6, 1)</f>
        <v xml:space="preserve">    5. Smanjenje vrijednosti zaliha učinaka</v>
      </c>
      <c r="E35" s="696"/>
      <c r="F35" s="696"/>
      <c r="G35" s="696"/>
      <c r="H35" s="697"/>
      <c r="I35" s="181">
        <f>VLOOKUP( $B35, T_Aop[], 4, 1)</f>
        <v>215</v>
      </c>
      <c r="J35" s="486"/>
      <c r="K35" s="486"/>
      <c r="L35" s="487"/>
      <c r="N35" s="45"/>
      <c r="P35" s="187"/>
    </row>
    <row r="36" spans="2:16" ht="22.5" customHeight="1" x14ac:dyDescent="0.2">
      <c r="B36" s="15">
        <v>154</v>
      </c>
      <c r="C36" s="484" t="str">
        <f>VLOOKUP( $B36, T_Aop[], 5, 1)</f>
        <v>640 i 641</v>
      </c>
      <c r="D36" s="692" t="str">
        <f>VLOOKUP( $B36, T_Aop[], 6, 1)</f>
        <v xml:space="preserve">    6. Povećanje vrijednosti investicionih nekretnina i bioloških sredstava koja se ne amortizuju</v>
      </c>
      <c r="E36" s="693"/>
      <c r="F36" s="693"/>
      <c r="G36" s="693"/>
      <c r="H36" s="694"/>
      <c r="I36" s="180">
        <f>VLOOKUP( $B36, T_Aop[], 4, 1)</f>
        <v>216</v>
      </c>
      <c r="J36" s="488"/>
      <c r="K36" s="488"/>
      <c r="L36" s="489"/>
      <c r="N36" s="45"/>
      <c r="P36" s="187"/>
    </row>
    <row r="37" spans="2:16" ht="22.5" customHeight="1" x14ac:dyDescent="0.2">
      <c r="B37" s="15">
        <v>155</v>
      </c>
      <c r="C37" s="485" t="str">
        <f>VLOOKUP( $B37, T_Aop[], 5, 1)</f>
        <v>642 i 643</v>
      </c>
      <c r="D37" s="695" t="str">
        <f>VLOOKUP( $B37, T_Aop[], 6, 1)</f>
        <v xml:space="preserve">    7.  Smanjenje vrijednosti investicionih nekretnina i bioloških sredstava koja se ne amortizuju</v>
      </c>
      <c r="E37" s="696"/>
      <c r="F37" s="696"/>
      <c r="G37" s="696"/>
      <c r="H37" s="697"/>
      <c r="I37" s="181">
        <f>VLOOKUP( $B37, T_Aop[], 4, 1)</f>
        <v>217</v>
      </c>
      <c r="J37" s="486"/>
      <c r="K37" s="486"/>
      <c r="L37" s="487"/>
      <c r="N37" s="45"/>
      <c r="P37" s="187"/>
    </row>
    <row r="38" spans="2:16" ht="11.25" customHeight="1" x14ac:dyDescent="0.2">
      <c r="B38" s="15">
        <v>156</v>
      </c>
      <c r="C38" s="484" t="str">
        <f>VLOOKUP( $B38, T_Aop[], 5, 1)</f>
        <v>650 do 659</v>
      </c>
      <c r="D38" s="692" t="str">
        <f>VLOOKUP( $B38, T_Aop[], 6, 1)</f>
        <v xml:space="preserve">    8. Ostali poslovni prihodi</v>
      </c>
      <c r="E38" s="693"/>
      <c r="F38" s="693"/>
      <c r="G38" s="693"/>
      <c r="H38" s="694"/>
      <c r="I38" s="180">
        <f>VLOOKUP( $B38, T_Aop[], 4, 1)</f>
        <v>218</v>
      </c>
      <c r="J38" s="488">
        <v>7</v>
      </c>
      <c r="K38" s="488">
        <v>1771207</v>
      </c>
      <c r="L38" s="488">
        <f>4633814+43370</f>
        <v>4677184</v>
      </c>
      <c r="N38" s="45"/>
      <c r="P38" s="187"/>
    </row>
    <row r="39" spans="2:16" ht="12.75" customHeight="1" x14ac:dyDescent="0.2">
      <c r="B39" s="15">
        <v>157</v>
      </c>
      <c r="C39" s="485">
        <f>VLOOKUP( $B39, T_Aop[], 5, 1)</f>
        <v>0</v>
      </c>
      <c r="D39" s="701" t="str">
        <f>VLOOKUP( $B39, T_Aop[], 6, 1)</f>
        <v xml:space="preserve">  II  POSLOVNI RASHODI  (220 + 221 + 222 + 223 + 226 + 227 + 234 + 235 + 236)</v>
      </c>
      <c r="E39" s="702"/>
      <c r="F39" s="702"/>
      <c r="G39" s="702"/>
      <c r="H39" s="703"/>
      <c r="I39" s="183">
        <f>VLOOKUP( $B39, T_Aop[], 4, 1)</f>
        <v>219</v>
      </c>
      <c r="J39" s="486"/>
      <c r="K39" s="68">
        <f>SUBTOTAL( 9, K40:K56)</f>
        <v>35891924</v>
      </c>
      <c r="L39" s="69">
        <f>SUBTOTAL( 9, L40:L56)</f>
        <v>36167755</v>
      </c>
      <c r="N39" s="45"/>
      <c r="P39" s="187"/>
    </row>
    <row r="40" spans="2:16" ht="14.25" customHeight="1" x14ac:dyDescent="0.2">
      <c r="B40" s="15">
        <v>158</v>
      </c>
      <c r="C40" s="484" t="str">
        <f>VLOOKUP( $B40, T_Aop[], 5, 1)</f>
        <v>500 do 502</v>
      </c>
      <c r="D40" s="692" t="str">
        <f>VLOOKUP( $B40, T_Aop[], 6, 1)</f>
        <v xml:space="preserve">    1. Nabavna vrijednost prodate robe</v>
      </c>
      <c r="E40" s="693"/>
      <c r="F40" s="693"/>
      <c r="G40" s="693"/>
      <c r="H40" s="694"/>
      <c r="I40" s="180">
        <f>VLOOKUP( $B40, T_Aop[], 4, 1)</f>
        <v>220</v>
      </c>
      <c r="J40" s="488">
        <v>8</v>
      </c>
      <c r="K40" s="488">
        <v>9316018</v>
      </c>
      <c r="L40" s="488">
        <v>9377381</v>
      </c>
      <c r="N40" s="45"/>
      <c r="P40" s="187"/>
    </row>
    <row r="41" spans="2:16" ht="14.25" customHeight="1" x14ac:dyDescent="0.2">
      <c r="B41" s="15">
        <v>159</v>
      </c>
      <c r="C41" s="485" t="str">
        <f>VLOOKUP( $B41, T_Aop[], 5, 1)</f>
        <v>510 do 512</v>
      </c>
      <c r="D41" s="695" t="str">
        <f>VLOOKUP( $B41, T_Aop[], 6, 1)</f>
        <v xml:space="preserve">    2. Troškovi materijala</v>
      </c>
      <c r="E41" s="696"/>
      <c r="F41" s="696"/>
      <c r="G41" s="696"/>
      <c r="H41" s="697"/>
      <c r="I41" s="181">
        <f>VLOOKUP( $B41, T_Aop[], 4, 1)</f>
        <v>221</v>
      </c>
      <c r="J41" s="486">
        <v>9</v>
      </c>
      <c r="K41" s="486">
        <v>638810</v>
      </c>
      <c r="L41" s="486">
        <v>674412</v>
      </c>
      <c r="N41" s="45"/>
      <c r="P41" s="187"/>
    </row>
    <row r="42" spans="2:16" ht="14.25" customHeight="1" x14ac:dyDescent="0.2">
      <c r="B42" s="15">
        <v>160</v>
      </c>
      <c r="C42" s="484" t="str">
        <f>VLOOKUP( $B42, T_Aop[], 5, 1)</f>
        <v>513</v>
      </c>
      <c r="D42" s="692" t="str">
        <f>VLOOKUP( $B42, T_Aop[], 6, 1)</f>
        <v xml:space="preserve">    3. Troškovi goriva i energije</v>
      </c>
      <c r="E42" s="693"/>
      <c r="F42" s="693"/>
      <c r="G42" s="693"/>
      <c r="H42" s="694"/>
      <c r="I42" s="180">
        <f>VLOOKUP( $B42, T_Aop[], 4, 1)</f>
        <v>222</v>
      </c>
      <c r="J42" s="488">
        <v>10</v>
      </c>
      <c r="K42" s="488">
        <v>643061</v>
      </c>
      <c r="L42" s="488">
        <v>671196</v>
      </c>
      <c r="N42" s="45"/>
      <c r="P42" s="187"/>
    </row>
    <row r="43" spans="2:16" ht="22.5" customHeight="1" x14ac:dyDescent="0.2">
      <c r="B43" s="15">
        <v>161</v>
      </c>
      <c r="C43" s="485" t="str">
        <f>VLOOKUP( $B43, T_Aop[], 5, 1)</f>
        <v>52</v>
      </c>
      <c r="D43" s="695" t="str">
        <f>VLOOKUP( $B43, T_Aop[], 6, 1)</f>
        <v xml:space="preserve">    4. Troškovi plata, naknada plata i ostalih ličnih primanja (224 + 225)</v>
      </c>
      <c r="E43" s="696"/>
      <c r="F43" s="696"/>
      <c r="G43" s="696"/>
      <c r="H43" s="697"/>
      <c r="I43" s="181">
        <f>VLOOKUP( $B43, T_Aop[], 4, 1)</f>
        <v>223</v>
      </c>
      <c r="J43" s="486">
        <v>11</v>
      </c>
      <c r="K43" s="492">
        <f>SUBTOTAL( 9, K44:K45)</f>
        <v>14016944</v>
      </c>
      <c r="L43" s="493">
        <f>SUBTOTAL( 9, L44:L45)</f>
        <v>13950942</v>
      </c>
      <c r="N43" s="45"/>
      <c r="P43" s="187"/>
    </row>
    <row r="44" spans="2:16" ht="14.25" customHeight="1" x14ac:dyDescent="0.2">
      <c r="B44" s="15">
        <v>162</v>
      </c>
      <c r="C44" s="484" t="str">
        <f>VLOOKUP( $B44, T_Aop[], 5, 1)</f>
        <v>520 i 523</v>
      </c>
      <c r="D44" s="692" t="str">
        <f>VLOOKUP( $B44, T_Aop[], 6, 1)</f>
        <v xml:space="preserve">      a) Troškovi bruto plata i bruto naknada plata</v>
      </c>
      <c r="E44" s="693"/>
      <c r="F44" s="693"/>
      <c r="G44" s="693"/>
      <c r="H44" s="694"/>
      <c r="I44" s="180">
        <f>VLOOKUP( $B44, T_Aop[], 4, 1)</f>
        <v>224</v>
      </c>
      <c r="J44" s="488"/>
      <c r="K44" s="488">
        <v>11329453</v>
      </c>
      <c r="L44" s="488">
        <v>11279885</v>
      </c>
      <c r="N44" s="45"/>
      <c r="P44" s="187"/>
    </row>
    <row r="45" spans="2:16" ht="14.25" customHeight="1" x14ac:dyDescent="0.2">
      <c r="B45" s="15">
        <v>163</v>
      </c>
      <c r="C45" s="485" t="str">
        <f>VLOOKUP( $B45, T_Aop[], 5, 1)</f>
        <v>524 do 529</v>
      </c>
      <c r="D45" s="695" t="str">
        <f>VLOOKUP( $B45, T_Aop[], 6, 1)</f>
        <v xml:space="preserve">      b) Troškovi ostalih ličnih primanja</v>
      </c>
      <c r="E45" s="696"/>
      <c r="F45" s="696"/>
      <c r="G45" s="696"/>
      <c r="H45" s="697"/>
      <c r="I45" s="181">
        <f>VLOOKUP( $B45, T_Aop[], 4, 1)</f>
        <v>225</v>
      </c>
      <c r="J45" s="486"/>
      <c r="K45" s="486">
        <v>2687491</v>
      </c>
      <c r="L45" s="486">
        <v>2671057</v>
      </c>
      <c r="N45" s="45"/>
      <c r="P45" s="187"/>
    </row>
    <row r="46" spans="2:16" ht="14.25" customHeight="1" x14ac:dyDescent="0.2">
      <c r="B46" s="15">
        <v>164</v>
      </c>
      <c r="C46" s="484" t="str">
        <f>VLOOKUP( $B46, T_Aop[], 5, 1)</f>
        <v>530 do 539</v>
      </c>
      <c r="D46" s="692" t="str">
        <f>VLOOKUP( $B46, T_Aop[], 6, 1)</f>
        <v xml:space="preserve">    5. Troškovi proizvodnih usluga</v>
      </c>
      <c r="E46" s="693"/>
      <c r="F46" s="693"/>
      <c r="G46" s="693"/>
      <c r="H46" s="694"/>
      <c r="I46" s="180">
        <f>VLOOKUP( $B46, T_Aop[], 4, 1)</f>
        <v>226</v>
      </c>
      <c r="J46" s="488">
        <v>12</v>
      </c>
      <c r="K46" s="488">
        <v>856245</v>
      </c>
      <c r="L46" s="488">
        <v>1198825</v>
      </c>
      <c r="N46" s="45"/>
      <c r="P46" s="187"/>
    </row>
    <row r="47" spans="2:16" ht="14.25" customHeight="1" x14ac:dyDescent="0.2">
      <c r="B47" s="15">
        <v>165</v>
      </c>
      <c r="C47" s="485" t="str">
        <f>VLOOKUP( $B47, T_Aop[], 5, 1)</f>
        <v>54</v>
      </c>
      <c r="D47" s="695" t="str">
        <f>VLOOKUP( $B47, T_Aop[], 6, 1)</f>
        <v xml:space="preserve">    6. Troškovi amortizacije i rezervisanja (228 + 233)</v>
      </c>
      <c r="E47" s="696"/>
      <c r="F47" s="696"/>
      <c r="G47" s="696"/>
      <c r="H47" s="697"/>
      <c r="I47" s="181">
        <f>VLOOKUP( $B47, T_Aop[], 4, 1)</f>
        <v>227</v>
      </c>
      <c r="J47" s="486">
        <v>13</v>
      </c>
      <c r="K47" s="492">
        <f>SUBTOTAL( 9, K48:K53)</f>
        <v>6398860</v>
      </c>
      <c r="L47" s="493">
        <f>SUBTOTAL( 9, L48:L53)</f>
        <v>6286280</v>
      </c>
      <c r="N47" s="45"/>
      <c r="P47" s="187"/>
    </row>
    <row r="48" spans="2:16" ht="14.25" customHeight="1" x14ac:dyDescent="0.2">
      <c r="B48" s="15">
        <v>166</v>
      </c>
      <c r="C48" s="484" t="str">
        <f>VLOOKUP( $B48, T_Aop[], 5, 1)</f>
        <v>540</v>
      </c>
      <c r="D48" s="692" t="str">
        <f>VLOOKUP( $B48, T_Aop[], 6, 1)</f>
        <v xml:space="preserve">      6.1 Troškovi amortizacije (229 do 232)</v>
      </c>
      <c r="E48" s="693"/>
      <c r="F48" s="693"/>
      <c r="G48" s="693"/>
      <c r="H48" s="694"/>
      <c r="I48" s="180">
        <f>VLOOKUP( $B48, T_Aop[], 4, 1)</f>
        <v>228</v>
      </c>
      <c r="J48" s="488"/>
      <c r="K48" s="490">
        <f>SUBTOTAL( 9, K49:K52)</f>
        <v>5953212</v>
      </c>
      <c r="L48" s="491">
        <f>SUBTOTAL( 9, L49:L52)</f>
        <v>6217686</v>
      </c>
      <c r="N48" s="45"/>
      <c r="P48" s="187"/>
    </row>
    <row r="49" spans="2:16" ht="14.25" customHeight="1" x14ac:dyDescent="0.2">
      <c r="B49" s="15">
        <v>167</v>
      </c>
      <c r="C49" s="485" t="str">
        <f>VLOOKUP( $B49, T_Aop[], 5, 1)</f>
        <v>dio 540</v>
      </c>
      <c r="D49" s="695" t="str">
        <f>VLOOKUP( $B49, T_Aop[], 6, 1)</f>
        <v xml:space="preserve">        a) Amortizacija nekretnina, postrojenja i opreme</v>
      </c>
      <c r="E49" s="696"/>
      <c r="F49" s="696"/>
      <c r="G49" s="696"/>
      <c r="H49" s="697"/>
      <c r="I49" s="181">
        <f>VLOOKUP( $B49, T_Aop[], 4, 1)</f>
        <v>229</v>
      </c>
      <c r="J49" s="486"/>
      <c r="K49" s="486">
        <v>5935302</v>
      </c>
      <c r="L49" s="486">
        <v>6194044</v>
      </c>
      <c r="N49" s="45"/>
      <c r="P49" s="187"/>
    </row>
    <row r="50" spans="2:16" ht="14.25" customHeight="1" x14ac:dyDescent="0.2">
      <c r="B50" s="15">
        <v>168</v>
      </c>
      <c r="C50" s="484" t="str">
        <f>VLOOKUP( $B50, T_Aop[], 5, 1)</f>
        <v>dio 540</v>
      </c>
      <c r="D50" s="692" t="str">
        <f>VLOOKUP( $B50, T_Aop[], 6, 1)</f>
        <v xml:space="preserve">        b) Amortizacija investicionih nekretnina</v>
      </c>
      <c r="E50" s="693"/>
      <c r="F50" s="693"/>
      <c r="G50" s="693"/>
      <c r="H50" s="694"/>
      <c r="I50" s="180">
        <f>VLOOKUP( $B50, T_Aop[], 4, 1)</f>
        <v>230</v>
      </c>
      <c r="J50" s="488"/>
      <c r="K50" s="488">
        <v>5179</v>
      </c>
      <c r="L50" s="488">
        <v>3539</v>
      </c>
      <c r="N50" s="45"/>
      <c r="P50" s="187"/>
    </row>
    <row r="51" spans="2:16" ht="14.25" customHeight="1" x14ac:dyDescent="0.2">
      <c r="B51" s="15">
        <v>169</v>
      </c>
      <c r="C51" s="485" t="str">
        <f>VLOOKUP( $B51, T_Aop[], 5, 1)</f>
        <v>dio 540</v>
      </c>
      <c r="D51" s="695" t="str">
        <f>VLOOKUP( $B51, T_Aop[], 6, 1)</f>
        <v xml:space="preserve">        c) Amortizacija sredstava uzetih u zakup</v>
      </c>
      <c r="E51" s="696"/>
      <c r="F51" s="696"/>
      <c r="G51" s="696"/>
      <c r="H51" s="697"/>
      <c r="I51" s="181">
        <f>VLOOKUP( $B51, T_Aop[], 4, 1)</f>
        <v>231</v>
      </c>
      <c r="J51" s="486"/>
      <c r="K51" s="486">
        <v>12731</v>
      </c>
      <c r="L51" s="486">
        <v>20103</v>
      </c>
      <c r="N51" s="45"/>
      <c r="P51" s="187"/>
    </row>
    <row r="52" spans="2:16" ht="14.25" customHeight="1" x14ac:dyDescent="0.2">
      <c r="B52" s="15">
        <v>170</v>
      </c>
      <c r="C52" s="484" t="str">
        <f>VLOOKUP( $B52, T_Aop[], 5, 1)</f>
        <v>dio 540</v>
      </c>
      <c r="D52" s="692" t="str">
        <f>VLOOKUP( $B52, T_Aop[], 6, 1)</f>
        <v xml:space="preserve">        d) Amortizacija ostalih sredstava</v>
      </c>
      <c r="E52" s="693"/>
      <c r="F52" s="693"/>
      <c r="G52" s="693"/>
      <c r="H52" s="694"/>
      <c r="I52" s="180">
        <f>VLOOKUP( $B52, T_Aop[], 4, 1)</f>
        <v>232</v>
      </c>
      <c r="J52" s="488"/>
      <c r="K52" s="488"/>
      <c r="L52" s="488"/>
      <c r="N52" s="45"/>
      <c r="P52" s="187"/>
    </row>
    <row r="53" spans="2:16" ht="14.25" customHeight="1" x14ac:dyDescent="0.2">
      <c r="B53" s="15">
        <v>171</v>
      </c>
      <c r="C53" s="485" t="str">
        <f>VLOOKUP( $B53, T_Aop[], 5, 1)</f>
        <v>541</v>
      </c>
      <c r="D53" s="695" t="str">
        <f>VLOOKUP( $B53, T_Aop[], 6, 1)</f>
        <v xml:space="preserve">      6.2 Troškovi rezervisanja</v>
      </c>
      <c r="E53" s="696"/>
      <c r="F53" s="696"/>
      <c r="G53" s="696"/>
      <c r="H53" s="697"/>
      <c r="I53" s="181">
        <f>VLOOKUP( $B53, T_Aop[], 4, 1)</f>
        <v>233</v>
      </c>
      <c r="J53" s="486"/>
      <c r="K53" s="486">
        <v>445648</v>
      </c>
      <c r="L53" s="486">
        <v>68594</v>
      </c>
      <c r="N53" s="45"/>
      <c r="P53" s="187"/>
    </row>
    <row r="54" spans="2:16" ht="14.25" customHeight="1" x14ac:dyDescent="0.2">
      <c r="B54" s="15">
        <v>172</v>
      </c>
      <c r="C54" s="484" t="str">
        <f>VLOOKUP( $B54, T_Aop[], 5, 1)</f>
        <v>55 osim 555 i 556</v>
      </c>
      <c r="D54" s="692" t="str">
        <f>VLOOKUP( $B54, T_Aop[], 6, 1)</f>
        <v xml:space="preserve">    7. Nematerijalni troškovi (bez poreza i doprinosa)</v>
      </c>
      <c r="E54" s="693"/>
      <c r="F54" s="693"/>
      <c r="G54" s="693"/>
      <c r="H54" s="694"/>
      <c r="I54" s="180">
        <f>VLOOKUP( $B54, T_Aop[], 4, 1)</f>
        <v>234</v>
      </c>
      <c r="J54" s="488">
        <v>14</v>
      </c>
      <c r="K54" s="488">
        <v>3759526</v>
      </c>
      <c r="L54" s="488">
        <v>3734878</v>
      </c>
      <c r="N54" s="45"/>
      <c r="P54" s="187"/>
    </row>
    <row r="55" spans="2:16" ht="14.25" customHeight="1" x14ac:dyDescent="0.2">
      <c r="B55" s="15">
        <v>173</v>
      </c>
      <c r="C55" s="485" t="str">
        <f>VLOOKUP( $B55, T_Aop[], 5, 1)</f>
        <v>555</v>
      </c>
      <c r="D55" s="695" t="str">
        <f>VLOOKUP( $B55, T_Aop[], 6, 1)</f>
        <v xml:space="preserve">    8. Troškovi poreza</v>
      </c>
      <c r="E55" s="696"/>
      <c r="F55" s="696"/>
      <c r="G55" s="696"/>
      <c r="H55" s="697"/>
      <c r="I55" s="181">
        <f>VLOOKUP( $B55, T_Aop[], 4, 1)</f>
        <v>235</v>
      </c>
      <c r="J55" s="486">
        <v>15</v>
      </c>
      <c r="K55" s="486">
        <v>124988</v>
      </c>
      <c r="L55" s="486">
        <v>112042</v>
      </c>
      <c r="N55" s="45"/>
      <c r="P55" s="187"/>
    </row>
    <row r="56" spans="2:16" ht="14.25" customHeight="1" x14ac:dyDescent="0.2">
      <c r="B56" s="15">
        <v>174</v>
      </c>
      <c r="C56" s="484" t="str">
        <f>VLOOKUP( $B56, T_Aop[], 5, 1)</f>
        <v>556</v>
      </c>
      <c r="D56" s="692" t="str">
        <f>VLOOKUP( $B56, T_Aop[], 6, 1)</f>
        <v xml:space="preserve">    9. Troškovi doprinosa</v>
      </c>
      <c r="E56" s="693"/>
      <c r="F56" s="693"/>
      <c r="G56" s="693"/>
      <c r="H56" s="694"/>
      <c r="I56" s="180">
        <f>VLOOKUP( $B56, T_Aop[], 4, 1)</f>
        <v>236</v>
      </c>
      <c r="J56" s="488">
        <v>15</v>
      </c>
      <c r="K56" s="488">
        <v>137472</v>
      </c>
      <c r="L56" s="488">
        <v>161799</v>
      </c>
      <c r="N56" s="45"/>
      <c r="P56" s="187"/>
    </row>
    <row r="57" spans="2:16" ht="12.75" customHeight="1" x14ac:dyDescent="0.2">
      <c r="B57" s="15">
        <v>175</v>
      </c>
      <c r="C57" s="485">
        <f>VLOOKUP( $B57, T_Aop[], 5, 1)</f>
        <v>0</v>
      </c>
      <c r="D57" s="701" t="str">
        <f>VLOOKUP( $B57, T_Aop[], 6, 1)</f>
        <v xml:space="preserve">  B.  POSLOVNI DOBITAK (201 – 219)</v>
      </c>
      <c r="E57" s="702"/>
      <c r="F57" s="702"/>
      <c r="G57" s="702"/>
      <c r="H57" s="703"/>
      <c r="I57" s="183">
        <f>VLOOKUP( $B57, T_Aop[], 4, 1)</f>
        <v>237</v>
      </c>
      <c r="J57" s="486"/>
      <c r="K57" s="68">
        <f>IF( SUBTOTAL( 9, K21:K34,K36,K38) - SUBTOTAL( 9, K35, K37, K39:K56)  &lt;= 0, 0, ABS( SUBTOTAL( 9, K21:K34,K36,K38) - SUBTOTAL( 9, K35, K37, K39:K56)))</f>
        <v>1483546</v>
      </c>
      <c r="L57" s="69">
        <f>IF( SUBTOTAL( 9, L21:L34,L36,L38) - SUBTOTAL( 9, L35, L37, L39:L56)  &lt;= 0, 0, ABS( SUBTOTAL( 9, L21:L34,L36,L38) - SUBTOTAL( 9, L35, L37, L39:L56)))</f>
        <v>2685910</v>
      </c>
      <c r="N57" s="45"/>
      <c r="P57" s="187"/>
    </row>
    <row r="58" spans="2:16" ht="12.75" customHeight="1" x14ac:dyDescent="0.2">
      <c r="B58" s="15">
        <v>176</v>
      </c>
      <c r="C58" s="484">
        <f>VLOOKUP( $B58, T_Aop[], 5, 1)</f>
        <v>0</v>
      </c>
      <c r="D58" s="698" t="str">
        <f>VLOOKUP( $B58, T_Aop[], 6, 1)</f>
        <v xml:space="preserve">  V.  POSLOVNI GUBITAK (219 – 201)</v>
      </c>
      <c r="E58" s="699"/>
      <c r="F58" s="699"/>
      <c r="G58" s="699"/>
      <c r="H58" s="700"/>
      <c r="I58" s="182">
        <f>VLOOKUP( $B58, T_Aop[], 4, 1)</f>
        <v>238</v>
      </c>
      <c r="J58" s="488"/>
      <c r="K58" s="272">
        <f>IF( SUBTOTAL( 9, K21:K34,K36,K38) - SUBTOTAL( 9, K35, K37, K39:K56)  &gt;= 0, 0, ABS( SUBTOTAL( 9, K21:K34,K36,K38) - SUBTOTAL( 9, K35, K37, K39:K56)))</f>
        <v>0</v>
      </c>
      <c r="L58" s="429">
        <f>IF( SUBTOTAL( 9, L21:L34,L36,L38) - SUBTOTAL( 9, L35, L37, L39:L56)  &gt;= 0, 0, ABS( SUBTOTAL( 9, L21:L34,L36,L38) - SUBTOTAL( 9, L35, L37, L39:L56)))</f>
        <v>0</v>
      </c>
      <c r="N58" s="45"/>
      <c r="P58" s="187"/>
    </row>
    <row r="59" spans="2:16" ht="22.5" customHeight="1" x14ac:dyDescent="0.2">
      <c r="B59" s="15">
        <v>177</v>
      </c>
      <c r="C59" s="485" t="str">
        <f>VLOOKUP( $B59, T_Aop[], 5, 1)</f>
        <v>66</v>
      </c>
      <c r="D59" s="701" t="str">
        <f>VLOOKUP( $B59, T_Aop[], 6, 1)</f>
        <v xml:space="preserve">  G. FINANSIJSKI PRIHODI I RASHODI _x000D_
I  FINANSIJSKI PRIHODI (240 do 243)</v>
      </c>
      <c r="E59" s="702"/>
      <c r="F59" s="702"/>
      <c r="G59" s="702"/>
      <c r="H59" s="703"/>
      <c r="I59" s="183">
        <f>VLOOKUP( $B59, T_Aop[], 4, 1)</f>
        <v>239</v>
      </c>
      <c r="J59" s="486">
        <v>16</v>
      </c>
      <c r="K59" s="68">
        <f>SUBTOTAL( 9, K60:K63)</f>
        <v>103583</v>
      </c>
      <c r="L59" s="69">
        <f>SUBTOTAL( 9, L60:L63)</f>
        <v>119834</v>
      </c>
      <c r="N59" s="45"/>
      <c r="P59" s="187"/>
    </row>
    <row r="60" spans="2:16" ht="13.5" customHeight="1" x14ac:dyDescent="0.2">
      <c r="B60" s="15">
        <v>178</v>
      </c>
      <c r="C60" s="484" t="str">
        <f>VLOOKUP( $B60, T_Aop[], 5, 1)</f>
        <v>660, 661</v>
      </c>
      <c r="D60" s="692" t="str">
        <f>VLOOKUP( $B60, T_Aop[], 6, 1)</f>
        <v xml:space="preserve">    1.   Prihodi od kamata</v>
      </c>
      <c r="E60" s="693"/>
      <c r="F60" s="693"/>
      <c r="G60" s="693"/>
      <c r="H60" s="694"/>
      <c r="I60" s="180">
        <f>VLOOKUP( $B60, T_Aop[], 4, 1)</f>
        <v>240</v>
      </c>
      <c r="J60" s="488"/>
      <c r="K60" s="488">
        <v>103575</v>
      </c>
      <c r="L60" s="488">
        <v>119827</v>
      </c>
      <c r="N60" s="45"/>
      <c r="P60" s="187"/>
    </row>
    <row r="61" spans="2:16" ht="13.5" customHeight="1" x14ac:dyDescent="0.2">
      <c r="B61" s="15">
        <v>179</v>
      </c>
      <c r="C61" s="485" t="str">
        <f>VLOOKUP( $B61, T_Aop[], 5, 1)</f>
        <v>662</v>
      </c>
      <c r="D61" s="695" t="str">
        <f>VLOOKUP( $B61, T_Aop[], 6, 1)</f>
        <v xml:space="preserve">    2.   Pozitivne kursne razlike</v>
      </c>
      <c r="E61" s="696"/>
      <c r="F61" s="696"/>
      <c r="G61" s="696"/>
      <c r="H61" s="697"/>
      <c r="I61" s="181">
        <f>VLOOKUP( $B61, T_Aop[], 4, 1)</f>
        <v>241</v>
      </c>
      <c r="J61" s="486"/>
      <c r="K61" s="486"/>
      <c r="L61" s="486"/>
      <c r="N61" s="45"/>
      <c r="P61" s="187"/>
    </row>
    <row r="62" spans="2:16" ht="13.5" customHeight="1" x14ac:dyDescent="0.2">
      <c r="B62" s="15">
        <v>180</v>
      </c>
      <c r="C62" s="484" t="str">
        <f>VLOOKUP( $B62, T_Aop[], 5, 1)</f>
        <v>663</v>
      </c>
      <c r="D62" s="692" t="str">
        <f>VLOOKUP( $B62, T_Aop[], 6, 1)</f>
        <v xml:space="preserve">    3.   Prihodi od efekata valutne klauzule</v>
      </c>
      <c r="E62" s="693"/>
      <c r="F62" s="693"/>
      <c r="G62" s="693"/>
      <c r="H62" s="694"/>
      <c r="I62" s="180">
        <f>VLOOKUP( $B62, T_Aop[], 4, 1)</f>
        <v>242</v>
      </c>
      <c r="J62" s="488"/>
      <c r="K62" s="488"/>
      <c r="L62" s="488"/>
      <c r="N62" s="45"/>
      <c r="P62" s="187"/>
    </row>
    <row r="63" spans="2:16" ht="13.5" customHeight="1" x14ac:dyDescent="0.2">
      <c r="B63" s="15">
        <v>181</v>
      </c>
      <c r="C63" s="485" t="str">
        <f>VLOOKUP( $B63, T_Aop[], 5, 1)</f>
        <v>669</v>
      </c>
      <c r="D63" s="695" t="str">
        <f>VLOOKUP( $B63, T_Aop[], 6, 1)</f>
        <v xml:space="preserve">    4.   Ostali finansijski prihodi</v>
      </c>
      <c r="E63" s="696"/>
      <c r="F63" s="696"/>
      <c r="G63" s="696"/>
      <c r="H63" s="697"/>
      <c r="I63" s="181">
        <f>VLOOKUP( $B63, T_Aop[], 4, 1)</f>
        <v>243</v>
      </c>
      <c r="J63" s="486"/>
      <c r="K63" s="486">
        <v>8</v>
      </c>
      <c r="L63" s="486">
        <v>7</v>
      </c>
      <c r="N63" s="45"/>
      <c r="P63" s="187"/>
    </row>
    <row r="64" spans="2:16" ht="15" customHeight="1" x14ac:dyDescent="0.2">
      <c r="B64" s="15">
        <v>182</v>
      </c>
      <c r="C64" s="484" t="str">
        <f>VLOOKUP( $B64, T_Aop[], 5, 1)</f>
        <v>56</v>
      </c>
      <c r="D64" s="698" t="str">
        <f>VLOOKUP( $B64, T_Aop[], 6, 1)</f>
        <v xml:space="preserve">  II  FINANSIJSKI RASHODI (245 do 248)</v>
      </c>
      <c r="E64" s="699"/>
      <c r="F64" s="699"/>
      <c r="G64" s="699"/>
      <c r="H64" s="700"/>
      <c r="I64" s="182">
        <f>VLOOKUP( $B64, T_Aop[], 4, 1)</f>
        <v>244</v>
      </c>
      <c r="J64" s="488">
        <v>16</v>
      </c>
      <c r="K64" s="61">
        <f>SUBTOTAL( 9, K65:K68)</f>
        <v>898951</v>
      </c>
      <c r="L64" s="62">
        <f>SUBTOTAL( 9, L65:L68)</f>
        <v>976584</v>
      </c>
      <c r="N64" s="45"/>
      <c r="P64" s="187"/>
    </row>
    <row r="65" spans="2:16" ht="13.5" customHeight="1" x14ac:dyDescent="0.2">
      <c r="B65" s="15">
        <v>183</v>
      </c>
      <c r="C65" s="485" t="str">
        <f>VLOOKUP( $B65, T_Aop[], 5, 1)</f>
        <v>560, 561</v>
      </c>
      <c r="D65" s="695" t="str">
        <f>VLOOKUP( $B65, T_Aop[], 6, 1)</f>
        <v xml:space="preserve">    1. Rashodi kamata</v>
      </c>
      <c r="E65" s="696"/>
      <c r="F65" s="696"/>
      <c r="G65" s="696"/>
      <c r="H65" s="697"/>
      <c r="I65" s="181">
        <f>VLOOKUP( $B65, T_Aop[], 4, 1)</f>
        <v>245</v>
      </c>
      <c r="J65" s="486"/>
      <c r="K65" s="486">
        <v>898945</v>
      </c>
      <c r="L65" s="486">
        <v>976580</v>
      </c>
      <c r="N65" s="45"/>
      <c r="P65" s="187"/>
    </row>
    <row r="66" spans="2:16" ht="13.5" customHeight="1" x14ac:dyDescent="0.2">
      <c r="B66" s="15">
        <v>184</v>
      </c>
      <c r="C66" s="484" t="str">
        <f>VLOOKUP( $B66, T_Aop[], 5, 1)</f>
        <v>562</v>
      </c>
      <c r="D66" s="692" t="str">
        <f>VLOOKUP( $B66, T_Aop[], 6, 1)</f>
        <v xml:space="preserve">    2. Negativne kursne razlike</v>
      </c>
      <c r="E66" s="693"/>
      <c r="F66" s="693"/>
      <c r="G66" s="693"/>
      <c r="H66" s="694"/>
      <c r="I66" s="180">
        <f>VLOOKUP( $B66, T_Aop[], 4, 1)</f>
        <v>246</v>
      </c>
      <c r="J66" s="488"/>
      <c r="K66" s="488"/>
      <c r="L66" s="488"/>
      <c r="N66" s="45"/>
      <c r="P66" s="187"/>
    </row>
    <row r="67" spans="2:16" ht="13.5" customHeight="1" x14ac:dyDescent="0.2">
      <c r="B67" s="15">
        <v>185</v>
      </c>
      <c r="C67" s="485" t="str">
        <f>VLOOKUP( $B67, T_Aop[], 5, 1)</f>
        <v>563</v>
      </c>
      <c r="D67" s="695" t="str">
        <f>VLOOKUP( $B67, T_Aop[], 6, 1)</f>
        <v xml:space="preserve">    3. Rashodi po osnovu valutne klauzule</v>
      </c>
      <c r="E67" s="696"/>
      <c r="F67" s="696"/>
      <c r="G67" s="696"/>
      <c r="H67" s="697"/>
      <c r="I67" s="181">
        <f>VLOOKUP( $B67, T_Aop[], 4, 1)</f>
        <v>247</v>
      </c>
      <c r="J67" s="486"/>
      <c r="K67" s="486"/>
      <c r="L67" s="486"/>
      <c r="N67" s="45"/>
      <c r="P67" s="187"/>
    </row>
    <row r="68" spans="2:16" ht="13.5" customHeight="1" x14ac:dyDescent="0.2">
      <c r="B68" s="15">
        <v>186</v>
      </c>
      <c r="C68" s="484" t="str">
        <f>VLOOKUP( $B68, T_Aop[], 5, 1)</f>
        <v>569</v>
      </c>
      <c r="D68" s="692" t="str">
        <f>VLOOKUP( $B68, T_Aop[], 6, 1)</f>
        <v xml:space="preserve">    4. Ostali finansijski rashodi</v>
      </c>
      <c r="E68" s="693"/>
      <c r="F68" s="693"/>
      <c r="G68" s="693"/>
      <c r="H68" s="694"/>
      <c r="I68" s="180">
        <f>VLOOKUP( $B68, T_Aop[], 4, 1)</f>
        <v>248</v>
      </c>
      <c r="J68" s="488"/>
      <c r="K68" s="488">
        <v>6</v>
      </c>
      <c r="L68" s="488">
        <v>4</v>
      </c>
      <c r="N68" s="45"/>
      <c r="P68" s="187"/>
    </row>
    <row r="69" spans="2:16" ht="15" customHeight="1" x14ac:dyDescent="0.2">
      <c r="B69" s="15">
        <v>187</v>
      </c>
      <c r="C69" s="494">
        <f>VLOOKUP( $B69, T_Aop[], 5, 1)</f>
        <v>0</v>
      </c>
      <c r="D69" s="701" t="str">
        <f>VLOOKUP( $B69, T_Aop[], 6, 1)</f>
        <v xml:space="preserve">  D. DOBITAK REDOVNE AKTIVNOSTI  (237 + 239 – 244) ili (239-244-238)     </v>
      </c>
      <c r="E69" s="702"/>
      <c r="F69" s="702"/>
      <c r="G69" s="702"/>
      <c r="H69" s="703"/>
      <c r="I69" s="183">
        <f>VLOOKUP( $B69, T_Aop[], 4, 1)</f>
        <v>249</v>
      </c>
      <c r="J69" s="486"/>
      <c r="K69" s="68">
        <f>IF( SUBTOTAL( 9, K21:K34,K36, K38,K59:K63) - SUBTOTAL( 9, K35, K37, K39:K56, K64:K68) &lt;= 0, 0, ABS( SUBTOTAL( 9, K21:K34,K36,K38, K59:K63) - SUBTOTAL( 9, K35, K37, K39:K56, K64:K68)))</f>
        <v>688178</v>
      </c>
      <c r="L69" s="69">
        <f>IF( SUBTOTAL( 9, L21:L34,L36, L38,L59:L63) - SUBTOTAL( 9, L35, L37, L39:L56, L64:L68) &lt;= 0, 0, ABS( SUBTOTAL( 9, L21:L34,L36,L38, L59:L63) - SUBTOTAL( 9, L35, L37, L39:L56, L64:L68)))</f>
        <v>1829160</v>
      </c>
      <c r="N69" s="45"/>
      <c r="P69" s="187"/>
    </row>
    <row r="70" spans="2:16" ht="15" customHeight="1" x14ac:dyDescent="0.2">
      <c r="B70" s="15">
        <v>188</v>
      </c>
      <c r="C70" s="484">
        <f>VLOOKUP( $B70, T_Aop[], 5, 1)</f>
        <v>0</v>
      </c>
      <c r="D70" s="698" t="str">
        <f>VLOOKUP( $B70, T_Aop[], 6, 1)</f>
        <v xml:space="preserve">  Đ. GUBITAK REDOVNE AKTIVNOSTI (238 + 244 -239) ili (244-239-237)</v>
      </c>
      <c r="E70" s="699"/>
      <c r="F70" s="699"/>
      <c r="G70" s="699"/>
      <c r="H70" s="700"/>
      <c r="I70" s="182">
        <f>VLOOKUP( $B70, T_Aop[], 4, 1)</f>
        <v>250</v>
      </c>
      <c r="J70" s="488"/>
      <c r="K70" s="272">
        <f>IF( SUBTOTAL( 9, K21:K34,K36,K38,K59:K63) - SUBTOTAL( 9, K35, K37, K39:K56,K64:K68)  &gt;= 0, 0, ABS( SUBTOTAL( 9, K21:K34,K36,K38,K59:K63) - SUBTOTAL( 9, K35, K37, K39:K56,K64:K68)))</f>
        <v>0</v>
      </c>
      <c r="L70" s="429">
        <f>IF( SUBTOTAL( 9, L21:L34,L36,L38,L59:L63) - SUBTOTAL( 9, L35, L37, L39:L56,L64:L68)  &gt;= 0, 0, ABS( SUBTOTAL( 9, L21:L34,L36,L38,L59:L63) - SUBTOTAL( 9, L35, L37, L39:L56,L64:L68)))</f>
        <v>0</v>
      </c>
      <c r="N70" s="45"/>
      <c r="P70" s="187"/>
    </row>
    <row r="71" spans="2:16" ht="23.25" customHeight="1" x14ac:dyDescent="0.2">
      <c r="B71" s="15">
        <v>189</v>
      </c>
      <c r="C71" s="485" t="str">
        <f>VLOOKUP( $B71, T_Aop[], 5, 1)</f>
        <v>67</v>
      </c>
      <c r="D71" s="701" t="str">
        <f>VLOOKUP( $B71, T_Aop[], 6, 1)</f>
        <v xml:space="preserve">  E. OSTALI DOBICI I GUBICI I OSTALI PRIHODI I DOBICI (252 do 260)</v>
      </c>
      <c r="E71" s="702"/>
      <c r="F71" s="702"/>
      <c r="G71" s="702"/>
      <c r="H71" s="703"/>
      <c r="I71" s="183">
        <f>VLOOKUP( $B71, T_Aop[], 4, 1)</f>
        <v>251</v>
      </c>
      <c r="J71" s="486">
        <v>17</v>
      </c>
      <c r="K71" s="65">
        <f>SUBTOTAL( 9, K72:K80)</f>
        <v>224212</v>
      </c>
      <c r="L71" s="66">
        <f>SUBTOTAL( 9, L72:L80)</f>
        <v>550910</v>
      </c>
      <c r="N71" s="45"/>
      <c r="P71" s="187"/>
    </row>
    <row r="72" spans="2:16" ht="23.25" customHeight="1" x14ac:dyDescent="0.2">
      <c r="B72" s="15">
        <v>190</v>
      </c>
      <c r="C72" s="484" t="str">
        <f>VLOOKUP( $B72, T_Aop[], 5, 1)</f>
        <v>670, 570 neto prikaz</v>
      </c>
      <c r="D72" s="692" t="str">
        <f>VLOOKUP( $B72, T_Aop[], 6, 1)</f>
        <v xml:space="preserve">    1. Neto dobici po osnovu prodaje nematerijalnih sredstava, nekretnina, postrojenja i opreme</v>
      </c>
      <c r="E72" s="693"/>
      <c r="F72" s="693"/>
      <c r="G72" s="693"/>
      <c r="H72" s="694"/>
      <c r="I72" s="180">
        <f>VLOOKUP( $B72, T_Aop[], 4, 1)</f>
        <v>252</v>
      </c>
      <c r="J72" s="488"/>
      <c r="K72" s="488"/>
      <c r="L72" s="488"/>
      <c r="N72" s="45"/>
      <c r="P72" s="187"/>
    </row>
    <row r="73" spans="2:16" ht="23.25" customHeight="1" x14ac:dyDescent="0.2">
      <c r="B73" s="15">
        <v>191</v>
      </c>
      <c r="C73" s="485" t="str">
        <f>VLOOKUP( $B73, T_Aop[], 5, 1)</f>
        <v>671, 571 neto prikaz</v>
      </c>
      <c r="D73" s="695" t="str">
        <f>VLOOKUP( $B73, T_Aop[], 6, 1)</f>
        <v xml:space="preserve">    2. Neto dobici po osnovu prodaje investicionih nekretnina</v>
      </c>
      <c r="E73" s="696"/>
      <c r="F73" s="696"/>
      <c r="G73" s="696"/>
      <c r="H73" s="697"/>
      <c r="I73" s="181">
        <f>VLOOKUP( $B73, T_Aop[], 4, 1)</f>
        <v>253</v>
      </c>
      <c r="J73" s="486"/>
      <c r="K73" s="486"/>
      <c r="L73" s="486"/>
      <c r="N73" s="45"/>
      <c r="P73" s="187"/>
    </row>
    <row r="74" spans="2:16" ht="23.25" customHeight="1" x14ac:dyDescent="0.2">
      <c r="B74" s="15">
        <v>192</v>
      </c>
      <c r="C74" s="484" t="str">
        <f>VLOOKUP( $B74, T_Aop[], 5, 1)</f>
        <v>672, 572 neto prikaz</v>
      </c>
      <c r="D74" s="692" t="str">
        <f>VLOOKUP( $B74, T_Aop[], 6, 1)</f>
        <v xml:space="preserve">    3. Neto dobici po osnovu prodaje bioloških sredstava</v>
      </c>
      <c r="E74" s="693"/>
      <c r="F74" s="693"/>
      <c r="G74" s="693"/>
      <c r="H74" s="694"/>
      <c r="I74" s="180">
        <f>VLOOKUP( $B74, T_Aop[], 4, 1)</f>
        <v>254</v>
      </c>
      <c r="J74" s="488"/>
      <c r="K74" s="488"/>
      <c r="L74" s="488"/>
      <c r="N74" s="45"/>
      <c r="P74" s="187"/>
    </row>
    <row r="75" spans="2:16" ht="23.25" customHeight="1" x14ac:dyDescent="0.2">
      <c r="B75" s="15">
        <v>193</v>
      </c>
      <c r="C75" s="485" t="str">
        <f>VLOOKUP( $B75, T_Aop[], 5, 1)</f>
        <v>673, 573, neto prikaz</v>
      </c>
      <c r="D75" s="695" t="str">
        <f>VLOOKUP( $B75, T_Aop[], 6, 1)</f>
        <v xml:space="preserve">    4. Neto dobici po osnovu prodaje stalnih sredstava namijenjenih prodaji i sredstava poslovanja koje se obustavlja</v>
      </c>
      <c r="E75" s="696"/>
      <c r="F75" s="696"/>
      <c r="G75" s="696"/>
      <c r="H75" s="697"/>
      <c r="I75" s="181">
        <f>VLOOKUP( $B75, T_Aop[], 4, 1)</f>
        <v>255</v>
      </c>
      <c r="J75" s="486"/>
      <c r="K75" s="486"/>
      <c r="L75" s="486"/>
      <c r="N75" s="45"/>
      <c r="P75" s="187"/>
    </row>
    <row r="76" spans="2:16" ht="23.25" customHeight="1" x14ac:dyDescent="0.2">
      <c r="B76" s="15">
        <v>194</v>
      </c>
      <c r="C76" s="484" t="str">
        <f>VLOOKUP( $B76, T_Aop[], 5, 1)</f>
        <v>674, 574 neto prikaz</v>
      </c>
      <c r="D76" s="692" t="str">
        <f>VLOOKUP( $B76, T_Aop[], 6, 1)</f>
        <v xml:space="preserve">    5. Neto dobici po osnovu prodaje finansijskih sredstava i ulaganja u povezana lica</v>
      </c>
      <c r="E76" s="693"/>
      <c r="F76" s="693"/>
      <c r="G76" s="693"/>
      <c r="H76" s="694"/>
      <c r="I76" s="180">
        <f>VLOOKUP( $B76, T_Aop[], 4, 1)</f>
        <v>256</v>
      </c>
      <c r="J76" s="488"/>
      <c r="K76" s="488"/>
      <c r="L76" s="488"/>
      <c r="N76" s="45"/>
      <c r="P76" s="187"/>
    </row>
    <row r="77" spans="2:16" ht="23.25" customHeight="1" x14ac:dyDescent="0.2">
      <c r="B77" s="15">
        <v>195</v>
      </c>
      <c r="C77" s="485" t="str">
        <f>VLOOKUP( $B77, T_Aop[], 5, 1)</f>
        <v>675, 575 neto prikaz</v>
      </c>
      <c r="D77" s="695" t="str">
        <f>VLOOKUP( $B77, T_Aop[], 6, 1)</f>
        <v xml:space="preserve">    6. Neto dobici po osnovu prodaje materijala</v>
      </c>
      <c r="E77" s="696"/>
      <c r="F77" s="696"/>
      <c r="G77" s="696"/>
      <c r="H77" s="697"/>
      <c r="I77" s="181">
        <f>VLOOKUP( $B77, T_Aop[], 4, 1)</f>
        <v>257</v>
      </c>
      <c r="J77" s="486"/>
      <c r="K77" s="486"/>
      <c r="L77" s="486"/>
      <c r="N77" s="45"/>
      <c r="P77" s="187"/>
    </row>
    <row r="78" spans="2:16" ht="13.5" customHeight="1" x14ac:dyDescent="0.2">
      <c r="B78" s="15">
        <v>196</v>
      </c>
      <c r="C78" s="484" t="str">
        <f>VLOOKUP( $B78, T_Aop[], 5, 1)</f>
        <v>676</v>
      </c>
      <c r="D78" s="692" t="str">
        <f>VLOOKUP( $B78, T_Aop[], 6, 1)</f>
        <v xml:space="preserve">    7. Viškovi</v>
      </c>
      <c r="E78" s="693"/>
      <c r="F78" s="693"/>
      <c r="G78" s="693"/>
      <c r="H78" s="694"/>
      <c r="I78" s="180">
        <f>VLOOKUP( $B78, T_Aop[], 4, 1)</f>
        <v>258</v>
      </c>
      <c r="J78" s="488"/>
      <c r="K78" s="488">
        <v>764</v>
      </c>
      <c r="L78" s="488">
        <v>486</v>
      </c>
      <c r="N78" s="45"/>
      <c r="P78" s="188" t="s">
        <v>313</v>
      </c>
    </row>
    <row r="79" spans="2:16" ht="13.5" customHeight="1" x14ac:dyDescent="0.2">
      <c r="B79" s="15">
        <v>197</v>
      </c>
      <c r="C79" s="485" t="str">
        <f>VLOOKUP( $B79, T_Aop[], 5, 1)</f>
        <v>677, 679</v>
      </c>
      <c r="D79" s="695" t="str">
        <f>VLOOKUP( $B79, T_Aop[], 6, 1)</f>
        <v xml:space="preserve">    8. Ostali prihodi i dobici </v>
      </c>
      <c r="E79" s="696"/>
      <c r="F79" s="696"/>
      <c r="G79" s="696"/>
      <c r="H79" s="697"/>
      <c r="I79" s="181">
        <f>VLOOKUP( $B79, T_Aop[], 4, 1)</f>
        <v>259</v>
      </c>
      <c r="J79" s="486"/>
      <c r="K79" s="486">
        <v>223448</v>
      </c>
      <c r="L79" s="486">
        <v>550424</v>
      </c>
      <c r="N79" s="45"/>
      <c r="P79" s="188" t="s">
        <v>313</v>
      </c>
    </row>
    <row r="80" spans="2:16" ht="13.5" customHeight="1" x14ac:dyDescent="0.2">
      <c r="B80" s="15">
        <v>198</v>
      </c>
      <c r="C80" s="484" t="str">
        <f>VLOOKUP( $B80, T_Aop[], 5, 1)</f>
        <v>678, 577</v>
      </c>
      <c r="D80" s="692" t="str">
        <f>VLOOKUP( $B80, T_Aop[], 6, 1)</f>
        <v xml:space="preserve">    9.  Neto dobici od derivatnih finansijskih instrumenata </v>
      </c>
      <c r="E80" s="693"/>
      <c r="F80" s="693"/>
      <c r="G80" s="693"/>
      <c r="H80" s="694"/>
      <c r="I80" s="180">
        <f>VLOOKUP( $B80, T_Aop[], 4, 1)</f>
        <v>260</v>
      </c>
      <c r="J80" s="488"/>
      <c r="K80" s="488"/>
      <c r="L80" s="488"/>
      <c r="N80" s="45"/>
      <c r="P80" s="187"/>
    </row>
    <row r="81" spans="2:16" ht="15.75" customHeight="1" x14ac:dyDescent="0.2">
      <c r="B81" s="15">
        <v>199</v>
      </c>
      <c r="C81" s="485" t="str">
        <f>VLOOKUP( $B81, T_Aop[], 5, 1)</f>
        <v>57</v>
      </c>
      <c r="D81" s="701" t="str">
        <f>VLOOKUP( $B81, T_Aop[], 6, 1)</f>
        <v xml:space="preserve">  II  OSTALI RASHODI I GUBICI (262 do 270)</v>
      </c>
      <c r="E81" s="702"/>
      <c r="F81" s="702"/>
      <c r="G81" s="702"/>
      <c r="H81" s="703"/>
      <c r="I81" s="183">
        <f>VLOOKUP( $B81, T_Aop[], 4, 1)</f>
        <v>261</v>
      </c>
      <c r="J81" s="486">
        <v>18</v>
      </c>
      <c r="K81" s="65">
        <f>SUBTOTAL( 9, K82:K90)</f>
        <v>88088</v>
      </c>
      <c r="L81" s="66">
        <f>SUBTOTAL( 9, L82:L90)</f>
        <v>163126</v>
      </c>
      <c r="N81" s="45"/>
      <c r="P81" s="187"/>
    </row>
    <row r="82" spans="2:16" ht="22.5" customHeight="1" x14ac:dyDescent="0.2">
      <c r="B82" s="15">
        <v>200</v>
      </c>
      <c r="C82" s="484" t="str">
        <f>VLOOKUP( $B82, T_Aop[], 5, 1)</f>
        <v>570, 670 neto prikaz</v>
      </c>
      <c r="D82" s="692" t="str">
        <f>VLOOKUP( $B82, T_Aop[], 6, 1)</f>
        <v xml:space="preserve">    1. Neto gubici po osnovu otuđenja nematerijalnih sredstava, nekretnina, postrojenja i opreme</v>
      </c>
      <c r="E82" s="693"/>
      <c r="F82" s="693"/>
      <c r="G82" s="693"/>
      <c r="H82" s="694"/>
      <c r="I82" s="180">
        <f>VLOOKUP( $B82, T_Aop[], 4, 1)</f>
        <v>262</v>
      </c>
      <c r="J82" s="488"/>
      <c r="K82" s="488">
        <v>31661</v>
      </c>
      <c r="L82" s="488">
        <v>89380</v>
      </c>
      <c r="N82" s="45"/>
      <c r="P82" s="187"/>
    </row>
    <row r="83" spans="2:16" ht="22.5" customHeight="1" x14ac:dyDescent="0.2">
      <c r="B83" s="15">
        <v>201</v>
      </c>
      <c r="C83" s="485" t="str">
        <f>VLOOKUP( $B83, T_Aop[], 5, 1)</f>
        <v>571, 671 neto prikaz</v>
      </c>
      <c r="D83" s="695" t="str">
        <f>VLOOKUP( $B83, T_Aop[], 6, 1)</f>
        <v xml:space="preserve">    2. Neto gubici po osnovu otuđenja investicionih nekretnina</v>
      </c>
      <c r="E83" s="696"/>
      <c r="F83" s="696"/>
      <c r="G83" s="696"/>
      <c r="H83" s="697"/>
      <c r="I83" s="181">
        <f>VLOOKUP( $B83, T_Aop[], 4, 1)</f>
        <v>263</v>
      </c>
      <c r="J83" s="486"/>
      <c r="K83" s="486"/>
      <c r="L83" s="486"/>
      <c r="N83" s="45"/>
      <c r="P83" s="187"/>
    </row>
    <row r="84" spans="2:16" ht="22.5" customHeight="1" x14ac:dyDescent="0.2">
      <c r="B84" s="15">
        <v>202</v>
      </c>
      <c r="C84" s="484" t="str">
        <f>VLOOKUP( $B84, T_Aop[], 5, 1)</f>
        <v>572, 672 neto prikaz</v>
      </c>
      <c r="D84" s="692" t="str">
        <f>VLOOKUP( $B84, T_Aop[], 6, 1)</f>
        <v xml:space="preserve">    3. Neto gubici po osnovu otuđenja bioloških sredstava</v>
      </c>
      <c r="E84" s="693"/>
      <c r="F84" s="693"/>
      <c r="G84" s="693"/>
      <c r="H84" s="694"/>
      <c r="I84" s="180">
        <f>VLOOKUP( $B84, T_Aop[], 4, 1)</f>
        <v>264</v>
      </c>
      <c r="J84" s="488"/>
      <c r="K84" s="488"/>
      <c r="L84" s="488"/>
      <c r="N84" s="45"/>
      <c r="P84" s="187"/>
    </row>
    <row r="85" spans="2:16" ht="22.5" customHeight="1" x14ac:dyDescent="0.2">
      <c r="B85" s="15">
        <v>203</v>
      </c>
      <c r="C85" s="485" t="str">
        <f>VLOOKUP( $B85, T_Aop[], 5, 1)</f>
        <v>573, 673, neto prikaz</v>
      </c>
      <c r="D85" s="695" t="str">
        <f>VLOOKUP( $B85, T_Aop[], 6, 1)</f>
        <v xml:space="preserve">    4. Neto gubici po osnovu otuđenja stalnih sredstava namijenjenih prodaji i sredstava poslovanja koje se obustavlja</v>
      </c>
      <c r="E85" s="696"/>
      <c r="F85" s="696"/>
      <c r="G85" s="696"/>
      <c r="H85" s="697"/>
      <c r="I85" s="181">
        <f>VLOOKUP( $B85, T_Aop[], 4, 1)</f>
        <v>265</v>
      </c>
      <c r="J85" s="486"/>
      <c r="K85" s="486"/>
      <c r="L85" s="486"/>
      <c r="N85" s="45"/>
      <c r="P85" s="187"/>
    </row>
    <row r="86" spans="2:16" ht="22.5" customHeight="1" x14ac:dyDescent="0.2">
      <c r="B86" s="15">
        <v>204</v>
      </c>
      <c r="C86" s="484" t="str">
        <f>VLOOKUP( $B86, T_Aop[], 5, 1)</f>
        <v>574, 674 neto prikaz</v>
      </c>
      <c r="D86" s="692" t="str">
        <f>VLOOKUP( $B86, T_Aop[], 6, 1)</f>
        <v xml:space="preserve">    5. Neto gubici od otuđenja finansijskih sredstava i ulaganja u povezana lica</v>
      </c>
      <c r="E86" s="693"/>
      <c r="F86" s="693"/>
      <c r="G86" s="693"/>
      <c r="H86" s="694"/>
      <c r="I86" s="180">
        <f>VLOOKUP( $B86, T_Aop[], 4, 1)</f>
        <v>266</v>
      </c>
      <c r="J86" s="488"/>
      <c r="K86" s="488"/>
      <c r="L86" s="488"/>
      <c r="N86" s="45"/>
      <c r="P86" s="187"/>
    </row>
    <row r="87" spans="2:16" ht="22.5" customHeight="1" x14ac:dyDescent="0.2">
      <c r="B87" s="15">
        <v>205</v>
      </c>
      <c r="C87" s="485" t="str">
        <f>VLOOKUP( $B87, T_Aop[], 5, 1)</f>
        <v xml:space="preserve">575, 675 neto prikaz </v>
      </c>
      <c r="D87" s="695" t="str">
        <f>VLOOKUP( $B87, T_Aop[], 6, 1)</f>
        <v xml:space="preserve">    6. Neto gubici po osnovu prodaje materijala</v>
      </c>
      <c r="E87" s="696"/>
      <c r="F87" s="696"/>
      <c r="G87" s="696"/>
      <c r="H87" s="697"/>
      <c r="I87" s="181">
        <f>VLOOKUP( $B87, T_Aop[], 4, 1)</f>
        <v>267</v>
      </c>
      <c r="J87" s="486"/>
      <c r="K87" s="486"/>
      <c r="L87" s="486"/>
      <c r="N87" s="45"/>
      <c r="P87" s="187"/>
    </row>
    <row r="88" spans="2:16" ht="22.5" customHeight="1" x14ac:dyDescent="0.2">
      <c r="B88" s="15">
        <v>206</v>
      </c>
      <c r="C88" s="484" t="str">
        <f>VLOOKUP( $B88, T_Aop[], 5, 1)</f>
        <v>576</v>
      </c>
      <c r="D88" s="692" t="str">
        <f>VLOOKUP( $B88, T_Aop[], 6, 1)</f>
        <v xml:space="preserve">    7.  Manjkovi</v>
      </c>
      <c r="E88" s="693"/>
      <c r="F88" s="693"/>
      <c r="G88" s="693"/>
      <c r="H88" s="694"/>
      <c r="I88" s="180">
        <f>VLOOKUP( $B88, T_Aop[], 4, 1)</f>
        <v>268</v>
      </c>
      <c r="J88" s="488"/>
      <c r="K88" s="488">
        <v>13</v>
      </c>
      <c r="L88" s="488"/>
      <c r="N88" s="45"/>
      <c r="P88" s="188" t="s">
        <v>313</v>
      </c>
    </row>
    <row r="89" spans="2:16" ht="22.5" customHeight="1" x14ac:dyDescent="0.2">
      <c r="B89" s="15">
        <v>207</v>
      </c>
      <c r="C89" s="485" t="str">
        <f>VLOOKUP( $B89, T_Aop[], 5, 1)</f>
        <v>577, 678 neto prikaz</v>
      </c>
      <c r="D89" s="695" t="str">
        <f>VLOOKUP( $B89, T_Aop[], 6, 1)</f>
        <v xml:space="preserve">    8. Neto gubici od derivatnih finansijskih instrumenata</v>
      </c>
      <c r="E89" s="696"/>
      <c r="F89" s="696"/>
      <c r="G89" s="696"/>
      <c r="H89" s="697"/>
      <c r="I89" s="181">
        <f>VLOOKUP( $B89, T_Aop[], 4, 1)</f>
        <v>269</v>
      </c>
      <c r="J89" s="486"/>
      <c r="K89" s="486"/>
      <c r="L89" s="486"/>
      <c r="N89" s="45"/>
      <c r="P89" s="187"/>
    </row>
    <row r="90" spans="2:16" ht="14.25" customHeight="1" x14ac:dyDescent="0.2">
      <c r="B90" s="15">
        <v>208</v>
      </c>
      <c r="C90" s="484" t="str">
        <f>VLOOKUP( $B90, T_Aop[], 5, 1)</f>
        <v>578, 579</v>
      </c>
      <c r="D90" s="692" t="str">
        <f>VLOOKUP( $B90, T_Aop[], 6, 1)</f>
        <v xml:space="preserve">    9. Ostali rashodi i gubici</v>
      </c>
      <c r="E90" s="693"/>
      <c r="F90" s="693"/>
      <c r="G90" s="693"/>
      <c r="H90" s="694"/>
      <c r="I90" s="180">
        <f>VLOOKUP( $B90, T_Aop[], 4, 1)</f>
        <v>270</v>
      </c>
      <c r="J90" s="488"/>
      <c r="K90" s="488">
        <v>56414</v>
      </c>
      <c r="L90" s="488">
        <v>73746</v>
      </c>
      <c r="N90" s="45"/>
      <c r="P90" s="187"/>
    </row>
    <row r="91" spans="2:16" ht="12.75" customHeight="1" x14ac:dyDescent="0.2">
      <c r="B91" s="15">
        <v>209</v>
      </c>
      <c r="C91" s="494">
        <f>VLOOKUP( $B91, T_Aop[], 5, 1)</f>
        <v>0</v>
      </c>
      <c r="D91" s="701" t="str">
        <f>VLOOKUP( $B91, T_Aop[], 6, 1)</f>
        <v xml:space="preserve">  Ž. DOBITAK PO OSNOVU OSTALIH PRIHODA I RASHODA (251 – 261)</v>
      </c>
      <c r="E91" s="702"/>
      <c r="F91" s="702"/>
      <c r="G91" s="702"/>
      <c r="H91" s="703"/>
      <c r="I91" s="183">
        <f>VLOOKUP( $B91, T_Aop[], 4, 1)</f>
        <v>271</v>
      </c>
      <c r="J91" s="486"/>
      <c r="K91" s="68">
        <f>IF( SUBTOTAL( 9, K71:K80) - SUBTOTAL( 9, K81:K90) &lt;= 0, 0, ABS( SUBTOTAL( 9, K71:K80) - SUBTOTAL( 9, K81:K90)) )</f>
        <v>136124</v>
      </c>
      <c r="L91" s="515">
        <f>IF( SUBTOTAL( 9, L71:L80) - SUBTOTAL( 9, L81:L90) &lt;= 0, 0, ABS( SUBTOTAL( 9, L71:L80) - SUBTOTAL( 9, L81:L90)) )</f>
        <v>387784</v>
      </c>
      <c r="N91" s="45"/>
      <c r="P91" s="187"/>
    </row>
    <row r="92" spans="2:16" x14ac:dyDescent="0.2">
      <c r="B92" s="15">
        <v>210</v>
      </c>
      <c r="C92" s="495">
        <f>VLOOKUP( $B92, T_Aop[], 5, 1)</f>
        <v>0</v>
      </c>
      <c r="D92" s="698" t="str">
        <f>VLOOKUP( $B92, T_Aop[], 6, 1)</f>
        <v xml:space="preserve">  Z. GUBITAK PO OSNOVU OSTALIH PRIHODA I RASHODA (261 – 251)</v>
      </c>
      <c r="E92" s="699"/>
      <c r="F92" s="699"/>
      <c r="G92" s="699"/>
      <c r="H92" s="700"/>
      <c r="I92" s="182">
        <f>VLOOKUP( $B92, T_Aop[], 4, 1)</f>
        <v>272</v>
      </c>
      <c r="J92" s="488"/>
      <c r="K92" s="272">
        <f>IF( SUBTOTAL( 9, K71:K80) - SUBTOTAL( 9, K81:K90) &gt;= 0, 0, ABS( SUBTOTAL( 9, K71:K80) - SUBTOTAL( 9, K81:K90)) )</f>
        <v>0</v>
      </c>
      <c r="L92" s="516">
        <f>IF( SUBTOTAL( 9, L71:L80) - SUBTOTAL( 9, L81:L90) &gt;= 0, 0, ABS( SUBTOTAL( 9, L71:L80) - SUBTOTAL( 9, L81:L90)) )</f>
        <v>0</v>
      </c>
      <c r="N92" s="45"/>
      <c r="P92" s="187"/>
    </row>
    <row r="93" spans="2:16" ht="23.25" customHeight="1" x14ac:dyDescent="0.2">
      <c r="B93" s="15">
        <v>211</v>
      </c>
      <c r="C93" s="494" t="str">
        <f>VLOOKUP( $B93, T_Aop[], 5, 1)</f>
        <v>68</v>
      </c>
      <c r="D93" s="701" t="str">
        <f>VLOOKUP( $B93, T_Aop[], 6, 1)</f>
        <v xml:space="preserve">  I. PRIHODI I RASHODI OD USKLAĐIVANJA VRIJEDNOSTI IMOVINE 
I   PRIHODI OD USKLAĐIVANJA VRIJEDNOSTI IMOVINE (274 + 281)</v>
      </c>
      <c r="E93" s="702"/>
      <c r="F93" s="702"/>
      <c r="G93" s="702"/>
      <c r="H93" s="703"/>
      <c r="I93" s="183">
        <f>VLOOKUP( $B93, T_Aop[], 4, 1)</f>
        <v>273</v>
      </c>
      <c r="J93" s="486"/>
      <c r="K93" s="68">
        <f>SUBTOTAL( 9, K94:K105)</f>
        <v>0</v>
      </c>
      <c r="L93" s="515">
        <f>SUBTOTAL( 9, L94:L105)</f>
        <v>1335977</v>
      </c>
      <c r="N93" s="45"/>
      <c r="P93" s="187"/>
    </row>
    <row r="94" spans="2:16" ht="13.5" customHeight="1" x14ac:dyDescent="0.2">
      <c r="B94" s="15">
        <v>212</v>
      </c>
      <c r="C94" s="484" t="str">
        <f>VLOOKUP( $B94, T_Aop[], 5, 1)</f>
        <v>dio 68</v>
      </c>
      <c r="D94" s="692" t="str">
        <f>VLOOKUP( $B94, T_Aop[], 6, 1)</f>
        <v xml:space="preserve">    1. Neto dobici od usklađivanja imovine (osim finansijske)  (275 do 280)</v>
      </c>
      <c r="E94" s="693"/>
      <c r="F94" s="693"/>
      <c r="G94" s="693"/>
      <c r="H94" s="694"/>
      <c r="I94" s="180">
        <f>VLOOKUP( $B94, T_Aop[], 4, 1)</f>
        <v>274</v>
      </c>
      <c r="J94" s="488"/>
      <c r="K94" s="155">
        <f>SUBTOTAL( 9, K95:K100)</f>
        <v>0</v>
      </c>
      <c r="L94" s="525">
        <f>SUBTOTAL( 9, L95:L100)</f>
        <v>1335977</v>
      </c>
      <c r="N94" s="45"/>
      <c r="P94" s="187"/>
    </row>
    <row r="95" spans="2:16" s="468" customFormat="1" ht="22.5" customHeight="1" x14ac:dyDescent="0.2">
      <c r="B95" s="467">
        <v>213</v>
      </c>
      <c r="C95" s="485" t="str">
        <f>VLOOKUP( $B95, T_Aop[], 5, 1)</f>
        <v>680, 580 neto prikaz</v>
      </c>
      <c r="D95" s="695" t="str">
        <f>VLOOKUP( $B95, T_Aop[], 6, 1)</f>
        <v xml:space="preserve">      1.1. Neto dobici od umanjenja ranije priznatih gubitaka usljed obezvređenja nematerijalnih sredstava</v>
      </c>
      <c r="E95" s="696"/>
      <c r="F95" s="696"/>
      <c r="G95" s="696"/>
      <c r="H95" s="697"/>
      <c r="I95" s="181">
        <f>VLOOKUP( $B95, T_Aop[], 4, 1)</f>
        <v>275</v>
      </c>
      <c r="J95" s="486"/>
      <c r="K95" s="486"/>
      <c r="L95" s="487">
        <v>10442</v>
      </c>
      <c r="N95" s="469"/>
      <c r="P95" s="470"/>
    </row>
    <row r="96" spans="2:16" s="468" customFormat="1" ht="22.5" customHeight="1" x14ac:dyDescent="0.2">
      <c r="B96" s="467">
        <v>214</v>
      </c>
      <c r="C96" s="484" t="str">
        <f>VLOOKUP( $B96, T_Aop[], 5, 1)</f>
        <v>681, 581 neto prikaz</v>
      </c>
      <c r="D96" s="692" t="str">
        <f>VLOOKUP( $B96, T_Aop[], 6, 1)</f>
        <v xml:space="preserve">      1.2. Neto dobici od umanjenja ranije priznatih gubitaka usljed obezvređenja nekretnina, postrojenja i opreme</v>
      </c>
      <c r="E96" s="693"/>
      <c r="F96" s="693"/>
      <c r="G96" s="693"/>
      <c r="H96" s="694"/>
      <c r="I96" s="180">
        <f>VLOOKUP( $B96, T_Aop[], 4, 1)</f>
        <v>276</v>
      </c>
      <c r="J96" s="488"/>
      <c r="K96" s="488"/>
      <c r="L96" s="489">
        <v>1295711</v>
      </c>
      <c r="N96" s="469"/>
      <c r="P96" s="470"/>
    </row>
    <row r="97" spans="2:16" s="468" customFormat="1" ht="22.5" customHeight="1" x14ac:dyDescent="0.2">
      <c r="B97" s="467">
        <v>215</v>
      </c>
      <c r="C97" s="485" t="str">
        <f>VLOOKUP( $B97, T_Aop[], 5, 1)</f>
        <v>682, 582 neto prikaz</v>
      </c>
      <c r="D97" s="695" t="str">
        <f>VLOOKUP( $B97, T_Aop[], 6, 1)</f>
        <v xml:space="preserve">      1.3.  Neto dobici od umanjenja ranije priznatih gubitaka usljed obezvređenja investicionih nekretnina koje se vrednuju po nabavnoj vrijednosti</v>
      </c>
      <c r="E97" s="696"/>
      <c r="F97" s="696"/>
      <c r="G97" s="696"/>
      <c r="H97" s="697"/>
      <c r="I97" s="181">
        <f>VLOOKUP( $B97, T_Aop[], 4, 1)</f>
        <v>277</v>
      </c>
      <c r="J97" s="486"/>
      <c r="K97" s="486"/>
      <c r="L97" s="487"/>
      <c r="N97" s="469"/>
      <c r="P97" s="470"/>
    </row>
    <row r="98" spans="2:16" ht="22.5" customHeight="1" x14ac:dyDescent="0.2">
      <c r="B98" s="15">
        <v>216</v>
      </c>
      <c r="C98" s="484" t="str">
        <f>VLOOKUP( $B98, T_Aop[], 5, 1)</f>
        <v>683, 583 neto prikaz</v>
      </c>
      <c r="D98" s="692" t="str">
        <f>VLOOKUP( $B98, T_Aop[], 6, 1)</f>
        <v xml:space="preserve">      1.4.  Neto dobici od umanjenja ranije priznatih gubitaka usljed obezvređenja bioloških sredstva koja se vrednuju po nabavnoj vrijednosti</v>
      </c>
      <c r="E98" s="693"/>
      <c r="F98" s="693"/>
      <c r="G98" s="693"/>
      <c r="H98" s="694"/>
      <c r="I98" s="180">
        <f>VLOOKUP( $B98, T_Aop[], 4, 1)</f>
        <v>278</v>
      </c>
      <c r="J98" s="488"/>
      <c r="K98" s="488"/>
      <c r="L98" s="489"/>
      <c r="N98" s="45"/>
      <c r="P98" s="187"/>
    </row>
    <row r="99" spans="2:16" ht="22.5" customHeight="1" x14ac:dyDescent="0.2">
      <c r="B99" s="15">
        <v>217</v>
      </c>
      <c r="C99" s="485" t="str">
        <f>VLOOKUP( $B99, T_Aop[], 5, 1)</f>
        <v>685, 585 neto prikaz</v>
      </c>
      <c r="D99" s="695" t="str">
        <f>VLOOKUP( $B99, T_Aop[], 6, 1)</f>
        <v xml:space="preserve">      1.5.  Neto dobici od usklađivanja vrijednosti zaliha materijala i robe </v>
      </c>
      <c r="E99" s="696"/>
      <c r="F99" s="696"/>
      <c r="G99" s="696"/>
      <c r="H99" s="697"/>
      <c r="I99" s="181">
        <f>VLOOKUP( $B99, T_Aop[], 4, 1)</f>
        <v>279</v>
      </c>
      <c r="J99" s="486"/>
      <c r="K99" s="486"/>
      <c r="L99" s="487">
        <v>29824</v>
      </c>
      <c r="N99" s="45"/>
      <c r="P99" s="188" t="s">
        <v>313</v>
      </c>
    </row>
    <row r="100" spans="2:16" ht="22.5" customHeight="1" x14ac:dyDescent="0.2">
      <c r="B100" s="15">
        <v>218</v>
      </c>
      <c r="C100" s="484" t="str">
        <f>VLOOKUP( $B100, T_Aop[], 5, 1)</f>
        <v>688, dio 689, 588, dio 589neto prikaz</v>
      </c>
      <c r="D100" s="692" t="str">
        <f>VLOOKUP( $B100, T_Aop[], 6, 1)</f>
        <v xml:space="preserve">      1.6.  Neto dobici od usklađivanja vrijednost stalnih sredstava namijenjenih prodaji, sredstava poslovanja koje se obustavlja i ostalih nefinansijskih sredstava</v>
      </c>
      <c r="E100" s="693"/>
      <c r="F100" s="693"/>
      <c r="G100" s="693"/>
      <c r="H100" s="694"/>
      <c r="I100" s="180">
        <f>VLOOKUP( $B100, T_Aop[], 4, 1)</f>
        <v>280</v>
      </c>
      <c r="J100" s="488"/>
      <c r="K100" s="488"/>
      <c r="L100" s="489"/>
      <c r="N100" s="45"/>
      <c r="P100" s="187"/>
    </row>
    <row r="101" spans="2:16" ht="13.5" customHeight="1" x14ac:dyDescent="0.2">
      <c r="B101" s="15">
        <v>219</v>
      </c>
      <c r="C101" s="485" t="str">
        <f>VLOOKUP( $B101, T_Aop[], 5, 1)</f>
        <v>dio 68</v>
      </c>
      <c r="D101" s="695" t="str">
        <f>VLOOKUP( $B101, T_Aop[], 6, 1)</f>
        <v xml:space="preserve">    2. Neto dobici od usklađivanja vrijednosti finansijskih sredstava (282 do 285)</v>
      </c>
      <c r="E101" s="696"/>
      <c r="F101" s="696"/>
      <c r="G101" s="696"/>
      <c r="H101" s="697"/>
      <c r="I101" s="181">
        <f>VLOOKUP( $B101, T_Aop[], 4, 1)</f>
        <v>281</v>
      </c>
      <c r="J101" s="486"/>
      <c r="K101" s="492">
        <f>SUBTOTAL( 9, K102:K105)</f>
        <v>0</v>
      </c>
      <c r="L101" s="526"/>
      <c r="N101" s="45"/>
      <c r="P101" s="187"/>
    </row>
    <row r="102" spans="2:16" ht="22.5" customHeight="1" x14ac:dyDescent="0.2">
      <c r="B102" s="15">
        <v>220</v>
      </c>
      <c r="C102" s="484" t="str">
        <f>VLOOKUP( $B102, T_Aop[], 5, 1)</f>
        <v>684, 584 neto prikaz</v>
      </c>
      <c r="D102" s="692" t="str">
        <f>VLOOKUP( $B102, T_Aop[], 6, 1)</f>
        <v xml:space="preserve">      2.1  Neto dobici od usklađivanja vrijednosti dugoročnih finansijskih sredstava </v>
      </c>
      <c r="E102" s="693"/>
      <c r="F102" s="693"/>
      <c r="G102" s="693"/>
      <c r="H102" s="694"/>
      <c r="I102" s="180">
        <f>VLOOKUP( $B102, T_Aop[], 4, 1)</f>
        <v>282</v>
      </c>
      <c r="J102" s="488"/>
      <c r="K102" s="488"/>
      <c r="L102" s="489"/>
      <c r="N102" s="45"/>
      <c r="P102" s="187"/>
    </row>
    <row r="103" spans="2:16" ht="22.5" customHeight="1" x14ac:dyDescent="0.2">
      <c r="B103" s="15">
        <v>221</v>
      </c>
      <c r="C103" s="485" t="str">
        <f>VLOOKUP( $B103, T_Aop[], 5, 1)</f>
        <v>686, 585 neto prikaz</v>
      </c>
      <c r="D103" s="695" t="str">
        <f>VLOOKUP( $B103, T_Aop[], 6, 1)</f>
        <v xml:space="preserve">      2.2  Neto dobici od usklađivanja vrijednosti kratkoročnih finansijskih sredstava (osim potraživanja od kupaca)</v>
      </c>
      <c r="E103" s="696"/>
      <c r="F103" s="696"/>
      <c r="G103" s="696"/>
      <c r="H103" s="697"/>
      <c r="I103" s="181">
        <f>VLOOKUP( $B103, T_Aop[], 4, 1)</f>
        <v>283</v>
      </c>
      <c r="J103" s="486"/>
      <c r="K103" s="486"/>
      <c r="L103" s="487"/>
      <c r="N103" s="45"/>
      <c r="P103" s="187"/>
    </row>
    <row r="104" spans="2:16" ht="22.5" customHeight="1" x14ac:dyDescent="0.2">
      <c r="B104" s="15">
        <v>222</v>
      </c>
      <c r="C104" s="484" t="str">
        <f>VLOOKUP( $B104, T_Aop[], 5, 1)</f>
        <v>687, 587 neto prikaz</v>
      </c>
      <c r="D104" s="692" t="str">
        <f>VLOOKUP( $B104, T_Aop[], 6, 1)</f>
        <v xml:space="preserve">      2.3  Neto dobici od umanjenja ranije priznatih kreditnih gubitaka usljed obezvređenja potraživanja od kupaca </v>
      </c>
      <c r="E104" s="693"/>
      <c r="F104" s="693"/>
      <c r="G104" s="693"/>
      <c r="H104" s="694"/>
      <c r="I104" s="180">
        <f>VLOOKUP( $B104, T_Aop[], 4, 1)</f>
        <v>284</v>
      </c>
      <c r="J104" s="488"/>
      <c r="K104" s="488"/>
      <c r="L104" s="488"/>
      <c r="N104" s="45"/>
      <c r="P104" s="187"/>
    </row>
    <row r="105" spans="2:16" ht="21" customHeight="1" x14ac:dyDescent="0.2">
      <c r="B105" s="15">
        <v>223</v>
      </c>
      <c r="C105" s="485" t="str">
        <f>VLOOKUP( $B105, T_Aop[], 5, 1)</f>
        <v>dio 689, dio 589neto prikaz</v>
      </c>
      <c r="D105" s="695" t="str">
        <f>VLOOKUP( $B105, T_Aop[], 6, 1)</f>
        <v xml:space="preserve">      2.4  Neto dobici od usklađivanja vrijednosti ostalih finansijskih sredstava</v>
      </c>
      <c r="E105" s="696"/>
      <c r="F105" s="696"/>
      <c r="G105" s="696"/>
      <c r="H105" s="697"/>
      <c r="I105" s="181">
        <f>VLOOKUP( $B105, T_Aop[], 4, 1)</f>
        <v>285</v>
      </c>
      <c r="J105" s="486"/>
      <c r="K105" s="486"/>
      <c r="L105" s="487"/>
      <c r="N105" s="45"/>
      <c r="P105" s="187"/>
    </row>
    <row r="106" spans="2:16" ht="15" customHeight="1" x14ac:dyDescent="0.2">
      <c r="B106" s="15">
        <v>224</v>
      </c>
      <c r="C106" s="495" t="str">
        <f>VLOOKUP( $B106, T_Aop[], 5, 1)</f>
        <v>58</v>
      </c>
      <c r="D106" s="698" t="str">
        <f>VLOOKUP( $B106, T_Aop[], 6, 1)</f>
        <v xml:space="preserve">  II  RASHODI OD USKLAĐIVANJA VRIJEDNOSTI IMOVINE (287 + 294)</v>
      </c>
      <c r="E106" s="699"/>
      <c r="F106" s="699"/>
      <c r="G106" s="699"/>
      <c r="H106" s="700"/>
      <c r="I106" s="182">
        <f>VLOOKUP( $B106, T_Aop[], 4, 1)</f>
        <v>286</v>
      </c>
      <c r="J106" s="488"/>
      <c r="K106" s="61">
        <f>SUBTOTAL( 9, K107:K118)</f>
        <v>168816</v>
      </c>
      <c r="L106" s="62">
        <f>SUBTOTAL( 9, L107:L118)</f>
        <v>1455033</v>
      </c>
      <c r="N106" s="45"/>
      <c r="P106" s="187"/>
    </row>
    <row r="107" spans="2:16" ht="13.5" customHeight="1" x14ac:dyDescent="0.2">
      <c r="B107" s="15">
        <v>225</v>
      </c>
      <c r="C107" s="485">
        <f>VLOOKUP( $B107, T_Aop[], 5, 1)</f>
        <v>0</v>
      </c>
      <c r="D107" s="695" t="str">
        <f>VLOOKUP( $B107, T_Aop[], 6, 1)</f>
        <v xml:space="preserve">    1.  Rashodi od usklađivanja vrijednosti imovine (osim finansijske) (288 do 293)</v>
      </c>
      <c r="E107" s="696"/>
      <c r="F107" s="696"/>
      <c r="G107" s="696"/>
      <c r="H107" s="697"/>
      <c r="I107" s="181">
        <f>VLOOKUP( $B107, T_Aop[], 4, 1)</f>
        <v>287</v>
      </c>
      <c r="J107" s="486"/>
      <c r="K107" s="492">
        <f>SUBTOTAL( 9, K108:K113)</f>
        <v>76927</v>
      </c>
      <c r="L107" s="493">
        <f>SUBTOTAL( 9, L108:L113)</f>
        <v>1313317</v>
      </c>
      <c r="N107" s="45"/>
      <c r="P107" s="187"/>
    </row>
    <row r="108" spans="2:16" ht="22.5" customHeight="1" x14ac:dyDescent="0.2">
      <c r="B108" s="15">
        <v>226</v>
      </c>
      <c r="C108" s="484" t="str">
        <f>VLOOKUP( $B108, T_Aop[], 5, 1)</f>
        <v>580, 680</v>
      </c>
      <c r="D108" s="692" t="str">
        <f>VLOOKUP( $B108, T_Aop[], 6, 1)</f>
        <v xml:space="preserve">      1.1. Neto gubici po osnovu obezvređenja nematerijalnih sredstava</v>
      </c>
      <c r="E108" s="693"/>
      <c r="F108" s="693"/>
      <c r="G108" s="693"/>
      <c r="H108" s="694"/>
      <c r="I108" s="180">
        <f>VLOOKUP( $B108, T_Aop[], 4, 1)</f>
        <v>288</v>
      </c>
      <c r="J108" s="488"/>
      <c r="K108" s="488"/>
      <c r="L108" s="489">
        <v>797207</v>
      </c>
      <c r="N108" s="45"/>
      <c r="P108" s="187"/>
    </row>
    <row r="109" spans="2:16" ht="22.5" customHeight="1" x14ac:dyDescent="0.2">
      <c r="B109" s="15">
        <v>227</v>
      </c>
      <c r="C109" s="485" t="str">
        <f>VLOOKUP( $B109, T_Aop[], 5, 1)</f>
        <v>581, 681 neto prikaz</v>
      </c>
      <c r="D109" s="695" t="str">
        <f>VLOOKUP( $B109, T_Aop[], 6, 1)</f>
        <v xml:space="preserve">      1.2. Neto gubici po osnovu obezvređenja nekretnina, postrojenja i opreme</v>
      </c>
      <c r="E109" s="696"/>
      <c r="F109" s="696"/>
      <c r="G109" s="696"/>
      <c r="H109" s="697"/>
      <c r="I109" s="181">
        <f>VLOOKUP( $B109, T_Aop[], 4, 1)</f>
        <v>289</v>
      </c>
      <c r="J109" s="486"/>
      <c r="K109" s="486"/>
      <c r="L109" s="487">
        <v>516110</v>
      </c>
      <c r="N109" s="45"/>
      <c r="P109" s="187"/>
    </row>
    <row r="110" spans="2:16" ht="22.5" customHeight="1" x14ac:dyDescent="0.2">
      <c r="B110" s="15">
        <v>228</v>
      </c>
      <c r="C110" s="484" t="str">
        <f>VLOOKUP( $B110, T_Aop[], 5, 1)</f>
        <v>582, 682</v>
      </c>
      <c r="D110" s="692" t="str">
        <f>VLOOKUP( $B110, T_Aop[], 6, 1)</f>
        <v xml:space="preserve">      1.3. Neto gubici po osnovu obezvređenja investicionih nekretnina koje se vrednuju po nabavnoj vrijednosti</v>
      </c>
      <c r="E110" s="693"/>
      <c r="F110" s="693"/>
      <c r="G110" s="693"/>
      <c r="H110" s="694"/>
      <c r="I110" s="180">
        <f>VLOOKUP( $B110, T_Aop[], 4, 1)</f>
        <v>290</v>
      </c>
      <c r="J110" s="488"/>
      <c r="K110" s="488"/>
      <c r="L110" s="489"/>
      <c r="N110" s="45"/>
      <c r="P110" s="187"/>
    </row>
    <row r="111" spans="2:16" ht="22.5" customHeight="1" x14ac:dyDescent="0.2">
      <c r="B111" s="15">
        <v>229</v>
      </c>
      <c r="C111" s="485" t="str">
        <f>VLOOKUP( $B111, T_Aop[], 5, 1)</f>
        <v>583, 683</v>
      </c>
      <c r="D111" s="695" t="str">
        <f>VLOOKUP( $B111, T_Aop[], 6, 1)</f>
        <v xml:space="preserve">      1.4. Neto gubici po osnovu obezvređenja bioloških sredstva koje se vrednuju po nabavnoj vrijednosti</v>
      </c>
      <c r="E111" s="696"/>
      <c r="F111" s="696"/>
      <c r="G111" s="696"/>
      <c r="H111" s="697"/>
      <c r="I111" s="181">
        <f>VLOOKUP( $B111, T_Aop[], 4, 1)</f>
        <v>291</v>
      </c>
      <c r="J111" s="486"/>
      <c r="K111" s="486"/>
      <c r="L111" s="487"/>
      <c r="N111" s="45"/>
      <c r="P111" s="187"/>
    </row>
    <row r="112" spans="2:16" ht="22.5" customHeight="1" x14ac:dyDescent="0.2">
      <c r="B112" s="15">
        <v>230</v>
      </c>
      <c r="C112" s="484" t="str">
        <f>VLOOKUP( $B112, T_Aop[], 5, 1)</f>
        <v>585, 685 neto prikaz</v>
      </c>
      <c r="D112" s="692" t="str">
        <f>VLOOKUP( $B112, T_Aop[], 6, 1)</f>
        <v xml:space="preserve">      1.5. Neto gubici od usklađivanja vrijednosti zaliha materijala i robe </v>
      </c>
      <c r="E112" s="693"/>
      <c r="F112" s="693"/>
      <c r="G112" s="693"/>
      <c r="H112" s="694"/>
      <c r="I112" s="180">
        <f>VLOOKUP( $B112, T_Aop[], 4, 1)</f>
        <v>292</v>
      </c>
      <c r="J112" s="488"/>
      <c r="K112" s="488">
        <v>76927</v>
      </c>
      <c r="L112" s="488"/>
      <c r="N112" s="45"/>
      <c r="P112" s="187"/>
    </row>
    <row r="113" spans="2:16" ht="22.5" customHeight="1" x14ac:dyDescent="0.2">
      <c r="B113" s="15">
        <v>231</v>
      </c>
      <c r="C113" s="485" t="str">
        <f>VLOOKUP( $B113, T_Aop[], 5, 1)</f>
        <v>588, dio 589, 688, dio 689</v>
      </c>
      <c r="D113" s="695" t="str">
        <f>VLOOKUP( $B113, T_Aop[], 6, 1)</f>
        <v xml:space="preserve">      1.6. Neto gubici od usklađivanja vrijednosti stalnih sredstava namijenjenih prodaji, sredstava poslovanja koje se obustavlja i ostalih nefinansijskih sredstava</v>
      </c>
      <c r="E113" s="696"/>
      <c r="F113" s="696"/>
      <c r="G113" s="696"/>
      <c r="H113" s="697"/>
      <c r="I113" s="181">
        <f>VLOOKUP( $B113, T_Aop[], 4, 1)</f>
        <v>293</v>
      </c>
      <c r="J113" s="486"/>
      <c r="K113" s="486"/>
      <c r="L113" s="487"/>
      <c r="N113" s="45"/>
      <c r="P113" s="187"/>
    </row>
    <row r="114" spans="2:16" ht="22.5" customHeight="1" x14ac:dyDescent="0.2">
      <c r="B114" s="15">
        <v>232</v>
      </c>
      <c r="C114" s="484">
        <f>VLOOKUP( $B114, T_Aop[], 5, 1)</f>
        <v>0</v>
      </c>
      <c r="D114" s="692" t="str">
        <f>VLOOKUP( $B114, T_Aop[], 6, 1)</f>
        <v xml:space="preserve">    2.  Gubici od usklađivanja vrijednosti finansijskih sredstava (295 do 298)</v>
      </c>
      <c r="E114" s="693"/>
      <c r="F114" s="693"/>
      <c r="G114" s="693"/>
      <c r="H114" s="694"/>
      <c r="I114" s="180">
        <f>VLOOKUP( $B114, T_Aop[], 4, 1)</f>
        <v>294</v>
      </c>
      <c r="J114" s="488"/>
      <c r="K114" s="490">
        <f>SUBTOTAL( 9, K115:K118)</f>
        <v>91889</v>
      </c>
      <c r="L114" s="491">
        <f>SUBTOTAL( 9, L115:L118)</f>
        <v>141716</v>
      </c>
      <c r="N114" s="45"/>
      <c r="P114" s="187"/>
    </row>
    <row r="115" spans="2:16" ht="22.5" customHeight="1" x14ac:dyDescent="0.2">
      <c r="B115" s="15">
        <v>233</v>
      </c>
      <c r="C115" s="485" t="str">
        <f>VLOOKUP( $B115, T_Aop[], 5, 1)</f>
        <v>584, 684</v>
      </c>
      <c r="D115" s="695" t="str">
        <f>VLOOKUP( $B115, T_Aop[], 6, 1)</f>
        <v xml:space="preserve">      2.1 Neto gubici od usklađivanja vrijednosti dugoročnih finansijskih sredstava</v>
      </c>
      <c r="E115" s="696"/>
      <c r="F115" s="696"/>
      <c r="G115" s="696"/>
      <c r="H115" s="697"/>
      <c r="I115" s="181">
        <f>VLOOKUP( $B115, T_Aop[], 4, 1)</f>
        <v>295</v>
      </c>
      <c r="J115" s="486"/>
      <c r="K115" s="486"/>
      <c r="L115" s="487"/>
      <c r="N115" s="45"/>
      <c r="P115" s="187"/>
    </row>
    <row r="116" spans="2:16" ht="22.5" customHeight="1" x14ac:dyDescent="0.2">
      <c r="B116" s="15">
        <v>234</v>
      </c>
      <c r="C116" s="484" t="str">
        <f>VLOOKUP( $B116, T_Aop[], 5, 1)</f>
        <v>586, 686</v>
      </c>
      <c r="D116" s="692" t="str">
        <f>VLOOKUP( $B116, T_Aop[], 6, 1)</f>
        <v xml:space="preserve">      2.2  Neto gubici od usklađivanja vrijednosti kratkoročnih finansijskih sredstava (osim potraživanja od kupaca)</v>
      </c>
      <c r="E116" s="693"/>
      <c r="F116" s="693"/>
      <c r="G116" s="693"/>
      <c r="H116" s="694"/>
      <c r="I116" s="180">
        <f>VLOOKUP( $B116, T_Aop[], 4, 1)</f>
        <v>296</v>
      </c>
      <c r="J116" s="488"/>
      <c r="K116" s="488"/>
      <c r="L116" s="489"/>
      <c r="N116" s="45"/>
      <c r="P116" s="188" t="s">
        <v>313</v>
      </c>
    </row>
    <row r="117" spans="2:16" ht="22.5" customHeight="1" x14ac:dyDescent="0.2">
      <c r="B117" s="15">
        <v>235</v>
      </c>
      <c r="C117" s="485" t="str">
        <f>VLOOKUP( $B117, T_Aop[], 5, 1)</f>
        <v>587, 687 neto prikaz</v>
      </c>
      <c r="D117" s="695" t="str">
        <f>VLOOKUP( $B117, T_Aop[], 6, 1)</f>
        <v xml:space="preserve">      2.3 Neto gubici od usklađivanja vrijednosti potraživanja od kupaca</v>
      </c>
      <c r="E117" s="696"/>
      <c r="F117" s="696"/>
      <c r="G117" s="696"/>
      <c r="H117" s="697"/>
      <c r="I117" s="181">
        <f>VLOOKUP( $B117, T_Aop[], 4, 1)</f>
        <v>297</v>
      </c>
      <c r="J117" s="486"/>
      <c r="K117" s="486">
        <v>91889</v>
      </c>
      <c r="L117" s="486">
        <v>141716</v>
      </c>
      <c r="N117" s="45"/>
      <c r="P117" s="188" t="s">
        <v>313</v>
      </c>
    </row>
    <row r="118" spans="2:16" ht="22.5" customHeight="1" x14ac:dyDescent="0.2">
      <c r="B118" s="15">
        <v>236</v>
      </c>
      <c r="C118" s="484" t="str">
        <f>VLOOKUP( $B118, T_Aop[], 5, 1)</f>
        <v>dio 589, dio 689neto prikaz</v>
      </c>
      <c r="D118" s="692" t="str">
        <f>VLOOKUP( $B118, T_Aop[], 6, 1)</f>
        <v xml:space="preserve">      2.4  Neto gubici od usklađivanja vrijednosti ostalih finansijskih sredstava</v>
      </c>
      <c r="E118" s="693"/>
      <c r="F118" s="693"/>
      <c r="G118" s="693"/>
      <c r="H118" s="694"/>
      <c r="I118" s="180">
        <f>VLOOKUP( $B118, T_Aop[], 4, 1)</f>
        <v>298</v>
      </c>
      <c r="J118" s="488"/>
      <c r="K118" s="488"/>
      <c r="L118" s="489"/>
      <c r="N118" s="45"/>
      <c r="P118" s="187"/>
    </row>
    <row r="119" spans="2:16" ht="15" customHeight="1" x14ac:dyDescent="0.2">
      <c r="B119" s="15">
        <v>237</v>
      </c>
      <c r="C119" s="496">
        <f>VLOOKUP( $B119, T_Aop[], 5, 1)</f>
        <v>0</v>
      </c>
      <c r="D119" s="701" t="str">
        <f>VLOOKUP( $B119, T_Aop[], 6, 1)</f>
        <v xml:space="preserve">  J. DOBITAK PO OSNOVU USKLAĐIVANJA VRIJEDNOSTI IMOVINE (273 – 286) </v>
      </c>
      <c r="E119" s="702"/>
      <c r="F119" s="702"/>
      <c r="G119" s="702"/>
      <c r="H119" s="703"/>
      <c r="I119" s="183">
        <f>VLOOKUP( $B119, T_Aop[], 4, 1)</f>
        <v>299</v>
      </c>
      <c r="J119" s="486"/>
      <c r="K119" s="68">
        <f>IF( SUBTOTAL( 9, K94:K105) - SUBTOTAL( 9, K106:K118) &lt;= 0, 0, ABS( SUBTOTAL( 9, K94:K105) - SUBTOTAL( 9, K106:K118)) )</f>
        <v>0</v>
      </c>
      <c r="L119" s="69">
        <f>IF( SUBTOTAL( 9, L94:L105) - SUBTOTAL( 9, L106:L118) &lt;= 0, 0, ABS( SUBTOTAL( 9, L94:L105) - SUBTOTAL( 9, L106:L118)) )</f>
        <v>0</v>
      </c>
      <c r="N119" s="45"/>
      <c r="P119" s="187"/>
    </row>
    <row r="120" spans="2:16" ht="15" customHeight="1" x14ac:dyDescent="0.2">
      <c r="B120" s="15">
        <v>238</v>
      </c>
      <c r="C120" s="484">
        <f>VLOOKUP( $B120, T_Aop[], 5, 1)</f>
        <v>0</v>
      </c>
      <c r="D120" s="698" t="str">
        <f>VLOOKUP( $B120, T_Aop[], 6, 1)</f>
        <v xml:space="preserve">  K. GUBITAK PO OSNOVU USKLAĐIVANJA VRIJEDNOSTI IMOVINE (286 – 273)</v>
      </c>
      <c r="E120" s="699"/>
      <c r="F120" s="699"/>
      <c r="G120" s="699"/>
      <c r="H120" s="700"/>
      <c r="I120" s="182">
        <f>VLOOKUP( $B120, T_Aop[], 4, 1)</f>
        <v>300</v>
      </c>
      <c r="J120" s="488"/>
      <c r="K120" s="272">
        <f>IF( SUBTOTAL( 9, K94:K105) - SUBTOTAL( 9, K106:K118) &gt;= 0, 0, ABS( SUBTOTAL( 9, K94:K105) - SUBTOTAL( 9, K106:K118)) )</f>
        <v>168816</v>
      </c>
      <c r="L120" s="527">
        <f>IF( SUBTOTAL( 9, L94:L105) - SUBTOTAL( 9, L106:L118) &gt;= 0, 0, ABS( SUBTOTAL( 9, L94:L105) - SUBTOTAL( 9, L106:L118)) )</f>
        <v>119056</v>
      </c>
      <c r="N120" s="45"/>
      <c r="P120" s="187"/>
    </row>
    <row r="121" spans="2:16" ht="22.5" customHeight="1" x14ac:dyDescent="0.2">
      <c r="B121" s="15">
        <v>239</v>
      </c>
      <c r="C121" s="496" t="str">
        <f>VLOOKUP( $B121, T_Aop[], 5, 1)</f>
        <v>690 i 691</v>
      </c>
      <c r="D121" s="701" t="str">
        <f>VLOOKUP( $B121, T_Aop[], 6, 1)</f>
        <v xml:space="preserve">  L. Prihodi po osnovu promjene računovodstvenih politika i ispravke grešaka iz ranijih godina </v>
      </c>
      <c r="E121" s="702"/>
      <c r="F121" s="702"/>
      <c r="G121" s="702"/>
      <c r="H121" s="703"/>
      <c r="I121" s="183">
        <f>VLOOKUP( $B121, T_Aop[], 4, 1)</f>
        <v>301</v>
      </c>
      <c r="J121" s="486"/>
      <c r="K121" s="163">
        <v>431</v>
      </c>
      <c r="L121" s="163">
        <v>455</v>
      </c>
      <c r="N121" s="45"/>
      <c r="P121" s="187"/>
    </row>
    <row r="122" spans="2:16" ht="13.5" customHeight="1" x14ac:dyDescent="0.2">
      <c r="B122" s="15">
        <v>240</v>
      </c>
      <c r="C122" s="484" t="str">
        <f>VLOOKUP( $B122, T_Aop[], 5, 1)</f>
        <v>590 i 591</v>
      </c>
      <c r="D122" s="698" t="str">
        <f>VLOOKUP( $B122, T_Aop[], 6, 1)</f>
        <v xml:space="preserve">  LJ. Rashodi po osnovu promjene računovodstvenih politika i ispravke grešaka iz ranijih godina</v>
      </c>
      <c r="E122" s="699"/>
      <c r="F122" s="699"/>
      <c r="G122" s="699"/>
      <c r="H122" s="700"/>
      <c r="I122" s="182">
        <f>VLOOKUP( $B122, T_Aop[], 4, 1)</f>
        <v>302</v>
      </c>
      <c r="J122" s="488"/>
      <c r="K122" s="82">
        <v>11422</v>
      </c>
      <c r="L122" s="82">
        <v>5094</v>
      </c>
      <c r="N122" s="45"/>
      <c r="P122" s="187"/>
    </row>
    <row r="123" spans="2:16" ht="13.5" customHeight="1" x14ac:dyDescent="0.2">
      <c r="B123" s="15">
        <v>241</v>
      </c>
      <c r="C123" s="496">
        <f>VLOOKUP( $B123, T_Aop[], 5, 1)</f>
        <v>0</v>
      </c>
      <c r="D123" s="695" t="str">
        <f>VLOOKUP( $B123, T_Aop[], 6, 1)</f>
        <v>Udio u dobiti pridruženog društva i zajedničkog poduhvata primjenom metode udjela</v>
      </c>
      <c r="E123" s="696"/>
      <c r="F123" s="696"/>
      <c r="G123" s="696"/>
      <c r="H123" s="697"/>
      <c r="I123" s="181">
        <f>VLOOKUP( $B123, T_Aop[], 4, 1)</f>
        <v>303</v>
      </c>
      <c r="J123" s="486"/>
      <c r="K123" s="497"/>
      <c r="L123" s="498"/>
      <c r="N123" s="45"/>
      <c r="P123" s="187"/>
    </row>
    <row r="124" spans="2:16" ht="13.5" customHeight="1" x14ac:dyDescent="0.2">
      <c r="B124" s="15">
        <v>242</v>
      </c>
      <c r="C124" s="484">
        <f>VLOOKUP( $B124, T_Aop[], 5, 1)</f>
        <v>0</v>
      </c>
      <c r="D124" s="692" t="str">
        <f>VLOOKUP( $B124, T_Aop[], 6, 1)</f>
        <v>Udio u gubitku pridruženog društva i zajedničkog poduhvata primjenom metode udjela</v>
      </c>
      <c r="E124" s="693"/>
      <c r="F124" s="693"/>
      <c r="G124" s="693"/>
      <c r="H124" s="694"/>
      <c r="I124" s="180">
        <f>VLOOKUP( $B124, T_Aop[], 4, 1)</f>
        <v>304</v>
      </c>
      <c r="J124" s="488"/>
      <c r="K124" s="488"/>
      <c r="L124" s="489"/>
      <c r="N124" s="45"/>
      <c r="P124" s="187"/>
    </row>
    <row r="125" spans="2:16" ht="15" customHeight="1" x14ac:dyDescent="0.2">
      <c r="B125" s="15">
        <v>243</v>
      </c>
      <c r="C125" s="499">
        <f>VLOOKUP( $B125, T_Aop[], 5, 1)</f>
        <v>0</v>
      </c>
      <c r="D125" s="701" t="str">
        <f>VLOOKUP( $B125, T_Aop[], 6, 1)</f>
        <v xml:space="preserve">  UKUPNI PRIHODI (201+239+251+273+301+303)</v>
      </c>
      <c r="E125" s="702"/>
      <c r="F125" s="702"/>
      <c r="G125" s="702"/>
      <c r="H125" s="703"/>
      <c r="I125" s="183">
        <f>VLOOKUP( $B125, T_Aop[], 4, 1)</f>
        <v>305</v>
      </c>
      <c r="J125" s="486"/>
      <c r="K125" s="68">
        <f>SUBTOTAL(9, K22:K33, K34, K36, K38, K59:K63, K71:K80, K93:K105,K121, K123)-SUBTOTAL(9,K35,K37)</f>
        <v>37703696</v>
      </c>
      <c r="L125" s="69">
        <f>SUBTOTAL(9, L22:L33, L34, L36, L38, L59:L63, L71:L80, L93:L105,L121, L123)-SUBTOTAL(9,L35,L37)</f>
        <v>40860841</v>
      </c>
      <c r="N125" s="45"/>
      <c r="P125" s="187"/>
    </row>
    <row r="126" spans="2:16" ht="17.25" customHeight="1" x14ac:dyDescent="0.2">
      <c r="B126" s="15">
        <v>244</v>
      </c>
      <c r="C126" s="484">
        <f>VLOOKUP( $B126, T_Aop[], 5, 1)</f>
        <v>0</v>
      </c>
      <c r="D126" s="698" t="str">
        <f>VLOOKUP( $B126, T_Aop[], 6, 1)</f>
        <v xml:space="preserve">  UKUPNI RASHODI (219+244+261+286+302+304)</v>
      </c>
      <c r="E126" s="699"/>
      <c r="F126" s="699"/>
      <c r="G126" s="699"/>
      <c r="H126" s="700"/>
      <c r="I126" s="182">
        <f>VLOOKUP( $B126, T_Aop[], 4, 1)</f>
        <v>306</v>
      </c>
      <c r="J126" s="488"/>
      <c r="K126" s="272">
        <f>SUBTOTAL(9, K39:K56, K64:K68, K81:K90, K106:K118,K122,K124)</f>
        <v>37059201</v>
      </c>
      <c r="L126" s="527">
        <f>SUBTOTAL(9, L39:L56, L64:L68, L81:L90, L106:L118,L122,L124)</f>
        <v>38767592</v>
      </c>
      <c r="N126" s="45"/>
      <c r="P126" s="187"/>
    </row>
    <row r="127" spans="2:16" ht="23.25" customHeight="1" x14ac:dyDescent="0.2">
      <c r="B127" s="15">
        <v>245</v>
      </c>
      <c r="C127" s="496">
        <f>VLOOKUP( $B127, T_Aop[], 5, 1)</f>
        <v>0</v>
      </c>
      <c r="D127" s="701" t="str">
        <f>VLOOKUP( $B127, T_Aop[], 6, 1)</f>
        <v xml:space="preserve">  M. DOBIT I GUBITAK PRIJE OPOREZIVANJA
1. Dobit prije oporezivanja (305 – 306)</v>
      </c>
      <c r="E127" s="702"/>
      <c r="F127" s="702"/>
      <c r="G127" s="702"/>
      <c r="H127" s="703"/>
      <c r="I127" s="183">
        <f>VLOOKUP( $B127, T_Aop[], 4, 1)</f>
        <v>307</v>
      </c>
      <c r="J127" s="486"/>
      <c r="K127" s="68">
        <f>IF( SUBTOTAL(9, K22:K33, K34, K36, K38, K59:K63, K71:K80, K93:K105, K121, K123)- SUBTOTAL(9,K35, K37, K39:K56, K64:K68, K81:K90, K106:K118, K122, K124) &lt;=  0, 0, ABS( SUBTOTAL(9, K22:K33, K34, K36, K38, K59:K63, K71:K80, K93:K105,K121,K123)- SUBTOTAL(9,K35,K37, K39:K56, K64:K68, K81:K90, K106:K118, K122, K124)))</f>
        <v>644495</v>
      </c>
      <c r="L127" s="69">
        <f>IF( SUBTOTAL(9, L22:L33, L34, L36, L38, L59:L63, L71:L80, L93:L105, L121, L123)- SUBTOTAL(9,L35, L37, L39:L56, L64:L68, L81:L90, L106:L118, L122, L124) &lt;=  0, 0, ABS( SUBTOTAL(9, L22:L33, L34, L36, L38, L59:L63, L71:L80, L93:L105,L121,L123)- SUBTOTAL(9,L35,L37, L39:L56, L64:L68, L81:L90, L106:L118, L122, L124)))</f>
        <v>2093249</v>
      </c>
      <c r="N127" s="45"/>
      <c r="P127" s="187"/>
    </row>
    <row r="128" spans="2:16" ht="17.25" customHeight="1" x14ac:dyDescent="0.2">
      <c r="B128" s="15">
        <v>246</v>
      </c>
      <c r="C128" s="495">
        <f>VLOOKUP( $B128, T_Aop[], 5, 1)</f>
        <v>0</v>
      </c>
      <c r="D128" s="698" t="str">
        <f>VLOOKUP( $B128, T_Aop[], 6, 1)</f>
        <v xml:space="preserve">  2. Gubitak prije oporezivanja (306 – 305)</v>
      </c>
      <c r="E128" s="699"/>
      <c r="F128" s="699"/>
      <c r="G128" s="699"/>
      <c r="H128" s="700"/>
      <c r="I128" s="182">
        <f>VLOOKUP( $B128, T_Aop[], 4, 1)</f>
        <v>308</v>
      </c>
      <c r="J128" s="488"/>
      <c r="K128" s="272">
        <f>IF( SUBTOTAL(9, K22:K33, K34, K36, K38, K59:K63, K71:K80, K93:K105, K121, K123)- SUBTOTAL(9,K35, K37, K39:K56, K64:K68, K81:K90, K106:K118, K122, K124) &gt;=  0, 0, ABS( SUBTOTAL(9, K22:K33, K34, K36, K38, K59:K63, K71:K80, K93:K105,K121,K123)- SUBTOTAL(9,K35,K37, K39:K56, K64:K68, K81:K90, K106:K118, K122, K124)))</f>
        <v>0</v>
      </c>
      <c r="L128" s="429">
        <f>IF( SUBTOTAL(9, L22:L33, L34, L36, L38, L59:L63, L71:L80, L93:L105, L121, L123)- SUBTOTAL(9,L35, L37, L39:L56, L64:L68, L81:L90, L106:L118, L122, L124) &gt;=  0, 0, ABS( SUBTOTAL(9, L22:L33, L34, L36, L38, L59:L63, L71:L80, L93:L105,L121,L123)- SUBTOTAL(9,L35,L37, L39:L56, L64:L68, L81:L90, L106:L118, L122, L124)))</f>
        <v>0</v>
      </c>
      <c r="N128" s="45"/>
      <c r="P128" s="187"/>
    </row>
    <row r="129" spans="2:16" ht="27.75" customHeight="1" x14ac:dyDescent="0.2">
      <c r="B129" s="15">
        <v>247</v>
      </c>
      <c r="C129" s="499" t="str">
        <f>VLOOKUP( $B129, T_Aop[], 5, 1)</f>
        <v>721</v>
      </c>
      <c r="D129" s="701" t="str">
        <f>VLOOKUP( $B129, T_Aop[], 6, 1)</f>
        <v xml:space="preserve">  N. TEKUĆI I ODLOŽENI POREZ NA DOBIT
1. Poreski rashodi perioda </v>
      </c>
      <c r="E129" s="702"/>
      <c r="F129" s="702"/>
      <c r="G129" s="702"/>
      <c r="H129" s="703"/>
      <c r="I129" s="183">
        <f>VLOOKUP( $B129, T_Aop[], 4, 1)</f>
        <v>309</v>
      </c>
      <c r="J129" s="486">
        <v>19</v>
      </c>
      <c r="K129" s="523">
        <v>218070</v>
      </c>
      <c r="L129" s="523">
        <v>68932</v>
      </c>
      <c r="N129" s="45"/>
      <c r="P129" s="187"/>
    </row>
    <row r="130" spans="2:16" ht="17.25" customHeight="1" x14ac:dyDescent="0.2">
      <c r="B130" s="15">
        <v>248</v>
      </c>
      <c r="C130" s="495">
        <f>VLOOKUP( $B130, T_Aop[], 5, 1)</f>
        <v>0</v>
      </c>
      <c r="D130" s="692" t="str">
        <f>VLOOKUP( $B130, T_Aop[], 6, 1)</f>
        <v xml:space="preserve">    2. Odloženi poreski rashodi (311 + 312)</v>
      </c>
      <c r="E130" s="693"/>
      <c r="F130" s="693"/>
      <c r="G130" s="693"/>
      <c r="H130" s="694"/>
      <c r="I130" s="180">
        <f>VLOOKUP( $B130, T_Aop[], 4, 1)</f>
        <v>310</v>
      </c>
      <c r="J130" s="488">
        <v>19</v>
      </c>
      <c r="K130" s="528">
        <f>SUBTOTAL( 9, K131:K132)</f>
        <v>22895</v>
      </c>
      <c r="L130" s="491">
        <f>SUBTOTAL( 9, L131:L132)</f>
        <v>0</v>
      </c>
      <c r="N130" s="45"/>
      <c r="P130" s="187"/>
    </row>
    <row r="131" spans="2:16" ht="17.25" customHeight="1" x14ac:dyDescent="0.2">
      <c r="B131" s="15">
        <v>249</v>
      </c>
      <c r="C131" s="496" t="str">
        <f>VLOOKUP( $B131, T_Aop[], 5, 1)</f>
        <v>722</v>
      </c>
      <c r="D131" s="695" t="str">
        <f>VLOOKUP( $B131, T_Aop[], 6, 1)</f>
        <v xml:space="preserve">      2.1   Efekat smanjenja odloženih poreskih sredstava</v>
      </c>
      <c r="E131" s="696"/>
      <c r="F131" s="696"/>
      <c r="G131" s="696"/>
      <c r="H131" s="697"/>
      <c r="I131" s="181">
        <f>VLOOKUP( $B131, T_Aop[], 4, 1)</f>
        <v>311</v>
      </c>
      <c r="J131" s="486"/>
      <c r="K131" s="524">
        <v>22895</v>
      </c>
      <c r="L131" s="487"/>
      <c r="N131" s="45"/>
      <c r="P131" s="187"/>
    </row>
    <row r="132" spans="2:16" ht="17.25" customHeight="1" x14ac:dyDescent="0.2">
      <c r="B132" s="15">
        <v>250</v>
      </c>
      <c r="C132" s="484" t="str">
        <f>VLOOKUP( $B132, T_Aop[], 5, 1)</f>
        <v>724</v>
      </c>
      <c r="D132" s="692" t="str">
        <f>VLOOKUP( $B132, T_Aop[], 6, 1)</f>
        <v xml:space="preserve">      2.2   Efekat povećanja odloženih poreskih obaveza</v>
      </c>
      <c r="E132" s="693"/>
      <c r="F132" s="693"/>
      <c r="G132" s="693"/>
      <c r="H132" s="694"/>
      <c r="I132" s="180">
        <f>VLOOKUP( $B132, T_Aop[], 4, 1)</f>
        <v>312</v>
      </c>
      <c r="J132" s="488"/>
      <c r="K132" s="529"/>
      <c r="L132" s="158"/>
      <c r="N132" s="45"/>
      <c r="P132" s="187"/>
    </row>
    <row r="133" spans="2:16" ht="17.25" customHeight="1" x14ac:dyDescent="0.2">
      <c r="B133" s="15">
        <v>251</v>
      </c>
      <c r="C133" s="496">
        <f>VLOOKUP( $B133, T_Aop[], 5, 1)</f>
        <v>0</v>
      </c>
      <c r="D133" s="695" t="str">
        <f>VLOOKUP( $B133, T_Aop[], 6, 1)</f>
        <v xml:space="preserve">    3. Odloženi poreski prihodi (314 + 315)</v>
      </c>
      <c r="E133" s="696"/>
      <c r="F133" s="696"/>
      <c r="G133" s="696"/>
      <c r="H133" s="697"/>
      <c r="I133" s="181">
        <f>VLOOKUP( $B133, T_Aop[], 4, 1)</f>
        <v>313</v>
      </c>
      <c r="J133" s="486">
        <v>19</v>
      </c>
      <c r="K133" s="530">
        <f>SUBTOTAL( 9, K134:K135)</f>
        <v>97295</v>
      </c>
      <c r="L133" s="493">
        <f>SUBTOTAL( 9, L134:L135)</f>
        <v>83082</v>
      </c>
      <c r="N133" s="45"/>
      <c r="P133" s="187"/>
    </row>
    <row r="134" spans="2:16" ht="13.5" customHeight="1" x14ac:dyDescent="0.2">
      <c r="B134" s="15">
        <v>252</v>
      </c>
      <c r="C134" s="484" t="str">
        <f>VLOOKUP( $B134, T_Aop[], 5, 1)</f>
        <v>723</v>
      </c>
      <c r="D134" s="692" t="str">
        <f>VLOOKUP( $B134, T_Aop[], 6, 1)</f>
        <v xml:space="preserve">      3.1 Efekat povećanja odloženih poreskih sredstava</v>
      </c>
      <c r="E134" s="693"/>
      <c r="F134" s="693"/>
      <c r="G134" s="693"/>
      <c r="H134" s="694"/>
      <c r="I134" s="180">
        <f>VLOOKUP( $B134, T_Aop[], 4, 1)</f>
        <v>314</v>
      </c>
      <c r="J134" s="488"/>
      <c r="K134" s="454"/>
      <c r="L134" s="454">
        <v>3255</v>
      </c>
      <c r="N134" s="45"/>
      <c r="P134" s="187"/>
    </row>
    <row r="135" spans="2:16" ht="13.5" customHeight="1" x14ac:dyDescent="0.2">
      <c r="B135" s="15">
        <v>253</v>
      </c>
      <c r="C135" s="496" t="str">
        <f>VLOOKUP( $B135, T_Aop[], 5, 1)</f>
        <v>725</v>
      </c>
      <c r="D135" s="695" t="str">
        <f>VLOOKUP( $B135, T_Aop[], 6, 1)</f>
        <v xml:space="preserve">      3.2 Efekat smanjenja odloženih poreskih obaveza</v>
      </c>
      <c r="E135" s="696"/>
      <c r="F135" s="696"/>
      <c r="G135" s="696"/>
      <c r="H135" s="697"/>
      <c r="I135" s="181">
        <f>VLOOKUP( $B135, T_Aop[], 4, 1)</f>
        <v>315</v>
      </c>
      <c r="J135" s="486"/>
      <c r="K135" s="486">
        <v>97295</v>
      </c>
      <c r="L135" s="486">
        <v>79827</v>
      </c>
      <c r="N135" s="45"/>
      <c r="P135" s="187"/>
    </row>
    <row r="136" spans="2:16" ht="24" customHeight="1" x14ac:dyDescent="0.2">
      <c r="B136" s="15">
        <v>254</v>
      </c>
      <c r="C136" s="484">
        <f>VLOOKUP( $B136, T_Aop[], 5, 1)</f>
        <v>0</v>
      </c>
      <c r="D136" s="698" t="str">
        <f>VLOOKUP( $B136, T_Aop[], 6, 1)</f>
        <v xml:space="preserve">  NJ. NETO DOBIT I NETO GUBITAK PERIODA
 1. Neto dobit tekuće godine (307-309-310+313)&gt;0 i 307&gt;0 ili (313-308-309-310)&gt;0 i 308&gt;0</v>
      </c>
      <c r="E136" s="699"/>
      <c r="F136" s="699"/>
      <c r="G136" s="699"/>
      <c r="H136" s="700"/>
      <c r="I136" s="182">
        <f>VLOOKUP( $B136, T_Aop[], 4, 1)</f>
        <v>316</v>
      </c>
      <c r="J136" s="488"/>
      <c r="K136" s="272">
        <f>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f>
        <v>500825</v>
      </c>
      <c r="L136" s="429">
        <f>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f>
        <v>2107399</v>
      </c>
      <c r="N136" s="45"/>
      <c r="P136" s="187"/>
    </row>
    <row r="137" spans="2:16" ht="15" customHeight="1" x14ac:dyDescent="0.2">
      <c r="B137" s="15">
        <v>255</v>
      </c>
      <c r="C137" s="496" t="str">
        <f>VLOOKUP( $B137, T_Aop[], 5, 1)</f>
        <v xml:space="preserve"> </v>
      </c>
      <c r="D137" s="701" t="str">
        <f>VLOOKUP( $B137, T_Aop[], 6, 1)</f>
        <v>2. Neto gubitak tekuće godine (308+309+310-313)&gt;0 i 308&gt;0 ili (309+310-307-313)&gt;0 i 307&gt;0</v>
      </c>
      <c r="E137" s="702"/>
      <c r="F137" s="702"/>
      <c r="G137" s="702"/>
      <c r="H137" s="703"/>
      <c r="I137" s="183">
        <f>VLOOKUP( $B137, T_Aop[], 4, 1)</f>
        <v>317</v>
      </c>
      <c r="J137" s="486"/>
      <c r="K137" s="68">
        <f>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f>
        <v>0</v>
      </c>
      <c r="L137" s="69">
        <f>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f>
        <v>0</v>
      </c>
      <c r="N137" s="45"/>
      <c r="P137" s="187"/>
    </row>
    <row r="138" spans="2:16" ht="20.25" customHeight="1" x14ac:dyDescent="0.2">
      <c r="B138" s="15">
        <v>256</v>
      </c>
      <c r="C138" s="484" t="str">
        <f>VLOOKUP( $B138, T_Aop[], 5, 1)</f>
        <v>726</v>
      </c>
      <c r="D138" s="692" t="str">
        <f>VLOOKUP( $B138, T_Aop[], 6, 1)</f>
        <v xml:space="preserve">  O. Međudividende i drugi vidovi raspodjele dobitka u toku perioda</v>
      </c>
      <c r="E138" s="693"/>
      <c r="F138" s="693"/>
      <c r="G138" s="693"/>
      <c r="H138" s="694"/>
      <c r="I138" s="180">
        <f>VLOOKUP( $B138, T_Aop[], 4, 1)</f>
        <v>318</v>
      </c>
      <c r="J138" s="488"/>
      <c r="K138" s="488"/>
      <c r="L138" s="489"/>
      <c r="N138" s="45"/>
      <c r="P138" s="187"/>
    </row>
    <row r="139" spans="2:16" ht="15" customHeight="1" x14ac:dyDescent="0.2">
      <c r="B139" s="15">
        <v>257</v>
      </c>
      <c r="C139" s="496">
        <f>VLOOKUP( $B139, T_Aop[], 5, 1)</f>
        <v>0</v>
      </c>
      <c r="D139" s="695" t="str">
        <f>VLOOKUP( $B139, T_Aop[], 6, 1)</f>
        <v>Dio neto dobiti/gubitka koji pripada većinskim vlasnicima</v>
      </c>
      <c r="E139" s="696"/>
      <c r="F139" s="696"/>
      <c r="G139" s="696"/>
      <c r="H139" s="697"/>
      <c r="I139" s="181">
        <f>VLOOKUP( $B139, T_Aop[], 4, 1)</f>
        <v>319</v>
      </c>
      <c r="J139" s="486"/>
      <c r="K139" s="497">
        <v>325536</v>
      </c>
      <c r="L139" s="497">
        <v>1369809</v>
      </c>
      <c r="N139" s="45"/>
      <c r="P139" s="187"/>
    </row>
    <row r="140" spans="2:16" ht="15" customHeight="1" x14ac:dyDescent="0.2">
      <c r="B140" s="15">
        <v>258</v>
      </c>
      <c r="C140" s="484">
        <f>VLOOKUP( $B140, T_Aop[], 5, 1)</f>
        <v>0</v>
      </c>
      <c r="D140" s="692" t="str">
        <f>VLOOKUP( $B140, T_Aop[], 6, 1)</f>
        <v>Dio neto dobiti/gubitka koji pripada manjinskim vlasnicima</v>
      </c>
      <c r="E140" s="693"/>
      <c r="F140" s="693"/>
      <c r="G140" s="693"/>
      <c r="H140" s="694"/>
      <c r="I140" s="180">
        <f>VLOOKUP( $B140, T_Aop[], 4, 1)</f>
        <v>320</v>
      </c>
      <c r="J140" s="488"/>
      <c r="K140" s="488">
        <v>175289</v>
      </c>
      <c r="L140" s="488">
        <v>737590</v>
      </c>
      <c r="N140" s="45"/>
      <c r="P140" s="187"/>
    </row>
    <row r="141" spans="2:16" ht="15" customHeight="1" x14ac:dyDescent="0.2">
      <c r="B141" s="15">
        <v>259</v>
      </c>
      <c r="C141" s="496">
        <f>VLOOKUP( $B141, T_Aop[], 5, 1)</f>
        <v>0</v>
      </c>
      <c r="D141" s="695" t="str">
        <f>VLOOKUP( $B141, T_Aop[], 6, 1)</f>
        <v>Obična zarada po akciji</v>
      </c>
      <c r="E141" s="696"/>
      <c r="F141" s="696"/>
      <c r="G141" s="696"/>
      <c r="H141" s="697"/>
      <c r="I141" s="181">
        <f>VLOOKUP( $B141, T_Aop[], 4, 1)</f>
        <v>321</v>
      </c>
      <c r="J141" s="486">
        <v>35</v>
      </c>
      <c r="K141" s="520">
        <v>0.13700000000000001</v>
      </c>
      <c r="L141" s="520">
        <v>0.13339999999999999</v>
      </c>
      <c r="N141" s="45"/>
      <c r="P141" s="187"/>
    </row>
    <row r="142" spans="2:16" ht="15" customHeight="1" x14ac:dyDescent="0.2">
      <c r="B142" s="15">
        <v>260</v>
      </c>
      <c r="C142" s="471">
        <f>VLOOKUP( $B142, T_Aop[], 5, 1)</f>
        <v>0</v>
      </c>
      <c r="D142" s="704" t="str">
        <f>VLOOKUP( $B142, T_Aop[], 6, 1)</f>
        <v>Razrijeđena zarada po akciji</v>
      </c>
      <c r="E142" s="705"/>
      <c r="F142" s="705"/>
      <c r="G142" s="705"/>
      <c r="H142" s="706"/>
      <c r="I142" s="180">
        <f>VLOOKUP( $B142, T_Aop[], 4, 1)</f>
        <v>322</v>
      </c>
      <c r="J142" s="488"/>
      <c r="K142" s="565"/>
      <c r="L142" s="566"/>
      <c r="N142" s="45"/>
      <c r="P142" s="187"/>
    </row>
    <row r="143" spans="2:16" ht="15" customHeight="1" x14ac:dyDescent="0.2">
      <c r="B143" s="15">
        <v>261</v>
      </c>
      <c r="C143" s="473">
        <f>VLOOKUP( $B143, T_Aop[], 5, 1)</f>
        <v>0</v>
      </c>
      <c r="D143" s="707" t="str">
        <f>VLOOKUP( $B143, T_Aop[], 6, 1)</f>
        <v>Prosječan broj zaposlenih po osnovu časova rada</v>
      </c>
      <c r="E143" s="708"/>
      <c r="F143" s="708"/>
      <c r="G143" s="708"/>
      <c r="H143" s="709"/>
      <c r="I143" s="181">
        <f>VLOOKUP( $B143, T_Aop[], 4, 1)</f>
        <v>323</v>
      </c>
      <c r="J143" s="486"/>
      <c r="K143" s="518">
        <v>403</v>
      </c>
      <c r="L143" s="518">
        <v>425</v>
      </c>
      <c r="N143" s="45"/>
      <c r="P143" s="187"/>
    </row>
    <row r="144" spans="2:16" ht="15" customHeight="1" x14ac:dyDescent="0.2">
      <c r="B144" s="15">
        <v>262</v>
      </c>
      <c r="C144" s="478">
        <f>VLOOKUP( $B144, T_Aop[], 5, 1)</f>
        <v>0</v>
      </c>
      <c r="D144" s="685" t="str">
        <f>VLOOKUP( $B144, T_Aop[], 6, 1)</f>
        <v>Prosječan broj zaposlenih po osnovu stanja na kraju mjeseca</v>
      </c>
      <c r="E144" s="686"/>
      <c r="F144" s="686"/>
      <c r="G144" s="686"/>
      <c r="H144" s="687"/>
      <c r="I144" s="192">
        <f>VLOOKUP( $B144, T_Aop[], 4, 1)</f>
        <v>324</v>
      </c>
      <c r="J144" s="531"/>
      <c r="K144" s="519">
        <v>400</v>
      </c>
      <c r="L144" s="519">
        <v>409</v>
      </c>
      <c r="N144" s="45"/>
      <c r="P144" s="187"/>
    </row>
    <row r="145" spans="2:12" ht="15" customHeight="1" x14ac:dyDescent="0.2">
      <c r="B145" s="15"/>
      <c r="C145" s="37"/>
      <c r="D145" s="40"/>
      <c r="E145" s="40"/>
      <c r="F145" s="40"/>
      <c r="G145" s="40"/>
      <c r="H145" s="40"/>
      <c r="I145" s="246"/>
    </row>
    <row r="146" spans="2:12" ht="15" customHeight="1" x14ac:dyDescent="0.2">
      <c r="B146" s="15"/>
      <c r="C146" s="184" t="str">
        <f>Podnozje_U</f>
        <v>U:</v>
      </c>
      <c r="D146" s="447" t="str">
        <f>Podatak_U</f>
        <v>Palama</v>
      </c>
      <c r="E146"/>
      <c r="F146" s="57" t="str">
        <f>Podnozje_Lice_sa_licencom</f>
        <v>Lice sa licencom:</v>
      </c>
      <c r="G146" s="8" t="str">
        <f>Podatak_Lice_sa_licencom</f>
        <v>Slobodan Butulija</v>
      </c>
      <c r="I146" s="37" t="str">
        <f>Podnozje_MP</f>
        <v>(M.P.)</v>
      </c>
    </row>
    <row r="147" spans="2:12" ht="15" customHeight="1" x14ac:dyDescent="0.2">
      <c r="B147" s="15"/>
      <c r="C147" s="28"/>
      <c r="D147" s="129"/>
      <c r="E147" t="s">
        <v>888</v>
      </c>
      <c r="F147" s="608"/>
      <c r="G147" s="608"/>
      <c r="I147" s="79"/>
      <c r="J147" s="607" t="str">
        <f>Podnozje_Direktor</f>
        <v>Lice ovlašćeno za zastupanje:</v>
      </c>
      <c r="K147" s="607"/>
      <c r="L147" s="607"/>
    </row>
    <row r="148" spans="2:12" ht="15" customHeight="1" x14ac:dyDescent="0.2">
      <c r="B148" s="15"/>
      <c r="C148" s="184" t="str">
        <f>Podnozje_Dana</f>
        <v>Dana:</v>
      </c>
      <c r="D148" s="446" t="str">
        <f>Podatak_Dana</f>
        <v>27.02.2026.</v>
      </c>
      <c r="E148"/>
      <c r="F148" s="40" t="str">
        <f>Podnozje_Broj_licence</f>
        <v>Broj licence:</v>
      </c>
      <c r="G148" t="str">
        <f>Podatak_Broj_Licence</f>
        <v>SR-0005/26</v>
      </c>
      <c r="J148" s="9"/>
      <c r="K148" s="712" t="str">
        <f>Podatak_Direktor</f>
        <v>Aco Stanišić ma.ecc.</v>
      </c>
      <c r="L148" s="712"/>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6"/>
    </row>
    <row r="152" spans="2:12" ht="12.75" customHeight="1" x14ac:dyDescent="0.2">
      <c r="G152" s="711"/>
      <c r="H152" s="711"/>
      <c r="I152" s="555"/>
      <c r="K152" s="281"/>
      <c r="L152" s="281"/>
    </row>
    <row r="153" spans="2:12" ht="43.5" customHeight="1" x14ac:dyDescent="0.2"/>
    <row r="161" x14ac:dyDescent="0.2"/>
  </sheetData>
  <sheetProtection sheet="1" objects="1" scenarios="1"/>
  <mergeCells count="146">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D54:H54"/>
    <mergeCell ref="D55:H55"/>
    <mergeCell ref="D56:H56"/>
    <mergeCell ref="D57:H57"/>
    <mergeCell ref="D58:H58"/>
    <mergeCell ref="D59:H59"/>
    <mergeCell ref="D48:H48"/>
    <mergeCell ref="D49:H49"/>
    <mergeCell ref="D50:H50"/>
    <mergeCell ref="D51:H51"/>
    <mergeCell ref="D52:H52"/>
    <mergeCell ref="D53:H53"/>
    <mergeCell ref="D66:H66"/>
    <mergeCell ref="D67:H67"/>
    <mergeCell ref="D68:H68"/>
    <mergeCell ref="D69:H69"/>
    <mergeCell ref="D70:H70"/>
    <mergeCell ref="D71:H71"/>
    <mergeCell ref="D60:H60"/>
    <mergeCell ref="D61:H61"/>
    <mergeCell ref="D62:H62"/>
    <mergeCell ref="D63:H63"/>
    <mergeCell ref="D64:H64"/>
    <mergeCell ref="D65:H65"/>
    <mergeCell ref="D78:H78"/>
    <mergeCell ref="D79:H79"/>
    <mergeCell ref="D80:H80"/>
    <mergeCell ref="D81:H81"/>
    <mergeCell ref="D82:H82"/>
    <mergeCell ref="D83:H83"/>
    <mergeCell ref="D72:H72"/>
    <mergeCell ref="D73:H73"/>
    <mergeCell ref="D74:H74"/>
    <mergeCell ref="D75:H75"/>
    <mergeCell ref="D76:H76"/>
    <mergeCell ref="D77:H77"/>
    <mergeCell ref="D90:H90"/>
    <mergeCell ref="D91:H91"/>
    <mergeCell ref="D92:H92"/>
    <mergeCell ref="D93:H93"/>
    <mergeCell ref="D94:H94"/>
    <mergeCell ref="D95:H95"/>
    <mergeCell ref="D84:H84"/>
    <mergeCell ref="D85:H85"/>
    <mergeCell ref="D86:H86"/>
    <mergeCell ref="D87:H87"/>
    <mergeCell ref="D88:H88"/>
    <mergeCell ref="D89:H89"/>
    <mergeCell ref="D108:H108"/>
    <mergeCell ref="D109:H109"/>
    <mergeCell ref="D110:H110"/>
    <mergeCell ref="D111:H111"/>
    <mergeCell ref="D112:H112"/>
    <mergeCell ref="D113:H113"/>
    <mergeCell ref="D102:H102"/>
    <mergeCell ref="D103:H103"/>
    <mergeCell ref="D104:H104"/>
    <mergeCell ref="D105:H105"/>
    <mergeCell ref="D106:H106"/>
    <mergeCell ref="D107:H107"/>
    <mergeCell ref="D128:H128"/>
    <mergeCell ref="D129:H129"/>
    <mergeCell ref="D123:H123"/>
    <mergeCell ref="D124:H124"/>
    <mergeCell ref="D125:H125"/>
    <mergeCell ref="D120:H120"/>
    <mergeCell ref="D121:H121"/>
    <mergeCell ref="D122:H122"/>
    <mergeCell ref="D114:H114"/>
    <mergeCell ref="D115:H115"/>
    <mergeCell ref="D116:H116"/>
    <mergeCell ref="D117:H117"/>
    <mergeCell ref="D118:H118"/>
    <mergeCell ref="D119:H119"/>
    <mergeCell ref="C5:E6"/>
    <mergeCell ref="C7:E7"/>
    <mergeCell ref="D8:E8"/>
    <mergeCell ref="C9:E9"/>
    <mergeCell ref="C10:E10"/>
    <mergeCell ref="C12:E12"/>
    <mergeCell ref="C11:E11"/>
    <mergeCell ref="C13:E13"/>
    <mergeCell ref="I18:I19"/>
    <mergeCell ref="D144:H144"/>
    <mergeCell ref="J18:J19"/>
    <mergeCell ref="K18:L18"/>
    <mergeCell ref="D130:H130"/>
    <mergeCell ref="D131:H131"/>
    <mergeCell ref="D136:H136"/>
    <mergeCell ref="D137:H137"/>
    <mergeCell ref="D138:H138"/>
    <mergeCell ref="D139:H139"/>
    <mergeCell ref="D140:H140"/>
    <mergeCell ref="D141:H141"/>
    <mergeCell ref="D142:H142"/>
    <mergeCell ref="D143:H143"/>
    <mergeCell ref="D135:H135"/>
    <mergeCell ref="D96:H96"/>
    <mergeCell ref="D97:H97"/>
    <mergeCell ref="D98:H98"/>
    <mergeCell ref="D99:H99"/>
    <mergeCell ref="D100:H100"/>
    <mergeCell ref="D101:H101"/>
    <mergeCell ref="D132:H132"/>
    <mergeCell ref="D133:H133"/>
    <mergeCell ref="D126:H126"/>
    <mergeCell ref="D127:H127"/>
  </mergeCells>
  <phoneticPr fontId="0" type="noConversion"/>
  <dataValidations xWindow="972" yWindow="539" count="5">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68:L68 K72:L80 K49:L49 K40:L42 K102:L105 K82:L90 K60:L63 K44:L47 K129:L129 K135:L135 K138:L140 K23:L25 K31 K28:L29 L31:L38 K32:K38">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48:L48 K114:L114 K130:L130 K21:L22 K133:L133">
      <formula1>0</formula1>
    </dataValidation>
    <dataValidation type="decimal" operator="greaterThanOrEqual" allowBlank="1" showInputMessage="1" showErrorMessage="1" errorTitle="Greška" error="Unose se vrijednosti u konvertibilnim markama. Nije dozvoljen unos negativnih brojeva." sqref="K134:L134 K141:L141">
      <formula1>0</formula1>
    </dataValidation>
    <dataValidation type="whole" operator="greaterThanOrEqual" allowBlank="1" showInputMessage="1" showErrorMessage="1" errorTitle="Greška" error="Nije dozvoljen unos negativnih brojeva." prompt="Potrebno je unijeti izračunati broj zaposlenih._x000a_Broj ne treba množiti sa 100!" sqref="K143:L144">
      <formula1>0</formula1>
    </dataValidation>
    <dataValidation type="decimal" operator="greaterThanOrEqual" allowBlank="1" showInputMessage="1" showErrorMessage="1" errorTitle="Greška" error="Unose se vrijednosti u konvertibilnim markama, bez decimalnih mjesta. Nije dozvoljen unos negativnih brojeva." sqref="K142 L142">
      <formula1>0</formula1>
    </dataValidation>
  </dataValidations>
  <pageMargins left="0.23622047244094491" right="0.23622047244094491" top="0.59055118110236227" bottom="0.55118110236220474" header="0.31496062992125984" footer="0.31496062992125984"/>
  <pageSetup paperSize="9" scale="70" orientation="portrait" r:id="rId1"/>
  <headerFooter alignWithMargins="0">
    <oddFooter>&amp;R&amp;"Tahoma,Regular"Strana &amp;P od &amp;N</oddFooter>
  </headerFooter>
  <rowBreaks count="1" manualBreakCount="1">
    <brk id="73"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29044" r:id="rId4" name="Navigacija">
              <controlPr defaultSize="0" print="0" autoFill="0" autoPict="0">
                <anchor moveWithCells="1" sizeWithCells="1">
                  <from>
                    <xdr:col>2</xdr:col>
                    <xdr:colOff>9525</xdr:colOff>
                    <xdr:row>0</xdr:row>
                    <xdr:rowOff>9525</xdr:rowOff>
                  </from>
                  <to>
                    <xdr:col>16384</xdr:col>
                    <xdr:colOff>0</xdr:colOff>
                    <xdr:row>4</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b">
    <tabColor rgb="FFB2B2B2"/>
  </sheetPr>
  <dimension ref="A1:XFC61"/>
  <sheetViews>
    <sheetView showGridLines="0" showRowColHeaders="0" zoomScaleSheetLayoutView="100" workbookViewId="0">
      <pane xSplit="12" ySplit="4" topLeftCell="M20" activePane="bottomRight" state="frozen"/>
      <selection pane="topRight" activeCell="M1" sqref="M1"/>
      <selection pane="bottomLeft" activeCell="A5" sqref="A5"/>
      <selection pane="bottomRight" activeCell="L32" sqref="L32"/>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40"/>
      <c r="D4" s="140"/>
      <c r="E4" s="140"/>
      <c r="F4" s="140"/>
      <c r="G4" s="140"/>
      <c r="H4" s="140"/>
      <c r="I4" s="140"/>
      <c r="J4" s="140"/>
      <c r="K4" s="140"/>
    </row>
    <row r="5" spans="2:12" ht="12.75" customHeight="1" x14ac:dyDescent="0.2">
      <c r="B5" s="15"/>
      <c r="C5" s="653" t="str">
        <f>Zaglavlje_Naziv_preduzeca</f>
        <v xml:space="preserve">Naziv privrednog društva, zadruge, drugog pravnog lica ili preduzetnika: </v>
      </c>
      <c r="D5" s="653"/>
      <c r="E5" s="653"/>
      <c r="L5" s="418" t="str">
        <f>Podatak_MB</f>
        <v>01814788</v>
      </c>
    </row>
    <row r="6" spans="2:12" ht="12.75" customHeight="1" x14ac:dyDescent="0.2">
      <c r="B6" s="15"/>
      <c r="C6" s="653"/>
      <c r="D6" s="653"/>
      <c r="E6" s="653"/>
      <c r="F6" s="9"/>
      <c r="L6" s="453" t="str">
        <f>Zaglavlje_MB</f>
        <v>Matični broj</v>
      </c>
    </row>
    <row r="7" spans="2:12" ht="12.75" customHeight="1" x14ac:dyDescent="0.2">
      <c r="B7" s="15"/>
      <c r="C7" s="743" t="str">
        <f>Podatak_Naziv_preduzeca</f>
        <v>ODS ELEKTRODISTRIBUCIJA AD PALE</v>
      </c>
      <c r="D7" s="743"/>
      <c r="E7" s="743"/>
      <c r="F7" s="743"/>
      <c r="L7" s="418" t="str">
        <f>Podatak_Sifra_djelatnosti</f>
        <v>35.13</v>
      </c>
    </row>
    <row r="8" spans="2:12" ht="12.75" customHeight="1" x14ac:dyDescent="0.2">
      <c r="B8" s="15"/>
      <c r="C8" s="127" t="str">
        <f>Zaglavlje_Sjediste</f>
        <v>Sjedište:</v>
      </c>
      <c r="D8" s="747" t="str">
        <f>Podatak_Sjediste</f>
        <v>PALE</v>
      </c>
      <c r="E8" s="747"/>
      <c r="F8" s="747"/>
      <c r="L8" s="453" t="str">
        <f>Zaglavlje_Sifra_djelatnosti</f>
        <v>Šifra djelatnosti</v>
      </c>
    </row>
    <row r="9" spans="2:12" ht="12.75" customHeight="1" x14ac:dyDescent="0.2">
      <c r="B9" s="15"/>
      <c r="C9" s="664" t="str">
        <f>Zaglavlje_Ziro_racun</f>
        <v>Račun kod ovlašćene organizacije za platni promet:</v>
      </c>
      <c r="D9" s="664"/>
      <c r="E9" s="664"/>
      <c r="F9" s="260"/>
      <c r="L9" s="418" t="str">
        <f>Podatak_JIB</f>
        <v>4400570050004</v>
      </c>
    </row>
    <row r="10" spans="2:12" ht="12.75" customHeight="1" x14ac:dyDescent="0.2">
      <c r="B10" s="15"/>
      <c r="C10" s="744" t="str">
        <f>Podatak_Ziro_racun_1</f>
        <v>562-012-00002669-48</v>
      </c>
      <c r="D10" s="744"/>
      <c r="E10" s="744"/>
      <c r="F10" s="744"/>
      <c r="K10" s="742" t="str">
        <f>Zaglavlje_JIB</f>
        <v>JIB</v>
      </c>
      <c r="L10" s="742"/>
    </row>
    <row r="11" spans="2:12" ht="12.75" customHeight="1" x14ac:dyDescent="0.2">
      <c r="B11" s="15"/>
      <c r="C11" s="745" t="str">
        <f>Podatak_Ziro_racun_2</f>
        <v>555-002-00004363-23</v>
      </c>
      <c r="D11" s="745"/>
      <c r="E11" s="745"/>
      <c r="F11" s="745"/>
    </row>
    <row r="12" spans="2:12" ht="12.75" customHeight="1" x14ac:dyDescent="0.2">
      <c r="B12" s="15"/>
      <c r="C12" s="746" t="str">
        <f>Podatak_Ziro_racun_3</f>
        <v>551-031-00007369-23</v>
      </c>
      <c r="D12" s="746"/>
      <c r="E12" s="746"/>
      <c r="F12" s="746"/>
    </row>
    <row r="13" spans="2:12" ht="12.75" customHeight="1" x14ac:dyDescent="0.2">
      <c r="B13" s="15"/>
      <c r="C13" s="746" t="str">
        <f>Podatak_Ziro_racun_4</f>
        <v>571-050-00000510-66</v>
      </c>
      <c r="D13" s="746"/>
      <c r="E13" s="746"/>
      <c r="F13" s="746"/>
      <c r="G13" s="18"/>
      <c r="H13" s="18"/>
      <c r="I13" s="18"/>
      <c r="J13"/>
      <c r="K13"/>
    </row>
    <row r="14" spans="2:12" ht="15.75" customHeight="1" x14ac:dyDescent="0.2">
      <c r="B14" s="15"/>
      <c r="C14" s="678" t="str">
        <f>IF( Id_Konsolidovani, Nazivi_bilansa_Konsolidovani_naziv &amp; LOWER( Nazivi_bilansa_BUb), Nazivi_bilansa_BUb)</f>
        <v>Izvještaj</v>
      </c>
      <c r="D14" s="678"/>
      <c r="E14" s="678"/>
      <c r="F14" s="678"/>
      <c r="G14" s="678"/>
      <c r="H14" s="678"/>
      <c r="I14" s="678"/>
      <c r="J14" s="678"/>
      <c r="K14" s="678"/>
      <c r="L14" s="678"/>
    </row>
    <row r="15" spans="2:12" ht="14.25" x14ac:dyDescent="0.2">
      <c r="B15" s="15"/>
      <c r="C15" s="748" t="str">
        <f>Nazivi_bilansa_BUb1</f>
        <v>o ostalom rezultatu u periodu</v>
      </c>
      <c r="D15" s="748"/>
      <c r="E15" s="748"/>
      <c r="F15" s="748"/>
      <c r="G15" s="748"/>
      <c r="H15" s="748"/>
      <c r="I15" s="748"/>
      <c r="J15" s="748"/>
      <c r="K15" s="748"/>
      <c r="L15" s="748"/>
    </row>
    <row r="16" spans="2:12" ht="12.75" customHeight="1" x14ac:dyDescent="0.2">
      <c r="B16" s="15"/>
      <c r="C16" s="713" t="str">
        <f>Datumi_Datum_BU</f>
        <v>za period od 01.01. do 31.12.2025. godine</v>
      </c>
      <c r="D16" s="713"/>
      <c r="E16" s="713"/>
      <c r="F16" s="713"/>
      <c r="G16" s="713"/>
      <c r="H16" s="713"/>
      <c r="I16" s="713"/>
      <c r="J16" s="713"/>
      <c r="K16" s="713"/>
      <c r="L16" s="713"/>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736" t="str">
        <f>Tabele_zaglavlje_Grupa_racuna</f>
        <v>Grupa računa, račun</v>
      </c>
      <c r="D18" s="738" t="str">
        <f>Tabele_zaglavlje_Pozicija</f>
        <v>POZICIJA</v>
      </c>
      <c r="E18" s="738"/>
      <c r="F18" s="738"/>
      <c r="G18" s="738"/>
      <c r="H18" s="738"/>
      <c r="I18" s="749" t="str">
        <f>Tabele_zaglavlje_Oznaka_aop</f>
        <v>Oznaka za AOP</v>
      </c>
      <c r="J18" s="749" t="str">
        <f>Tabele_zaglavlje_Napomena_aop</f>
        <v>Napomena</v>
      </c>
      <c r="K18" s="690" t="str">
        <f>Tabele_zaglavlje_Iznos</f>
        <v>Iznos</v>
      </c>
      <c r="L18" s="751"/>
    </row>
    <row r="19" spans="2:16" ht="25.5" customHeight="1" x14ac:dyDescent="0.2">
      <c r="B19" s="15"/>
      <c r="C19" s="737"/>
      <c r="D19" s="739"/>
      <c r="E19" s="739"/>
      <c r="F19" s="739"/>
      <c r="G19" s="739"/>
      <c r="H19" s="739"/>
      <c r="I19" s="750"/>
      <c r="J19" s="750"/>
      <c r="K19" s="43" t="str">
        <f>Tabele_zaglavlje_Tekuca_godina</f>
        <v>Tekuća godina</v>
      </c>
      <c r="L19" s="44" t="str">
        <f>Tabele_zaglavlje_Prethodna_godina</f>
        <v>Prethodna godina</v>
      </c>
      <c r="P19" s="136" t="s">
        <v>509</v>
      </c>
    </row>
    <row r="20" spans="2:16" ht="12.75" customHeight="1" x14ac:dyDescent="0.2">
      <c r="B20" s="12" t="s">
        <v>123</v>
      </c>
      <c r="C20" s="70">
        <v>1</v>
      </c>
      <c r="D20" s="740">
        <v>2</v>
      </c>
      <c r="E20" s="740"/>
      <c r="F20" s="740"/>
      <c r="G20" s="740"/>
      <c r="H20" s="740"/>
      <c r="I20" s="71">
        <v>3</v>
      </c>
      <c r="J20" s="247">
        <v>4</v>
      </c>
      <c r="K20" s="522">
        <v>5</v>
      </c>
      <c r="L20" s="436">
        <v>6</v>
      </c>
    </row>
    <row r="21" spans="2:16" ht="12.75" customHeight="1" x14ac:dyDescent="0.2">
      <c r="B21" s="15">
        <v>263</v>
      </c>
      <c r="C21" s="73">
        <f>VLOOKUP( $B21, T_Aop[], 5, 1)</f>
        <v>0</v>
      </c>
      <c r="D21" s="741" t="str">
        <f>VLOOKUP( $B21, T_Aop[], 6, 1)</f>
        <v>A  NETO DOBIT ILI NETO GUBITAK PERIODA</v>
      </c>
      <c r="E21" s="741"/>
      <c r="F21" s="741"/>
      <c r="G21" s="741"/>
      <c r="H21" s="741"/>
      <c r="I21" s="538">
        <f>VLOOKUP( $B21, T_Aop[], 4, 1)</f>
        <v>400</v>
      </c>
      <c r="J21" s="547"/>
      <c r="K21" s="552">
        <f>'02a'!K136-'02a'!K137</f>
        <v>500825</v>
      </c>
      <c r="L21" s="553">
        <f>'02a'!L136-'02a'!L137</f>
        <v>2107399</v>
      </c>
      <c r="P21" s="27"/>
    </row>
    <row r="22" spans="2:16" ht="27" customHeight="1" x14ac:dyDescent="0.2">
      <c r="B22" s="15">
        <v>264</v>
      </c>
      <c r="C22" s="67">
        <f>VLOOKUP( $B22, T_Aop[], 5, 1)</f>
        <v>0</v>
      </c>
      <c r="D22" s="731" t="str">
        <f>VLOOKUP( $B22, T_Aop[], 6, 1)</f>
        <v xml:space="preserve">    1. Stavke koje mogu biti reklasifikovane u bilans uspjeha (±402+403±404±405-406+407)</v>
      </c>
      <c r="E22" s="731"/>
      <c r="F22" s="731"/>
      <c r="G22" s="731"/>
      <c r="H22" s="731"/>
      <c r="I22" s="64">
        <f>VLOOKUP( $B22, T_Aop[], 4, 1)</f>
        <v>401</v>
      </c>
      <c r="J22" s="548"/>
      <c r="K22" s="535">
        <f>SUBTOTAL( 9, K23:K26,K28)-SUBTOTAL( 9, K27)</f>
        <v>0</v>
      </c>
      <c r="L22" s="533">
        <f>SUBTOTAL( 9, L23:L26,L28)-SUBTOTAL( 9, L27)</f>
        <v>0</v>
      </c>
      <c r="P22" s="27"/>
    </row>
    <row r="23" spans="2:16" ht="29.25" customHeight="1" x14ac:dyDescent="0.2">
      <c r="B23" s="15">
        <v>265</v>
      </c>
      <c r="C23" s="59" t="str">
        <f>VLOOKUP( $B23, T_Aop[], 5, 1)</f>
        <v>Promjena na 332 i 333</v>
      </c>
      <c r="D23" s="729" t="str">
        <f>VLOOKUP( $B23, T_Aop[], 6, 1)</f>
        <v xml:space="preserve">      1.1 Povećanje/(smanjenje) fer vrijednosti dužničkih instrumenata po fer vrijednosti kroz ostali ukupan rezultat</v>
      </c>
      <c r="E23" s="729"/>
      <c r="F23" s="729"/>
      <c r="G23" s="729"/>
      <c r="H23" s="729"/>
      <c r="I23" s="60">
        <f>VLOOKUP( $B23, T_Aop[], 4, 1)</f>
        <v>402</v>
      </c>
      <c r="J23" s="534"/>
      <c r="K23" s="550"/>
      <c r="L23" s="439"/>
      <c r="P23" s="135" t="s">
        <v>313</v>
      </c>
    </row>
    <row r="24" spans="2:16" ht="25.5" x14ac:dyDescent="0.2">
      <c r="B24" s="15">
        <v>266</v>
      </c>
      <c r="C24" s="67" t="str">
        <f>VLOOKUP( $B24, T_Aop[], 5, 1)</f>
        <v>Promjena na 331</v>
      </c>
      <c r="D24" s="731" t="str">
        <f>VLOOKUP( $B24, T_Aop[], 6, 1)</f>
        <v xml:space="preserve">      1.2 Efekti proistekli iz transakcija zaštite ("hedging")</v>
      </c>
      <c r="E24" s="731"/>
      <c r="F24" s="731"/>
      <c r="G24" s="731"/>
      <c r="H24" s="731"/>
      <c r="I24" s="64">
        <f>VLOOKUP( $B24, T_Aop[], 4, 1)</f>
        <v>403</v>
      </c>
      <c r="J24" s="548"/>
      <c r="K24" s="167"/>
      <c r="L24" s="168"/>
      <c r="P24"/>
    </row>
    <row r="25" spans="2:16" ht="23.25" customHeight="1" x14ac:dyDescent="0.2">
      <c r="B25" s="15">
        <v>267</v>
      </c>
      <c r="C25" s="59">
        <f>VLOOKUP( $B25, T_Aop[], 5, 1)</f>
        <v>0</v>
      </c>
      <c r="D25" s="729" t="str">
        <f>VLOOKUP( $B25, T_Aop[], 6, 1)</f>
        <v xml:space="preserve">      1.3 Udio u ostalom ukupnom rezultatu pridruženog društva i zajedničkog poduhvata primjenom metode udjela</v>
      </c>
      <c r="E25" s="729"/>
      <c r="F25" s="729"/>
      <c r="G25" s="729"/>
      <c r="H25" s="729"/>
      <c r="I25" s="60">
        <f>VLOOKUP( $B25, T_Aop[], 4, 1)</f>
        <v>404</v>
      </c>
      <c r="J25" s="534"/>
      <c r="K25" s="165"/>
      <c r="L25" s="166"/>
      <c r="P25"/>
    </row>
    <row r="26" spans="2:16" ht="12.75" customHeight="1" x14ac:dyDescent="0.2">
      <c r="B26" s="15">
        <v>268</v>
      </c>
      <c r="C26" s="67">
        <f>VLOOKUP( $B26, T_Aop[], 5, 1)</f>
        <v>0</v>
      </c>
      <c r="D26" s="731" t="str">
        <f>VLOOKUP( $B26, T_Aop[], 6, 1)</f>
        <v xml:space="preserve">      1.4 Dobici ili gubici po osnovu konverzije finansijskih izvještaja inostranog poslovanja</v>
      </c>
      <c r="E26" s="731"/>
      <c r="F26" s="731"/>
      <c r="G26" s="731"/>
      <c r="H26" s="731"/>
      <c r="I26" s="64">
        <f>VLOOKUP( $B26, T_Aop[], 4, 1)</f>
        <v>405</v>
      </c>
      <c r="J26" s="548"/>
      <c r="K26" s="440"/>
      <c r="L26" s="441"/>
      <c r="P26"/>
    </row>
    <row r="27" spans="2:16" ht="24" customHeight="1" x14ac:dyDescent="0.2">
      <c r="B27" s="15">
        <v>269</v>
      </c>
      <c r="C27" s="59" t="str">
        <f>VLOOKUP( $B27, T_Aop[], 5, 1)</f>
        <v>Promjena na 339, dio</v>
      </c>
      <c r="D27" s="729" t="str">
        <f>VLOOKUP( $B27, T_Aop[], 6, 1)</f>
        <v xml:space="preserve">      1.5 Ostale stavke koje mogu biti reklasifikovane u bilans uspjeha</v>
      </c>
      <c r="E27" s="729"/>
      <c r="F27" s="729"/>
      <c r="G27" s="729"/>
      <c r="H27" s="729"/>
      <c r="I27" s="60">
        <f>VLOOKUP( $B27, T_Aop[], 4, 1)</f>
        <v>406</v>
      </c>
      <c r="J27" s="534"/>
      <c r="K27" s="165"/>
      <c r="L27" s="166"/>
      <c r="P27"/>
    </row>
    <row r="28" spans="2:16" ht="12.75" customHeight="1" x14ac:dyDescent="0.2">
      <c r="B28" s="15">
        <v>270</v>
      </c>
      <c r="C28" s="67">
        <f>VLOOKUP( $B28, T_Aop[], 5, 1)</f>
        <v>0</v>
      </c>
      <c r="D28" s="731" t="str">
        <f>VLOOKUP( $B28, T_Aop[], 6, 1)</f>
        <v xml:space="preserve">      1.6  Odloženi porez na dobit koji se odnosi na ove stavke </v>
      </c>
      <c r="E28" s="731"/>
      <c r="F28" s="731"/>
      <c r="G28" s="731"/>
      <c r="H28" s="731"/>
      <c r="I28" s="64">
        <f>VLOOKUP( $B28, T_Aop[], 4, 1)</f>
        <v>407</v>
      </c>
      <c r="J28" s="548"/>
      <c r="K28" s="167"/>
      <c r="L28" s="168"/>
      <c r="P28"/>
    </row>
    <row r="29" spans="2:16" ht="20.25" customHeight="1" x14ac:dyDescent="0.2">
      <c r="B29" s="15">
        <v>271</v>
      </c>
      <c r="C29" s="59">
        <f>VLOOKUP( $B29, T_Aop[], 5, 1)</f>
        <v>0</v>
      </c>
      <c r="D29" s="730" t="str">
        <f>VLOOKUP( $B29, T_Aop[], 6, 1)</f>
        <v xml:space="preserve">    2.  Stavke koje neće biti reklasifikovane u bilans uspjeha (± 409± 410 ± 411 ± 412 ± 413 ± 414)</v>
      </c>
      <c r="E29" s="730"/>
      <c r="F29" s="730"/>
      <c r="G29" s="730"/>
      <c r="H29" s="730"/>
      <c r="I29" s="60">
        <f>VLOOKUP( $B29, T_Aop[], 4, 1)</f>
        <v>408</v>
      </c>
      <c r="J29" s="534"/>
      <c r="K29" s="481">
        <f>SUBTOTAL( 9, K30:K35)</f>
        <v>-2011268</v>
      </c>
      <c r="L29" s="482">
        <f>SUBTOTAL( 9, L30:L35)</f>
        <v>-2221258</v>
      </c>
      <c r="P29"/>
    </row>
    <row r="30" spans="2:16" ht="25.5" x14ac:dyDescent="0.2">
      <c r="B30" s="15">
        <v>272</v>
      </c>
      <c r="C30" s="67" t="str">
        <f>VLOOKUP( $B30, T_Aop[], 5, 1)</f>
        <v>Promjena na 330</v>
      </c>
      <c r="D30" s="731" t="str">
        <f>VLOOKUP( $B30, T_Aop[], 6, 1)</f>
        <v xml:space="preserve">      2.1 Revalorizacija nekretnina, postrojenja, opreme i nematerijalne imovine</v>
      </c>
      <c r="E30" s="731"/>
      <c r="F30" s="731"/>
      <c r="G30" s="731"/>
      <c r="H30" s="731"/>
      <c r="I30" s="64">
        <f>VLOOKUP( $B30, T_Aop[], 4, 1)</f>
        <v>409</v>
      </c>
      <c r="J30" s="548"/>
      <c r="K30" s="440">
        <v>-2011268</v>
      </c>
      <c r="L30" s="441">
        <v>-2221258</v>
      </c>
      <c r="P30"/>
    </row>
    <row r="31" spans="2:16" ht="25.5" x14ac:dyDescent="0.2">
      <c r="B31" s="15">
        <v>273</v>
      </c>
      <c r="C31" s="59" t="str">
        <f>VLOOKUP( $B31, T_Aop[], 5, 1)</f>
        <v>Promjena na 332 i 333</v>
      </c>
      <c r="D31" s="729" t="str">
        <f>VLOOKUP( $B31, T_Aop[], 6, 1)</f>
        <v xml:space="preserve">      2.2  Povećanje/(smanjenje) fer vrijednosti vlasničkih instrumenata po fer vrijednosti kroz ostali ukupan rezultat</v>
      </c>
      <c r="E31" s="729"/>
      <c r="F31" s="729"/>
      <c r="G31" s="729"/>
      <c r="H31" s="729"/>
      <c r="I31" s="60">
        <f>VLOOKUP( $B31, T_Aop[], 4, 1)</f>
        <v>410</v>
      </c>
      <c r="J31" s="534"/>
      <c r="K31" s="438"/>
      <c r="L31" s="439"/>
      <c r="P31"/>
    </row>
    <row r="32" spans="2:16" ht="23.25" customHeight="1" x14ac:dyDescent="0.2">
      <c r="B32" s="15">
        <v>274</v>
      </c>
      <c r="C32" s="67" t="str">
        <f>VLOOKUP( $B32, T_Aop[], 5, 1)</f>
        <v>Promjena na 339, dio</v>
      </c>
      <c r="D32" s="731" t="str">
        <f>VLOOKUP( $B32, T_Aop[], 6, 1)</f>
        <v xml:space="preserve">      2.3  Aktuarski dobici/(gubici) od planova definisanih primanja</v>
      </c>
      <c r="E32" s="731"/>
      <c r="F32" s="731"/>
      <c r="G32" s="731"/>
      <c r="H32" s="731"/>
      <c r="I32" s="64">
        <f>VLOOKUP( $B32, T_Aop[], 4, 1)</f>
        <v>411</v>
      </c>
      <c r="J32" s="548"/>
      <c r="K32" s="551"/>
      <c r="L32" s="441"/>
      <c r="P32"/>
    </row>
    <row r="33" spans="2:16" ht="24" customHeight="1" x14ac:dyDescent="0.2">
      <c r="B33" s="15">
        <v>275</v>
      </c>
      <c r="C33" s="59">
        <f>VLOOKUP( $B33, T_Aop[], 5, 1)</f>
        <v>0</v>
      </c>
      <c r="D33" s="729" t="str">
        <f>VLOOKUP( $B33, T_Aop[], 6, 1)</f>
        <v xml:space="preserve">      2.4 Udio u ostalom ukupnom rezultatu pridruženog društva i zajedničkog poduhvata primjenom metode udjela</v>
      </c>
      <c r="E33" s="729"/>
      <c r="F33" s="729"/>
      <c r="G33" s="729"/>
      <c r="H33" s="729"/>
      <c r="I33" s="60">
        <f>VLOOKUP( $B33, T_Aop[], 4, 1)</f>
        <v>412</v>
      </c>
      <c r="J33" s="534"/>
      <c r="K33" s="438"/>
      <c r="L33" s="439"/>
      <c r="P33"/>
    </row>
    <row r="34" spans="2:16" ht="25.5" customHeight="1" x14ac:dyDescent="0.2">
      <c r="B34" s="15">
        <v>276</v>
      </c>
      <c r="C34" s="67" t="str">
        <f>VLOOKUP( $B34, T_Aop[], 5, 1)</f>
        <v>Promjena na 339, dio</v>
      </c>
      <c r="D34" s="731" t="str">
        <f>VLOOKUP( $B34, T_Aop[], 6, 1)</f>
        <v xml:space="preserve">      2.5 Ostale stavke koje neće biti reklasifikovane u bilans uspjeha</v>
      </c>
      <c r="E34" s="731"/>
      <c r="F34" s="731"/>
      <c r="G34" s="731"/>
      <c r="H34" s="731"/>
      <c r="I34" s="64">
        <f>VLOOKUP( $B34, T_Aop[], 4, 1)</f>
        <v>413</v>
      </c>
      <c r="J34" s="548"/>
      <c r="K34" s="440"/>
      <c r="L34" s="441"/>
      <c r="P34"/>
    </row>
    <row r="35" spans="2:16" ht="12.75" customHeight="1" x14ac:dyDescent="0.2">
      <c r="B35" s="15">
        <v>277</v>
      </c>
      <c r="C35" s="59">
        <f>VLOOKUP( $B35, T_Aop[], 5, 1)</f>
        <v>0</v>
      </c>
      <c r="D35" s="729" t="str">
        <f>VLOOKUP( $B35, T_Aop[], 6, 1)</f>
        <v xml:space="preserve">      2.6 Odloženi porez na dobit koji se odnosi na ove stavke</v>
      </c>
      <c r="E35" s="729"/>
      <c r="F35" s="729"/>
      <c r="G35" s="729"/>
      <c r="H35" s="729"/>
      <c r="I35" s="60">
        <f>VLOOKUP( $B35, T_Aop[], 4, 1)</f>
        <v>414</v>
      </c>
      <c r="J35" s="534"/>
      <c r="K35" s="165"/>
      <c r="L35" s="166"/>
      <c r="P35"/>
    </row>
    <row r="36" spans="2:16" ht="12.75" customHeight="1" x14ac:dyDescent="0.2">
      <c r="B36" s="15">
        <v>278</v>
      </c>
      <c r="C36" s="67">
        <f>VLOOKUP( $B36, T_Aop[], 5, 1)</f>
        <v>0</v>
      </c>
      <c r="D36" s="735" t="str">
        <f>VLOOKUP( $B36, T_Aop[], 6, 1)</f>
        <v xml:space="preserve">  B. OSTALA DOBIT/GUBITAK U PERIODU (± 401 ± 408)</v>
      </c>
      <c r="E36" s="735"/>
      <c r="F36" s="735"/>
      <c r="G36" s="735"/>
      <c r="H36" s="735"/>
      <c r="I36" s="183">
        <f>VLOOKUP( $B36, T_Aop[], 4, 1)</f>
        <v>415</v>
      </c>
      <c r="J36" s="548"/>
      <c r="K36" s="74">
        <f>SUBTOTAL( 9, K23:K26,K28)-SUBTOTAL( 9, K27)- SUBTOTAL( 9, K29:K35)</f>
        <v>2011268</v>
      </c>
      <c r="L36" s="75">
        <f>SUBTOTAL( 9, L23:L26,L28)-SUBTOTAL( 9, L27)- SUBTOTAL( 9, L29:L35)</f>
        <v>2221258</v>
      </c>
      <c r="P36"/>
    </row>
    <row r="37" spans="2:16" ht="16.5" customHeight="1" x14ac:dyDescent="0.2">
      <c r="B37" s="15">
        <v>279</v>
      </c>
      <c r="C37" s="59">
        <f>VLOOKUP( $B37, T_Aop[], 5, 1)</f>
        <v>0</v>
      </c>
      <c r="D37" s="734" t="str">
        <f>VLOOKUP( $B37, T_Aop[], 6, 1)</f>
        <v/>
      </c>
      <c r="E37" s="734"/>
      <c r="F37" s="734"/>
      <c r="G37" s="734"/>
      <c r="H37" s="734"/>
      <c r="I37" s="60">
        <f>VLOOKUP( $B37, T_Aop[], 4, 1)</f>
        <v>0</v>
      </c>
      <c r="J37" s="534"/>
      <c r="K37" s="165"/>
      <c r="L37" s="166"/>
      <c r="P37"/>
    </row>
    <row r="38" spans="2:16" ht="16.5" customHeight="1" x14ac:dyDescent="0.2">
      <c r="B38" s="15">
        <v>280</v>
      </c>
      <c r="C38" s="67">
        <f>VLOOKUP( $B38, T_Aop[], 5, 1)</f>
        <v>0</v>
      </c>
      <c r="D38" s="735" t="str">
        <f>VLOOKUP( $B38, T_Aop[], 6, 1)</f>
        <v xml:space="preserve"> V. UKUPNA DOBIT / (GUBITAK) (400± 415)</v>
      </c>
      <c r="E38" s="735"/>
      <c r="F38" s="735"/>
      <c r="G38" s="735"/>
      <c r="H38" s="735"/>
      <c r="I38" s="183">
        <f>VLOOKUP( $B38, T_Aop[], 4, 1)</f>
        <v>416</v>
      </c>
      <c r="J38" s="548"/>
      <c r="K38" s="74">
        <f>SUBTOTAL( 9, K22:K26,K28,K21)-SUBTOTAL( 9, K27)- SUBTOTAL( 9, K29:K35)</f>
        <v>2512093</v>
      </c>
      <c r="L38" s="75">
        <f>SUBTOTAL( 9, L22:L26,L28,L21)-SUBTOTAL( 9, L27)- SUBTOTAL( 9, L29:L35)</f>
        <v>4328657</v>
      </c>
      <c r="P38" s="27"/>
    </row>
    <row r="39" spans="2:16" ht="12" customHeight="1" x14ac:dyDescent="0.2">
      <c r="B39" s="15">
        <v>281</v>
      </c>
      <c r="C39" s="59">
        <f>VLOOKUP( $B39, T_Aop[], 5, 1)</f>
        <v>0</v>
      </c>
      <c r="D39" s="734" t="str">
        <f>VLOOKUP( $B39, T_Aop[], 6, 1)</f>
        <v xml:space="preserve"> </v>
      </c>
      <c r="E39" s="734"/>
      <c r="F39" s="734"/>
      <c r="G39" s="734"/>
      <c r="H39" s="734"/>
      <c r="I39" s="60">
        <f>VLOOKUP( $B39, T_Aop[], 4, 1)</f>
        <v>0</v>
      </c>
      <c r="J39" s="534"/>
      <c r="K39" s="165"/>
      <c r="L39" s="166"/>
      <c r="P39" s="27"/>
    </row>
    <row r="40" spans="2:16" ht="17.25" customHeight="1" x14ac:dyDescent="0.2">
      <c r="B40" s="15">
        <v>282</v>
      </c>
      <c r="C40" s="67"/>
      <c r="D40" s="731" t="str">
        <f>VLOOKUP( $B40, T_Aop[], 6, 1)</f>
        <v>Dio ukupne dobiti/gubitka koji pripada većinskim vlasnicima</v>
      </c>
      <c r="E40" s="731"/>
      <c r="F40" s="731"/>
      <c r="G40" s="731"/>
      <c r="H40" s="731"/>
      <c r="I40" s="64">
        <f>VLOOKUP( $B40, T_Aop[], 4, 1)</f>
        <v>417</v>
      </c>
      <c r="J40" s="548"/>
      <c r="K40" s="440"/>
      <c r="L40" s="441"/>
      <c r="P40" s="27"/>
    </row>
    <row r="41" spans="2:16" ht="17.25" customHeight="1" x14ac:dyDescent="0.2">
      <c r="B41" s="15">
        <v>283</v>
      </c>
      <c r="C41" s="263">
        <f>VLOOKUP( $B41, T_Aop[], 5, 1)</f>
        <v>0</v>
      </c>
      <c r="D41" s="733" t="str">
        <f>VLOOKUP( $B41, T_Aop[], 6, 1)</f>
        <v>Dio ukupne dobiti/gubitka koji pripada manjinskim vlasnicima</v>
      </c>
      <c r="E41" s="733"/>
      <c r="F41" s="733"/>
      <c r="G41" s="733"/>
      <c r="H41" s="733"/>
      <c r="I41" s="264">
        <f>VLOOKUP( $B41, T_Aop[], 4, 1)</f>
        <v>418</v>
      </c>
      <c r="J41" s="549"/>
      <c r="K41" s="542"/>
      <c r="L41" s="543"/>
      <c r="P41" s="27"/>
    </row>
    <row r="42" spans="2:16" ht="12.75" customHeight="1" x14ac:dyDescent="0.2">
      <c r="C42" s="37"/>
      <c r="D42" s="40"/>
      <c r="E42" s="40"/>
      <c r="F42" s="40"/>
      <c r="G42" s="40"/>
      <c r="H42" s="40"/>
      <c r="I42" s="246"/>
      <c r="J42" s="37"/>
      <c r="K42" s="37"/>
    </row>
    <row r="43" spans="2:16" ht="15" customHeight="1" x14ac:dyDescent="0.2">
      <c r="C43" s="184" t="str">
        <f>Podnozje_U</f>
        <v>U:</v>
      </c>
      <c r="D43" s="447" t="str">
        <f>Podatak_U</f>
        <v>Palama</v>
      </c>
      <c r="E43"/>
      <c r="F43" s="1" t="str">
        <f>Podnozje_Lice_sa_licencom</f>
        <v>Lice sa licencom:</v>
      </c>
      <c r="G43" s="1" t="str">
        <f>Podatak_Lice_sa_licencom</f>
        <v>Slobodan Butulija</v>
      </c>
      <c r="I43" s="37" t="str">
        <f>Podnozje_MP</f>
        <v>(M.P.)</v>
      </c>
      <c r="K43" s="1" t="str">
        <f>Podnozje_Direktor</f>
        <v>Lice ovlašćeno za zastupanje:</v>
      </c>
    </row>
    <row r="44" spans="2:16" ht="17.25" customHeight="1" x14ac:dyDescent="0.2">
      <c r="C44" s="28"/>
      <c r="D44" s="129"/>
      <c r="E44"/>
      <c r="F44" s="39" t="str">
        <f>Podnozje_Broj_licence</f>
        <v>Broj licence:</v>
      </c>
      <c r="G44" s="39" t="str">
        <f>Podatak_Broj_Licence</f>
        <v>SR-0005/26</v>
      </c>
      <c r="H44" s="545"/>
      <c r="I44"/>
      <c r="K44" s="545" t="str">
        <f>Podatak_Direktor</f>
        <v>Aco Stanišić ma.ecc.</v>
      </c>
    </row>
    <row r="45" spans="2:16" ht="12.75" customHeight="1" x14ac:dyDescent="0.2">
      <c r="C45" s="184" t="str">
        <f>Podnozje_Dana</f>
        <v>Dana:</v>
      </c>
      <c r="D45" s="446" t="str">
        <f>Podatak_Dana</f>
        <v>27.02.2026.</v>
      </c>
      <c r="E45"/>
      <c r="F45" s="732"/>
      <c r="G45" s="732"/>
      <c r="J45" s="563"/>
      <c r="K45" s="448"/>
      <c r="L45" s="564"/>
    </row>
    <row r="46" spans="2:16" ht="12.75" customHeight="1" x14ac:dyDescent="0.2">
      <c r="C46" s="184"/>
      <c r="D46" s="557"/>
      <c r="E46"/>
      <c r="F46" s="85"/>
      <c r="G46" s="85"/>
      <c r="J46" s="563"/>
      <c r="K46" s="563"/>
    </row>
    <row r="47" spans="2:16" ht="12.75" hidden="1" customHeight="1" x14ac:dyDescent="0.2">
      <c r="F47" s="40"/>
      <c r="G47" s="40"/>
      <c r="H47" s="40"/>
      <c r="I47" s="9"/>
      <c r="J47" s="37"/>
      <c r="K47" s="37"/>
    </row>
    <row r="48" spans="2:16" ht="12.75" hidden="1" customHeight="1" x14ac:dyDescent="0.2"/>
    <row r="61" x14ac:dyDescent="0.2"/>
  </sheetData>
  <sheetProtection sheet="1" objects="1" scenarios="1"/>
  <protectedRanges>
    <protectedRange sqref="J21:J41" name="Range1"/>
  </protectedRanges>
  <mergeCells count="40">
    <mergeCell ref="D24:H24"/>
    <mergeCell ref="D25:H25"/>
    <mergeCell ref="D26:H26"/>
    <mergeCell ref="D30:H30"/>
    <mergeCell ref="C15:L15"/>
    <mergeCell ref="C16:L16"/>
    <mergeCell ref="I18:I19"/>
    <mergeCell ref="J18:J19"/>
    <mergeCell ref="K18:L18"/>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s>
  <dataValidations xWindow="1273" yWindow="782" count="5">
    <dataValidation type="whole" operator="greaterThanOrEqual" allowBlank="1" showInputMessage="1" showErrorMessage="1" errorTitle="Greška" error="Unose se vrijednosti u konvertibilnim markama, bez decimalnih mjesta. Nije dozvoljen unos negativnih brojeva." sqref="K35:L35 K27:L28 K24:L25">
      <formula1>0</formula1>
    </dataValidation>
    <dataValidation operator="greaterThanOrEqual" allowBlank="1" showInputMessage="1" prompt="U ovo polje se ne unosi iznos._x000a_Polje se automatski računa u skladu sa formulom." sqref="K36:L36 K29:L29 K22:L22 K38:L38"/>
    <dataValidation type="whole" operator="notEqual" allowBlank="1" showInputMessage="1" showErrorMessage="1" errorTitle="Greška" error="Unose se vrijednosti u konvertibilnim markama, bez decimalnih mjesta." sqref="K36:L36">
      <formula1>0</formula1>
    </dataValidation>
    <dataValidation operator="notBetween" showInputMessage="1" showErrorMessage="1" errorTitle="Greška" error="Unose se vrijednosti u konvertibilnim markama, bez decimalnih mjesta. Nije dozvoljen unos negativnih brojeva." sqref="K23:L23 K26:L26 K30:L31 K33:L34 K41:L41"/>
    <dataValidation operator="greaterThanOrEqual" allowBlank="1" showInputMessage="1" showErrorMessage="1" errorTitle="Greška" error="Unose se vrijednosti u konvertibilnim markama, bez decimalnih mjesta. Nije dozvoljen unos negativnih brojeva." sqref="K21 L21"/>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3">
    <tabColor rgb="FFB2B2B2"/>
  </sheetPr>
  <dimension ref="A1:IU100"/>
  <sheetViews>
    <sheetView showGridLines="0" showRowColHeaders="0" zoomScaleSheetLayoutView="100" workbookViewId="0">
      <pane ySplit="4" topLeftCell="A50" activePane="bottomLeft" state="frozen"/>
      <selection activeCell="D15" sqref="D15"/>
      <selection pane="bottomLeft" activeCell="K42" sqref="K42"/>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53" t="str">
        <f>Zaglavlje_Naziv_preduzeca</f>
        <v xml:space="preserve">Naziv privrednog društva, zadruge, drugog pravnog lica ili preduzetnika: </v>
      </c>
      <c r="D5" s="653"/>
      <c r="E5" s="653"/>
      <c r="K5" s="9"/>
      <c r="L5" s="432" t="str">
        <f>Podatak_MB</f>
        <v>01814788</v>
      </c>
    </row>
    <row r="6" spans="3:12" ht="10.5" customHeight="1" x14ac:dyDescent="0.2">
      <c r="C6" s="653"/>
      <c r="D6" s="653"/>
      <c r="E6" s="653"/>
      <c r="F6" s="9"/>
      <c r="K6" s="9"/>
      <c r="L6" s="449" t="str">
        <f>Zaglavlje_MB</f>
        <v>Matični broj</v>
      </c>
    </row>
    <row r="7" spans="3:12" ht="9" customHeight="1" x14ac:dyDescent="0.2">
      <c r="C7" s="761" t="str">
        <f>Podatak_Naziv_preduzeca</f>
        <v>ODS ELEKTRODISTRIBUCIJA AD PALE</v>
      </c>
      <c r="D7" s="761"/>
      <c r="E7" s="761"/>
      <c r="F7" s="761"/>
      <c r="K7" s="9"/>
      <c r="L7" s="432" t="str">
        <f>Podatak_Sifra_djelatnosti</f>
        <v>35.13</v>
      </c>
    </row>
    <row r="8" spans="3:12" x14ac:dyDescent="0.2">
      <c r="C8" s="127" t="str">
        <f>Zaglavlje_Sjediste</f>
        <v>Sjedište:</v>
      </c>
      <c r="D8" s="762" t="str">
        <f>Podatak_Sjediste</f>
        <v>PALE</v>
      </c>
      <c r="E8" s="762"/>
      <c r="F8" s="762"/>
      <c r="K8" s="9"/>
      <c r="L8" s="449" t="str">
        <f>Zaglavlje_Sifra_djelatnosti</f>
        <v>Šifra djelatnosti</v>
      </c>
    </row>
    <row r="9" spans="3:12" ht="12.75" customHeight="1" x14ac:dyDescent="0.2">
      <c r="C9" s="664" t="str">
        <f>Zaglavlje_Ziro_racun</f>
        <v>Račun kod ovlašćene organizacije za platni promet:</v>
      </c>
      <c r="D9" s="664"/>
      <c r="E9" s="664"/>
      <c r="F9" s="17"/>
      <c r="K9" s="9"/>
      <c r="L9" s="432" t="str">
        <f>Podatak_JIB</f>
        <v>4400570050004</v>
      </c>
    </row>
    <row r="10" spans="3:12" x14ac:dyDescent="0.2">
      <c r="C10" s="744" t="str">
        <f>Podatak_Ziro_racun_1</f>
        <v>562-012-00002669-48</v>
      </c>
      <c r="D10" s="744"/>
      <c r="E10" s="744"/>
      <c r="F10" s="744"/>
      <c r="K10" s="714" t="str">
        <f>Zaglavlje_JIB</f>
        <v>JIB</v>
      </c>
      <c r="L10" s="714"/>
    </row>
    <row r="11" spans="3:12" ht="10.5" customHeight="1" x14ac:dyDescent="0.2">
      <c r="C11" s="746" t="str">
        <f>Podatak_Ziro_racun_2</f>
        <v>555-002-00004363-23</v>
      </c>
      <c r="D11" s="746"/>
      <c r="E11" s="746"/>
      <c r="F11" s="746"/>
    </row>
    <row r="12" spans="3:12" ht="10.5" customHeight="1" x14ac:dyDescent="0.2">
      <c r="C12" s="744" t="str">
        <f>Podatak_Ziro_racun_3</f>
        <v>551-031-00007369-23</v>
      </c>
      <c r="D12" s="744"/>
      <c r="E12" s="744"/>
      <c r="F12" s="744"/>
    </row>
    <row r="13" spans="3:12" ht="9.75" customHeight="1" x14ac:dyDescent="0.2">
      <c r="C13" s="710" t="str">
        <f>Podatak_Ziro_racun_4</f>
        <v>571-050-00000510-66</v>
      </c>
      <c r="D13" s="710"/>
      <c r="E13" s="710"/>
      <c r="F13" s="710"/>
      <c r="G13" s="18"/>
      <c r="H13" s="18"/>
      <c r="I13" s="18"/>
      <c r="J13"/>
      <c r="K13"/>
    </row>
    <row r="14" spans="3:12" ht="15.75" x14ac:dyDescent="0.2">
      <c r="C14" s="759" t="str">
        <f>IF( Id_Konsolidovani, Nazivi_bilansa_Konsolidovani_naziv &amp; LOWER( Nazivi_bilansa_BTG), Nazivi_bilansa_BTG)</f>
        <v>Bilans tokova gotovine</v>
      </c>
      <c r="D14" s="759"/>
      <c r="E14" s="759"/>
      <c r="F14" s="759"/>
      <c r="G14" s="759"/>
      <c r="H14" s="759"/>
      <c r="I14" s="759"/>
      <c r="J14" s="759"/>
      <c r="K14" s="759"/>
      <c r="L14" s="759"/>
    </row>
    <row r="15" spans="3:12" x14ac:dyDescent="0.2">
      <c r="C15" s="760" t="str">
        <f>Nazivi_bilansa_BTG1</f>
        <v>(Izvještaj o tokovima gotovine)</v>
      </c>
      <c r="D15" s="760"/>
      <c r="E15" s="760"/>
      <c r="F15" s="760"/>
      <c r="G15" s="760"/>
      <c r="H15" s="760"/>
      <c r="I15" s="760"/>
      <c r="J15" s="760"/>
      <c r="K15" s="760"/>
      <c r="L15" s="760"/>
    </row>
    <row r="16" spans="3:12" x14ac:dyDescent="0.2">
      <c r="C16" s="760" t="str">
        <f>Datumi_Datum_BTG</f>
        <v>za period od 01.01. do 31.12.2025. godine</v>
      </c>
      <c r="D16" s="760"/>
      <c r="E16" s="760"/>
      <c r="F16" s="760"/>
      <c r="G16" s="760"/>
      <c r="H16" s="760"/>
      <c r="I16" s="760"/>
      <c r="J16" s="760"/>
      <c r="K16" s="760"/>
      <c r="L16" s="760"/>
    </row>
    <row r="17" spans="2:16" ht="11.25" customHeight="1" x14ac:dyDescent="0.2">
      <c r="D17" s="18"/>
      <c r="E17" s="18"/>
      <c r="F17" s="18"/>
      <c r="G17" s="18"/>
      <c r="H17" s="18"/>
      <c r="I17" s="18"/>
      <c r="J17" s="18"/>
      <c r="K17" s="47" t="str">
        <f>Tabele_zaglavlje_Valuta</f>
        <v>- u konvertibilnim markama -</v>
      </c>
    </row>
    <row r="18" spans="2:16" x14ac:dyDescent="0.2">
      <c r="C18" s="736" t="str">
        <f>Tabele_zaglavlje_Redni_broj</f>
        <v>Redni broj</v>
      </c>
      <c r="D18" s="738" t="str">
        <f>Tabele_zaglavlje_Pozicija</f>
        <v>POZICIJA</v>
      </c>
      <c r="E18" s="738"/>
      <c r="F18" s="738"/>
      <c r="G18" s="738"/>
      <c r="H18" s="738"/>
      <c r="I18" s="749" t="str">
        <f>Tabele_zaglavlje_Oznaka_aop</f>
        <v>Oznaka za AOP</v>
      </c>
      <c r="J18" s="749" t="str">
        <f>Tabele_zaglavlje_Napomena_aop</f>
        <v>Napomena</v>
      </c>
      <c r="K18" s="690" t="str">
        <f>Tabele_zaglavlje_Iznos</f>
        <v>Iznos</v>
      </c>
      <c r="L18" s="691"/>
      <c r="N18" s="42"/>
    </row>
    <row r="19" spans="2:16" ht="25.5" x14ac:dyDescent="0.2">
      <c r="C19" s="737"/>
      <c r="D19" s="739"/>
      <c r="E19" s="739"/>
      <c r="F19" s="739"/>
      <c r="G19" s="739"/>
      <c r="H19" s="739"/>
      <c r="I19" s="750"/>
      <c r="J19" s="750"/>
      <c r="K19" s="43" t="str">
        <f>Tabele_zaglavlje_Tekuca_godina</f>
        <v>Tekuća godina</v>
      </c>
      <c r="L19" s="44" t="str">
        <f>Tabele_zaglavlje_Prethodna_godina</f>
        <v>Prethodna godina</v>
      </c>
      <c r="N19" s="42"/>
      <c r="P19" s="136" t="s">
        <v>509</v>
      </c>
    </row>
    <row r="20" spans="2:16" x14ac:dyDescent="0.2">
      <c r="B20" s="45" t="s">
        <v>123</v>
      </c>
      <c r="C20" s="70">
        <v>1</v>
      </c>
      <c r="D20" s="740">
        <v>2</v>
      </c>
      <c r="E20" s="740"/>
      <c r="F20" s="740"/>
      <c r="G20" s="740"/>
      <c r="H20" s="740"/>
      <c r="I20" s="71">
        <v>3</v>
      </c>
      <c r="J20" s="255"/>
      <c r="K20" s="501">
        <v>4</v>
      </c>
      <c r="L20" s="502">
        <v>5</v>
      </c>
    </row>
    <row r="21" spans="2:16" ht="21.75" customHeight="1" x14ac:dyDescent="0.2">
      <c r="B21" s="48">
        <v>284</v>
      </c>
      <c r="C21" s="72" t="str">
        <f>VLOOKUP( $B21, T_Aop[], 5, 1)</f>
        <v>A_x000D_
I</v>
      </c>
      <c r="D21" s="753" t="str">
        <f>VLOOKUP( $B21, T_Aop[], 6, 1)</f>
        <v>TOKOVI GOTOVINE IZ POSLOVNIH AKTIVNOSTI 
Prilivi gotovine iz poslovne aktivnosti (502 do 505)</v>
      </c>
      <c r="E21" s="753"/>
      <c r="F21" s="753"/>
      <c r="G21" s="753"/>
      <c r="H21" s="753"/>
      <c r="I21" s="500">
        <f>VLOOKUP( $B21, T_Aop[], 4, 1)</f>
        <v>501</v>
      </c>
      <c r="J21" s="215"/>
      <c r="K21" s="433">
        <f>SUBTOTAL( 9, K22:K25)</f>
        <v>40513761</v>
      </c>
      <c r="L21" s="434">
        <f>SUBTOTAL( 9, L22:L25)</f>
        <v>40423121</v>
      </c>
      <c r="P21" s="27"/>
    </row>
    <row r="22" spans="2:16" ht="12" customHeight="1" x14ac:dyDescent="0.2">
      <c r="B22" s="48">
        <v>285</v>
      </c>
      <c r="C22" s="59" t="str">
        <f>VLOOKUP( $B22, T_Aop[], 5, 1)</f>
        <v>1</v>
      </c>
      <c r="D22" s="729" t="str">
        <f>VLOOKUP( $B22, T_Aop[], 6, 1)</f>
        <v xml:space="preserve">    Prilivi od kupaca i primljeni avansi u zemlji</v>
      </c>
      <c r="E22" s="729"/>
      <c r="F22" s="729"/>
      <c r="G22" s="729"/>
      <c r="H22" s="729"/>
      <c r="I22" s="60">
        <f>VLOOKUP( $B22, T_Aop[], 4, 1)</f>
        <v>502</v>
      </c>
      <c r="J22" s="157"/>
      <c r="K22" s="157">
        <v>40230753</v>
      </c>
      <c r="L22" s="157">
        <v>40130950</v>
      </c>
      <c r="P22" s="27"/>
    </row>
    <row r="23" spans="2:16" ht="12" customHeight="1" x14ac:dyDescent="0.2">
      <c r="B23" s="48">
        <v>286</v>
      </c>
      <c r="C23" s="63" t="str">
        <f>VLOOKUP( $B23, T_Aop[], 5, 1)</f>
        <v>2</v>
      </c>
      <c r="D23" s="754" t="str">
        <f>VLOOKUP( $B23, T_Aop[], 6, 1)</f>
        <v xml:space="preserve">    Prilivi od kupaca i primljeni avansi u inostranstvu</v>
      </c>
      <c r="E23" s="754"/>
      <c r="F23" s="754"/>
      <c r="G23" s="754"/>
      <c r="H23" s="754"/>
      <c r="I23" s="76">
        <f>VLOOKUP( $B23, T_Aop[], 4, 1)</f>
        <v>503</v>
      </c>
      <c r="J23" s="159"/>
      <c r="K23" s="159"/>
      <c r="L23" s="159"/>
      <c r="P23" s="27"/>
    </row>
    <row r="24" spans="2:16" ht="12" customHeight="1" x14ac:dyDescent="0.2">
      <c r="B24" s="48">
        <v>287</v>
      </c>
      <c r="C24" s="59" t="str">
        <f>VLOOKUP( $B24, T_Aop[], 5, 1)</f>
        <v>3</v>
      </c>
      <c r="D24" s="729" t="str">
        <f>VLOOKUP( $B24, T_Aop[], 6, 1)</f>
        <v xml:space="preserve">    Prilivi od premija, subvencija, dotacija i sl.</v>
      </c>
      <c r="E24" s="729"/>
      <c r="F24" s="729"/>
      <c r="G24" s="729"/>
      <c r="H24" s="729"/>
      <c r="I24" s="60">
        <f>VLOOKUP( $B24, T_Aop[], 4, 1)</f>
        <v>504</v>
      </c>
      <c r="J24" s="157"/>
      <c r="K24" s="157"/>
      <c r="L24" s="157"/>
      <c r="P24" s="27"/>
    </row>
    <row r="25" spans="2:16" ht="12" customHeight="1" x14ac:dyDescent="0.2">
      <c r="B25" s="48">
        <v>288</v>
      </c>
      <c r="C25" s="63" t="str">
        <f>VLOOKUP( $B25, T_Aop[], 5, 1)</f>
        <v>4</v>
      </c>
      <c r="D25" s="754" t="str">
        <f>VLOOKUP( $B25, T_Aop[], 6, 1)</f>
        <v xml:space="preserve">    Ostali prilivi iz poslovnih aktivnosti</v>
      </c>
      <c r="E25" s="754"/>
      <c r="F25" s="754"/>
      <c r="G25" s="754"/>
      <c r="H25" s="754"/>
      <c r="I25" s="76">
        <f>VLOOKUP( $B25, T_Aop[], 4, 1)</f>
        <v>505</v>
      </c>
      <c r="J25" s="159"/>
      <c r="K25" s="161">
        <f>283008</f>
        <v>283008</v>
      </c>
      <c r="L25" s="161">
        <f>292171</f>
        <v>292171</v>
      </c>
      <c r="P25" s="27"/>
    </row>
    <row r="26" spans="2:16" ht="12" customHeight="1" x14ac:dyDescent="0.2">
      <c r="B26" s="48">
        <v>289</v>
      </c>
      <c r="C26" s="59" t="str">
        <f>VLOOKUP( $B26, T_Aop[], 5, 1)</f>
        <v>II</v>
      </c>
      <c r="D26" s="734" t="str">
        <f>VLOOKUP( $B26, T_Aop[], 6, 1)</f>
        <v xml:space="preserve">    Odlivi gotovine iz poslovnih aktivnosti (507 do 512)</v>
      </c>
      <c r="E26" s="734"/>
      <c r="F26" s="734"/>
      <c r="G26" s="734"/>
      <c r="H26" s="734"/>
      <c r="I26" s="182">
        <f>VLOOKUP( $B26, T_Aop[], 4, 1)</f>
        <v>506</v>
      </c>
      <c r="J26" s="157"/>
      <c r="K26" s="61">
        <f>SUBTOTAL( 9, K27:K32)</f>
        <v>35851699</v>
      </c>
      <c r="L26" s="62">
        <f>SUBTOTAL( 9, L27:L32)</f>
        <v>34244083</v>
      </c>
      <c r="P26" s="27"/>
    </row>
    <row r="27" spans="2:16" ht="12" customHeight="1" x14ac:dyDescent="0.2">
      <c r="B27" s="48">
        <v>290</v>
      </c>
      <c r="C27" s="63" t="str">
        <f>VLOOKUP( $B27, T_Aop[], 5, 1)</f>
        <v>1</v>
      </c>
      <c r="D27" s="754" t="str">
        <f>VLOOKUP( $B27, T_Aop[], 6, 1)</f>
        <v xml:space="preserve">    Odlivi po osnovu isplata dobavljačima i dati avansi u zemlji</v>
      </c>
      <c r="E27" s="754"/>
      <c r="F27" s="754"/>
      <c r="G27" s="754"/>
      <c r="H27" s="754"/>
      <c r="I27" s="76">
        <f>VLOOKUP( $B27, T_Aop[], 4, 1)</f>
        <v>507</v>
      </c>
      <c r="J27" s="159"/>
      <c r="K27" s="159">
        <v>17379908</v>
      </c>
      <c r="L27" s="159">
        <v>16456933</v>
      </c>
      <c r="P27" s="27"/>
    </row>
    <row r="28" spans="2:16" ht="12" customHeight="1" x14ac:dyDescent="0.2">
      <c r="B28" s="48">
        <v>291</v>
      </c>
      <c r="C28" s="59" t="str">
        <f>VLOOKUP( $B28, T_Aop[], 5, 1)</f>
        <v>2</v>
      </c>
      <c r="D28" s="729" t="str">
        <f>VLOOKUP( $B28, T_Aop[], 6, 1)</f>
        <v xml:space="preserve">    Odlivi po osnovu isplata dobavljačima i dati avansi u inostranstvu</v>
      </c>
      <c r="E28" s="729"/>
      <c r="F28" s="729"/>
      <c r="G28" s="729"/>
      <c r="H28" s="729"/>
      <c r="I28" s="60">
        <f>VLOOKUP( $B28, T_Aop[], 4, 1)</f>
        <v>508</v>
      </c>
      <c r="J28" s="157"/>
      <c r="K28" s="157">
        <v>158770</v>
      </c>
      <c r="L28" s="157">
        <v>105527</v>
      </c>
      <c r="P28" s="27"/>
    </row>
    <row r="29" spans="2:16" ht="12" customHeight="1" x14ac:dyDescent="0.2">
      <c r="B29" s="48">
        <v>292</v>
      </c>
      <c r="C29" s="63" t="str">
        <f>VLOOKUP( $B29, T_Aop[], 5, 1)</f>
        <v>3</v>
      </c>
      <c r="D29" s="754" t="str">
        <f>VLOOKUP( $B29, T_Aop[], 6, 1)</f>
        <v xml:space="preserve">    Odlivi po osnovu plaćenih kamata</v>
      </c>
      <c r="E29" s="754"/>
      <c r="F29" s="754"/>
      <c r="G29" s="754"/>
      <c r="H29" s="754"/>
      <c r="I29" s="76">
        <f>VLOOKUP( $B29, T_Aop[], 4, 1)</f>
        <v>509</v>
      </c>
      <c r="J29" s="159"/>
      <c r="K29" s="159">
        <v>299302</v>
      </c>
      <c r="L29" s="159">
        <v>329749</v>
      </c>
      <c r="P29" s="27"/>
    </row>
    <row r="30" spans="2:16" ht="12" customHeight="1" x14ac:dyDescent="0.2">
      <c r="B30" s="48">
        <v>293</v>
      </c>
      <c r="C30" s="59" t="str">
        <f>VLOOKUP( $B30, T_Aop[], 5, 1)</f>
        <v>4</v>
      </c>
      <c r="D30" s="729" t="str">
        <f>VLOOKUP( $B30, T_Aop[], 6, 1)</f>
        <v xml:space="preserve">    Odlivi po osnovu isplata zarada, naknada zarada i ostalih ličnih rashoda</v>
      </c>
      <c r="E30" s="729"/>
      <c r="F30" s="729"/>
      <c r="G30" s="729"/>
      <c r="H30" s="729"/>
      <c r="I30" s="60">
        <f>VLOOKUP( $B30, T_Aop[], 4, 1)</f>
        <v>510</v>
      </c>
      <c r="J30" s="157"/>
      <c r="K30" s="157">
        <v>14493362</v>
      </c>
      <c r="L30" s="157">
        <v>14252061</v>
      </c>
      <c r="P30" s="27"/>
    </row>
    <row r="31" spans="2:16" ht="12" customHeight="1" x14ac:dyDescent="0.2">
      <c r="B31" s="48">
        <v>294</v>
      </c>
      <c r="C31" s="63" t="str">
        <f>VLOOKUP( $B31, T_Aop[], 5, 1)</f>
        <v>5</v>
      </c>
      <c r="D31" s="754" t="str">
        <f>VLOOKUP( $B31, T_Aop[], 6, 1)</f>
        <v xml:space="preserve">    Odlivi po osnovu poreza na dobit</v>
      </c>
      <c r="E31" s="754"/>
      <c r="F31" s="754"/>
      <c r="G31" s="754"/>
      <c r="H31" s="754"/>
      <c r="I31" s="76">
        <f>VLOOKUP( $B31, T_Aop[], 4, 1)</f>
        <v>511</v>
      </c>
      <c r="J31" s="159"/>
      <c r="K31" s="159">
        <v>68932</v>
      </c>
      <c r="L31" s="159">
        <v>175948</v>
      </c>
      <c r="P31" s="27"/>
    </row>
    <row r="32" spans="2:16" ht="12" customHeight="1" x14ac:dyDescent="0.2">
      <c r="B32" s="48">
        <v>295</v>
      </c>
      <c r="C32" s="59" t="str">
        <f>VLOOKUP( $B32, T_Aop[], 5, 1)</f>
        <v>6</v>
      </c>
      <c r="D32" s="729" t="str">
        <f>VLOOKUP( $B32, T_Aop[], 6, 1)</f>
        <v xml:space="preserve">    Ostali odlivi iz poslovnih aktivnosti</v>
      </c>
      <c r="E32" s="729"/>
      <c r="F32" s="729"/>
      <c r="G32" s="729"/>
      <c r="H32" s="729"/>
      <c r="I32" s="60">
        <f>VLOOKUP( $B32, T_Aop[], 4, 1)</f>
        <v>512</v>
      </c>
      <c r="J32" s="157"/>
      <c r="K32" s="157">
        <f>3448394+3031</f>
        <v>3451425</v>
      </c>
      <c r="L32" s="157">
        <f>2920860+3005</f>
        <v>2923865</v>
      </c>
      <c r="P32" s="27"/>
    </row>
    <row r="33" spans="2:16" x14ac:dyDescent="0.2">
      <c r="B33" s="48">
        <v>296</v>
      </c>
      <c r="C33" s="63" t="str">
        <f>VLOOKUP( $B33, T_Aop[], 5, 1)</f>
        <v>III</v>
      </c>
      <c r="D33" s="755" t="str">
        <f>VLOOKUP( $B33, T_Aop[], 6, 1)</f>
        <v xml:space="preserve">  Neto priliv gotovine iz poslovnih aktivnosti (501 – 506)</v>
      </c>
      <c r="E33" s="755"/>
      <c r="F33" s="755"/>
      <c r="G33" s="755"/>
      <c r="H33" s="755"/>
      <c r="I33" s="195">
        <f>VLOOKUP( $B33, T_Aop[], 4, 1)</f>
        <v>513</v>
      </c>
      <c r="J33" s="159"/>
      <c r="K33" s="68">
        <f>IF( SUBTOTAL( 9, K21:K25) - SUBTOTAL( 9, K26:K32) &lt;= 0, 0, ABS( SUBTOTAL( 9, K21:K25) - SUBTOTAL( 9, K26:K32)) )</f>
        <v>4662062</v>
      </c>
      <c r="L33" s="69">
        <f>IF( SUBTOTAL( 9, L21:L25) - SUBTOTAL( 9, L26:L32) &lt;= 0, 0, ABS( SUBTOTAL( 9, L21:L25) - SUBTOTAL( 9, L26:L32)) )</f>
        <v>6179038</v>
      </c>
      <c r="P33" s="27"/>
    </row>
    <row r="34" spans="2:16" x14ac:dyDescent="0.2">
      <c r="B34" s="48">
        <v>297</v>
      </c>
      <c r="C34" s="59" t="str">
        <f>VLOOKUP( $B34, T_Aop[], 5, 1)</f>
        <v>IV</v>
      </c>
      <c r="D34" s="734" t="str">
        <f>VLOOKUP( $B34, T_Aop[], 6, 1)</f>
        <v xml:space="preserve">  Neto odliv gotovine iz poslovnih aktivnosti (506 – 501)</v>
      </c>
      <c r="E34" s="734"/>
      <c r="F34" s="734"/>
      <c r="G34" s="734"/>
      <c r="H34" s="734"/>
      <c r="I34" s="182">
        <f>VLOOKUP( $B34, T_Aop[], 4, 1)</f>
        <v>514</v>
      </c>
      <c r="J34" s="157"/>
      <c r="K34" s="61">
        <f>IF( SUBTOTAL( 9, K21:K25) - SUBTOTAL( 9, K26:K32) &gt;= 0, 0, ABS( SUBTOTAL( 9, K21:K25) - SUBTOTAL( 9, K26:K32)) )</f>
        <v>0</v>
      </c>
      <c r="L34" s="62">
        <f>IF( SUBTOTAL( 9, L21:L25) - SUBTOTAL( 9, L26:L32) &gt;= 0, 0, ABS( SUBTOTAL( 9, L21:L25) - SUBTOTAL( 9, L26:L32)) )</f>
        <v>0</v>
      </c>
      <c r="P34" s="27"/>
    </row>
    <row r="35" spans="2:16" ht="23.25" customHeight="1" x14ac:dyDescent="0.2">
      <c r="B35" s="48">
        <v>298</v>
      </c>
      <c r="C35" s="63" t="str">
        <f>VLOOKUP( $B35, T_Aop[], 5, 1)</f>
        <v>B_x000D_
I</v>
      </c>
      <c r="D35" s="755" t="str">
        <f>VLOOKUP( $B35, T_Aop[], 6, 1)</f>
        <v>TOKOVI GOTOVINE IZ AKTIVNOSTI INVESTIRANJA
Prilivi gotovine iz aktivnosti investiranja (516 do 530)</v>
      </c>
      <c r="E35" s="755"/>
      <c r="F35" s="755"/>
      <c r="G35" s="755"/>
      <c r="H35" s="755"/>
      <c r="I35" s="195">
        <f>VLOOKUP( $B35, T_Aop[], 4, 1)</f>
        <v>515</v>
      </c>
      <c r="J35" s="159"/>
      <c r="K35" s="68">
        <f>SUBTOTAL( 9, K36:K50)</f>
        <v>15069</v>
      </c>
      <c r="L35" s="69">
        <f>SUBTOTAL( 9, L36:L50)</f>
        <v>214516</v>
      </c>
      <c r="P35" s="27"/>
    </row>
    <row r="36" spans="2:16" ht="21" customHeight="1" x14ac:dyDescent="0.2">
      <c r="B36" s="48">
        <v>299</v>
      </c>
      <c r="C36" s="59" t="str">
        <f>VLOOKUP( $B36, T_Aop[], 5, 1)</f>
        <v>1</v>
      </c>
      <c r="D36" s="729" t="str">
        <f>VLOOKUP( $B36, T_Aop[], 6, 1)</f>
        <v xml:space="preserve">    Prilivi gotovine po osnovu prodaje akcija i udjela zavisnih i pridruženih društava i zajedničkih poduhvata</v>
      </c>
      <c r="E36" s="729"/>
      <c r="F36" s="729"/>
      <c r="G36" s="729"/>
      <c r="H36" s="729"/>
      <c r="I36" s="60">
        <f>VLOOKUP( $B36, T_Aop[], 4, 1)</f>
        <v>516</v>
      </c>
      <c r="J36" s="157"/>
      <c r="K36" s="157"/>
      <c r="L36" s="158"/>
      <c r="P36" s="27"/>
    </row>
    <row r="37" spans="2:16" ht="12" customHeight="1" x14ac:dyDescent="0.2">
      <c r="B37" s="48">
        <v>300</v>
      </c>
      <c r="C37" s="63" t="str">
        <f>VLOOKUP( $B37, T_Aop[], 5, 1)</f>
        <v>2</v>
      </c>
      <c r="D37" s="754" t="str">
        <f>VLOOKUP( $B37, T_Aop[], 6, 1)</f>
        <v xml:space="preserve">    Prilivi po osnovu prodaje nekretnina, postrojenja i opreme</v>
      </c>
      <c r="E37" s="754"/>
      <c r="F37" s="754"/>
      <c r="G37" s="754"/>
      <c r="H37" s="754"/>
      <c r="I37" s="76">
        <f>VLOOKUP( $B37, T_Aop[], 4, 1)</f>
        <v>517</v>
      </c>
      <c r="J37" s="159"/>
      <c r="K37" s="161"/>
      <c r="L37" s="161"/>
      <c r="P37" s="27"/>
    </row>
    <row r="38" spans="2:16" ht="12" customHeight="1" x14ac:dyDescent="0.2">
      <c r="B38" s="48">
        <v>301</v>
      </c>
      <c r="C38" s="59" t="str">
        <f>VLOOKUP( $B38, T_Aop[], 5, 1)</f>
        <v>3</v>
      </c>
      <c r="D38" s="729" t="str">
        <f>VLOOKUP( $B38, T_Aop[], 6, 1)</f>
        <v xml:space="preserve">    Prilivi po osnovu prodaje investicionih nekretnina</v>
      </c>
      <c r="E38" s="729"/>
      <c r="F38" s="729"/>
      <c r="G38" s="729"/>
      <c r="H38" s="729"/>
      <c r="I38" s="60">
        <f>VLOOKUP( $B38, T_Aop[], 4, 1)</f>
        <v>518</v>
      </c>
      <c r="J38" s="157"/>
      <c r="K38" s="157"/>
      <c r="L38" s="158"/>
      <c r="P38" s="135" t="s">
        <v>313</v>
      </c>
    </row>
    <row r="39" spans="2:16" ht="12" customHeight="1" x14ac:dyDescent="0.2">
      <c r="B39" s="48">
        <v>302</v>
      </c>
      <c r="C39" s="63" t="str">
        <f>VLOOKUP( $B39, T_Aop[], 5, 1)</f>
        <v>4</v>
      </c>
      <c r="D39" s="754" t="str">
        <f>VLOOKUP( $B39, T_Aop[], 6, 1)</f>
        <v xml:space="preserve">    Prilivi po osnovu prodaje bioloških sredstava</v>
      </c>
      <c r="E39" s="754"/>
      <c r="F39" s="754"/>
      <c r="G39" s="754"/>
      <c r="H39" s="754"/>
      <c r="I39" s="76">
        <f>VLOOKUP( $B39, T_Aop[], 4, 1)</f>
        <v>519</v>
      </c>
      <c r="J39" s="159"/>
      <c r="K39" s="161"/>
      <c r="L39" s="162"/>
      <c r="P39" s="27"/>
    </row>
    <row r="40" spans="2:16" ht="12" customHeight="1" x14ac:dyDescent="0.2">
      <c r="B40" s="48">
        <v>303</v>
      </c>
      <c r="C40" s="59" t="str">
        <f>VLOOKUP( $B40, T_Aop[], 5, 1)</f>
        <v>5</v>
      </c>
      <c r="D40" s="729" t="str">
        <f>VLOOKUP( $B40, T_Aop[], 6, 1)</f>
        <v xml:space="preserve">    Prilivi po osnovu prodaje nematerijalnih sredstava</v>
      </c>
      <c r="E40" s="729"/>
      <c r="F40" s="729"/>
      <c r="G40" s="729"/>
      <c r="H40" s="729"/>
      <c r="I40" s="60">
        <f>VLOOKUP( $B40, T_Aop[], 4, 1)</f>
        <v>520</v>
      </c>
      <c r="J40" s="157"/>
      <c r="K40" s="157"/>
      <c r="L40" s="158"/>
      <c r="P40" s="27"/>
    </row>
    <row r="41" spans="2:16" ht="12" customHeight="1" x14ac:dyDescent="0.2">
      <c r="B41" s="48">
        <v>304</v>
      </c>
      <c r="C41" s="63" t="str">
        <f>VLOOKUP( $B41, T_Aop[], 5, 1)</f>
        <v>6</v>
      </c>
      <c r="D41" s="754" t="str">
        <f>VLOOKUP( $B41, T_Aop[], 6, 1)</f>
        <v xml:space="preserve">    Prilivi po osnovu prodaje stalnih sredstava namijenjenih prodaji</v>
      </c>
      <c r="E41" s="754"/>
      <c r="F41" s="754"/>
      <c r="G41" s="754"/>
      <c r="H41" s="754"/>
      <c r="I41" s="76">
        <f>VLOOKUP( $B41, T_Aop[], 4, 1)</f>
        <v>521</v>
      </c>
      <c r="J41" s="159"/>
      <c r="K41" s="161"/>
      <c r="L41" s="161"/>
      <c r="P41" s="27"/>
    </row>
    <row r="42" spans="2:16" ht="12" customHeight="1" x14ac:dyDescent="0.2">
      <c r="B42" s="48">
        <v>305</v>
      </c>
      <c r="C42" s="59" t="str">
        <f>VLOOKUP( $B42, T_Aop[], 5, 1)</f>
        <v>7</v>
      </c>
      <c r="D42" s="729" t="str">
        <f>VLOOKUP( $B42, T_Aop[], 6, 1)</f>
        <v xml:space="preserve">    Prilivi od finansijskih sredstava po fer vrijednosti kroz ostali ukupni rezultat</v>
      </c>
      <c r="E42" s="729"/>
      <c r="F42" s="729"/>
      <c r="G42" s="729"/>
      <c r="H42" s="729"/>
      <c r="I42" s="60">
        <f>VLOOKUP( $B42, T_Aop[], 4, 1)</f>
        <v>522</v>
      </c>
      <c r="J42" s="157"/>
      <c r="K42" s="157"/>
      <c r="L42" s="158"/>
      <c r="P42" s="27"/>
    </row>
    <row r="43" spans="2:16" ht="12" customHeight="1" x14ac:dyDescent="0.2">
      <c r="B43" s="48">
        <v>306</v>
      </c>
      <c r="C43" s="63" t="str">
        <f>VLOOKUP( $B43, T_Aop[], 5, 1)</f>
        <v>8</v>
      </c>
      <c r="D43" s="754" t="str">
        <f>VLOOKUP( $B43, T_Aop[], 6, 1)</f>
        <v xml:space="preserve">    Prilivi od finansijskih sredstva po fer vrijednosti kroz bilans uspjeha</v>
      </c>
      <c r="E43" s="754"/>
      <c r="F43" s="754"/>
      <c r="G43" s="754"/>
      <c r="H43" s="754"/>
      <c r="I43" s="76">
        <f>VLOOKUP( $B43, T_Aop[], 4, 1)</f>
        <v>523</v>
      </c>
      <c r="J43" s="159"/>
      <c r="K43" s="161"/>
      <c r="L43" s="162"/>
      <c r="P43" s="27"/>
    </row>
    <row r="44" spans="2:16" ht="12" customHeight="1" x14ac:dyDescent="0.2">
      <c r="B44" s="48">
        <v>307</v>
      </c>
      <c r="C44" s="59" t="str">
        <f>VLOOKUP( $B44, T_Aop[], 5, 1)</f>
        <v>9</v>
      </c>
      <c r="D44" s="729" t="str">
        <f>VLOOKUP( $B44, T_Aop[], 6, 1)</f>
        <v xml:space="preserve">    Prilivi od ostalih finansijskih sredstava po amortizovanoj vrijednosti</v>
      </c>
      <c r="E44" s="729"/>
      <c r="F44" s="729"/>
      <c r="G44" s="729"/>
      <c r="H44" s="729"/>
      <c r="I44" s="60">
        <f>VLOOKUP( $B44, T_Aop[], 4, 1)</f>
        <v>524</v>
      </c>
      <c r="J44" s="157"/>
      <c r="K44" s="157"/>
      <c r="L44" s="158"/>
      <c r="P44" s="27"/>
    </row>
    <row r="45" spans="2:16" ht="12" customHeight="1" x14ac:dyDescent="0.2">
      <c r="B45" s="48">
        <v>308</v>
      </c>
      <c r="C45" s="63" t="str">
        <f>VLOOKUP( $B45, T_Aop[], 5, 1)</f>
        <v>10</v>
      </c>
      <c r="D45" s="754" t="str">
        <f>VLOOKUP( $B45, T_Aop[], 6, 1)</f>
        <v xml:space="preserve">    Prilivi po osnovu lizinga (glavnica)</v>
      </c>
      <c r="E45" s="754"/>
      <c r="F45" s="754"/>
      <c r="G45" s="754"/>
      <c r="H45" s="754"/>
      <c r="I45" s="76">
        <f>VLOOKUP( $B45, T_Aop[], 4, 1)</f>
        <v>525</v>
      </c>
      <c r="J45" s="159"/>
      <c r="K45" s="161"/>
      <c r="L45" s="162"/>
      <c r="P45" s="135" t="s">
        <v>313</v>
      </c>
    </row>
    <row r="46" spans="2:16" ht="12" customHeight="1" x14ac:dyDescent="0.2">
      <c r="B46" s="48">
        <v>309</v>
      </c>
      <c r="C46" s="59" t="str">
        <f>VLOOKUP( $B46, T_Aop[], 5, 1)</f>
        <v>11</v>
      </c>
      <c r="D46" s="729" t="str">
        <f>VLOOKUP( $B46, T_Aop[], 6, 1)</f>
        <v xml:space="preserve">    Prilivi po osnovu lizinga (kamata)</v>
      </c>
      <c r="E46" s="729"/>
      <c r="F46" s="729"/>
      <c r="G46" s="729"/>
      <c r="H46" s="729"/>
      <c r="I46" s="60">
        <f>VLOOKUP( $B46, T_Aop[], 4, 1)</f>
        <v>526</v>
      </c>
      <c r="J46" s="157"/>
      <c r="K46" s="157"/>
      <c r="L46" s="158"/>
      <c r="P46" s="27"/>
    </row>
    <row r="47" spans="2:16" ht="12" customHeight="1" x14ac:dyDescent="0.2">
      <c r="B47" s="48">
        <v>310</v>
      </c>
      <c r="C47" s="63" t="str">
        <f>VLOOKUP( $B47, T_Aop[], 5, 1)</f>
        <v>12</v>
      </c>
      <c r="D47" s="754" t="str">
        <f>VLOOKUP( $B47, T_Aop[], 6, 1)</f>
        <v xml:space="preserve">    Prilivi po osnovu kamata</v>
      </c>
      <c r="E47" s="754"/>
      <c r="F47" s="754"/>
      <c r="G47" s="754"/>
      <c r="H47" s="754"/>
      <c r="I47" s="76">
        <f>VLOOKUP( $B47, T_Aop[], 4, 1)</f>
        <v>527</v>
      </c>
      <c r="J47" s="159"/>
      <c r="K47" s="575">
        <v>15069</v>
      </c>
      <c r="L47" s="575">
        <v>19891</v>
      </c>
      <c r="P47" s="27"/>
    </row>
    <row r="48" spans="2:16" ht="12" customHeight="1" x14ac:dyDescent="0.2">
      <c r="B48" s="48">
        <v>311</v>
      </c>
      <c r="C48" s="59" t="str">
        <f>VLOOKUP( $B48, T_Aop[], 5, 1)</f>
        <v>13</v>
      </c>
      <c r="D48" s="729" t="str">
        <f>VLOOKUP( $B48, T_Aop[], 6, 1)</f>
        <v xml:space="preserve">    Prilivi od dividendi i učešća u dobiti</v>
      </c>
      <c r="E48" s="729"/>
      <c r="F48" s="729"/>
      <c r="G48" s="729"/>
      <c r="H48" s="729"/>
      <c r="I48" s="60">
        <f>VLOOKUP( $B48, T_Aop[], 4, 1)</f>
        <v>528</v>
      </c>
      <c r="J48" s="157"/>
      <c r="K48" s="157">
        <v>0</v>
      </c>
      <c r="L48" s="157">
        <v>194625</v>
      </c>
      <c r="P48" s="27"/>
    </row>
    <row r="49" spans="2:16" ht="12" customHeight="1" x14ac:dyDescent="0.2">
      <c r="B49" s="48">
        <v>312</v>
      </c>
      <c r="C49" s="63" t="str">
        <f>VLOOKUP( $B49, T_Aop[], 5, 1)</f>
        <v>14</v>
      </c>
      <c r="D49" s="754" t="str">
        <f>VLOOKUP( $B49, T_Aop[], 6, 1)</f>
        <v xml:space="preserve">    Prilivi po osnovu derivatnih finansijskih instrumenata</v>
      </c>
      <c r="E49" s="754"/>
      <c r="F49" s="754"/>
      <c r="G49" s="754"/>
      <c r="H49" s="754"/>
      <c r="I49" s="76">
        <f>VLOOKUP( $B49, T_Aop[], 4, 1)</f>
        <v>529</v>
      </c>
      <c r="J49" s="159"/>
      <c r="K49" s="161"/>
      <c r="L49" s="162"/>
      <c r="P49" s="27"/>
    </row>
    <row r="50" spans="2:16" ht="12" customHeight="1" x14ac:dyDescent="0.2">
      <c r="B50" s="48">
        <v>313</v>
      </c>
      <c r="C50" s="59" t="str">
        <f>VLOOKUP( $B50, T_Aop[], 5, 1)</f>
        <v>15</v>
      </c>
      <c r="D50" s="729" t="str">
        <f>VLOOKUP( $B50, T_Aop[], 6, 1)</f>
        <v xml:space="preserve">    Ostali prilivi iz aktivnosti investiranja</v>
      </c>
      <c r="E50" s="729"/>
      <c r="F50" s="729"/>
      <c r="G50" s="729"/>
      <c r="H50" s="729"/>
      <c r="I50" s="60">
        <f>VLOOKUP( $B50, T_Aop[], 4, 1)</f>
        <v>530</v>
      </c>
      <c r="J50" s="157"/>
      <c r="K50" s="157"/>
      <c r="L50" s="158"/>
      <c r="P50" s="27"/>
    </row>
    <row r="51" spans="2:16" ht="12" customHeight="1" x14ac:dyDescent="0.2">
      <c r="B51" s="48">
        <v>314</v>
      </c>
      <c r="C51" s="63" t="str">
        <f>VLOOKUP( $B51, T_Aop[], 5, 1)</f>
        <v>II</v>
      </c>
      <c r="D51" s="755" t="str">
        <f>VLOOKUP( $B51, T_Aop[], 6, 1)</f>
        <v xml:space="preserve">  Odlivi gotovine iz aktivnosti investiranja (532 do 541)</v>
      </c>
      <c r="E51" s="755"/>
      <c r="F51" s="755"/>
      <c r="G51" s="755"/>
      <c r="H51" s="755"/>
      <c r="I51" s="195">
        <f>VLOOKUP( $B51, T_Aop[], 4, 1)</f>
        <v>531</v>
      </c>
      <c r="J51" s="159"/>
      <c r="K51" s="65">
        <f>SUBTOTAL( 9, K52:K61)</f>
        <v>2341965</v>
      </c>
      <c r="L51" s="66">
        <f>SUBTOTAL( 9, L52:L61)</f>
        <v>5642374</v>
      </c>
      <c r="P51" s="27"/>
    </row>
    <row r="52" spans="2:16" ht="23.25" customHeight="1" x14ac:dyDescent="0.2">
      <c r="B52" s="48">
        <v>315</v>
      </c>
      <c r="C52" s="59" t="str">
        <f>VLOOKUP( $B52, T_Aop[], 5, 1)</f>
        <v>1</v>
      </c>
      <c r="D52" s="729" t="str">
        <f>VLOOKUP( $B52, T_Aop[], 6, 1)</f>
        <v xml:space="preserve">    Odlivi gotovine po osnovu kupovine akcija i udjela zavisnih i pridruženih društava i zajedničkih poduhvata</v>
      </c>
      <c r="E52" s="729"/>
      <c r="F52" s="729"/>
      <c r="G52" s="729"/>
      <c r="H52" s="729"/>
      <c r="I52" s="60">
        <f>VLOOKUP( $B52, T_Aop[], 4, 1)</f>
        <v>532</v>
      </c>
      <c r="J52" s="157"/>
      <c r="K52" s="157"/>
      <c r="L52" s="158"/>
      <c r="P52" s="27"/>
    </row>
    <row r="53" spans="2:16" ht="12" customHeight="1" x14ac:dyDescent="0.2">
      <c r="B53" s="48">
        <v>316</v>
      </c>
      <c r="C53" s="63" t="str">
        <f>VLOOKUP( $B53, T_Aop[], 5, 1)</f>
        <v>2</v>
      </c>
      <c r="D53" s="754" t="str">
        <f>VLOOKUP( $B53, T_Aop[], 6, 1)</f>
        <v xml:space="preserve">    Odlivi po osnovu kupovine nekretnina, postrojenja i opreme</v>
      </c>
      <c r="E53" s="754"/>
      <c r="F53" s="754"/>
      <c r="G53" s="754"/>
      <c r="H53" s="754"/>
      <c r="I53" s="76">
        <f>VLOOKUP( $B53, T_Aop[], 4, 1)</f>
        <v>533</v>
      </c>
      <c r="J53" s="159"/>
      <c r="K53" s="161">
        <v>2341965</v>
      </c>
      <c r="L53" s="161">
        <v>5642374</v>
      </c>
      <c r="P53" s="27"/>
    </row>
    <row r="54" spans="2:16" ht="12" customHeight="1" x14ac:dyDescent="0.2">
      <c r="B54" s="48">
        <v>317</v>
      </c>
      <c r="C54" s="59" t="str">
        <f>VLOOKUP( $B54, T_Aop[], 5, 1)</f>
        <v>3</v>
      </c>
      <c r="D54" s="729" t="str">
        <f>VLOOKUP( $B54, T_Aop[], 6, 1)</f>
        <v xml:space="preserve">    Odlivi po osnovu kupovine investicionih nekretnina</v>
      </c>
      <c r="E54" s="729"/>
      <c r="F54" s="729"/>
      <c r="G54" s="729"/>
      <c r="H54" s="729"/>
      <c r="I54" s="60">
        <f>VLOOKUP( $B54, T_Aop[], 4, 1)</f>
        <v>534</v>
      </c>
      <c r="J54" s="157"/>
      <c r="K54" s="157"/>
      <c r="L54" s="158"/>
      <c r="P54" s="27"/>
    </row>
    <row r="55" spans="2:16" ht="12" customHeight="1" x14ac:dyDescent="0.2">
      <c r="B55" s="48">
        <v>318</v>
      </c>
      <c r="C55" s="63" t="str">
        <f>VLOOKUP( $B55, T_Aop[], 5, 1)</f>
        <v>4</v>
      </c>
      <c r="D55" s="754" t="str">
        <f>VLOOKUP( $B55, T_Aop[], 6, 1)</f>
        <v xml:space="preserve">    Odlivi po osnovu kupovine bioloških sredstava</v>
      </c>
      <c r="E55" s="754"/>
      <c r="F55" s="754"/>
      <c r="G55" s="754"/>
      <c r="H55" s="754"/>
      <c r="I55" s="76">
        <f>VLOOKUP( $B55, T_Aop[], 4, 1)</f>
        <v>535</v>
      </c>
      <c r="J55" s="159"/>
      <c r="K55" s="161"/>
      <c r="L55" s="162"/>
      <c r="P55" s="27"/>
    </row>
    <row r="56" spans="2:16" ht="12" customHeight="1" x14ac:dyDescent="0.2">
      <c r="B56" s="48">
        <v>319</v>
      </c>
      <c r="C56" s="59" t="str">
        <f>VLOOKUP( $B56, T_Aop[], 5, 1)</f>
        <v>5</v>
      </c>
      <c r="D56" s="729" t="str">
        <f>VLOOKUP( $B56, T_Aop[], 6, 1)</f>
        <v xml:space="preserve">    Odlivi po osnovu kupovine nematerijalnih sredstava</v>
      </c>
      <c r="E56" s="729"/>
      <c r="F56" s="729"/>
      <c r="G56" s="729"/>
      <c r="H56" s="729"/>
      <c r="I56" s="60">
        <f>VLOOKUP( $B56, T_Aop[], 4, 1)</f>
        <v>536</v>
      </c>
      <c r="J56" s="157"/>
      <c r="K56" s="157"/>
      <c r="L56" s="158"/>
      <c r="P56" s="27"/>
    </row>
    <row r="57" spans="2:16" ht="12" customHeight="1" x14ac:dyDescent="0.2">
      <c r="B57" s="48">
        <v>320</v>
      </c>
      <c r="C57" s="63" t="str">
        <f>VLOOKUP( $B57, T_Aop[], 5, 1)</f>
        <v>6</v>
      </c>
      <c r="D57" s="754" t="str">
        <f>VLOOKUP( $B57, T_Aop[], 6, 1)</f>
        <v xml:space="preserve">    Odlivi po osnovu finansijskih sredstava po fer vrijednosti kroz ostali ukupni rezultat</v>
      </c>
      <c r="E57" s="754"/>
      <c r="F57" s="754"/>
      <c r="G57" s="754"/>
      <c r="H57" s="754"/>
      <c r="I57" s="76">
        <f>VLOOKUP( $B57, T_Aop[], 4, 1)</f>
        <v>537</v>
      </c>
      <c r="J57" s="159"/>
      <c r="K57" s="161"/>
      <c r="L57" s="162"/>
      <c r="P57" s="27"/>
    </row>
    <row r="58" spans="2:16" ht="12" customHeight="1" x14ac:dyDescent="0.2">
      <c r="B58" s="48">
        <v>321</v>
      </c>
      <c r="C58" s="59" t="str">
        <f>VLOOKUP( $B58, T_Aop[], 5, 1)</f>
        <v>7</v>
      </c>
      <c r="D58" s="729" t="str">
        <f>VLOOKUP( $B58, T_Aop[], 6, 1)</f>
        <v xml:space="preserve">    Odlivi po osnovu finansijskih sredstva po fer vrijednosti kroz bilans uspjeha</v>
      </c>
      <c r="E58" s="729"/>
      <c r="F58" s="729"/>
      <c r="G58" s="729"/>
      <c r="H58" s="729"/>
      <c r="I58" s="60">
        <f>VLOOKUP( $B58, T_Aop[], 4, 1)</f>
        <v>538</v>
      </c>
      <c r="J58" s="157"/>
      <c r="K58" s="157"/>
      <c r="L58" s="158"/>
      <c r="P58" s="27"/>
    </row>
    <row r="59" spans="2:16" ht="12" customHeight="1" x14ac:dyDescent="0.2">
      <c r="B59" s="48">
        <v>322</v>
      </c>
      <c r="C59" s="63" t="str">
        <f>VLOOKUP( $B59, T_Aop[], 5, 1)</f>
        <v>8</v>
      </c>
      <c r="D59" s="754" t="str">
        <f>VLOOKUP( $B59, T_Aop[], 6, 1)</f>
        <v xml:space="preserve">    Odlivi po osnovu ostalih finansijskih sredstava po amortizovanoj vrijednosti</v>
      </c>
      <c r="E59" s="754"/>
      <c r="F59" s="754"/>
      <c r="G59" s="754"/>
      <c r="H59" s="754"/>
      <c r="I59" s="76">
        <f>VLOOKUP( $B59, T_Aop[], 4, 1)</f>
        <v>539</v>
      </c>
      <c r="J59" s="159"/>
      <c r="K59" s="161"/>
      <c r="L59" s="162"/>
      <c r="P59" s="27"/>
    </row>
    <row r="60" spans="2:16" ht="12" customHeight="1" x14ac:dyDescent="0.2">
      <c r="B60" s="48">
        <v>323</v>
      </c>
      <c r="C60" s="59" t="str">
        <f>VLOOKUP( $B60, T_Aop[], 5, 1)</f>
        <v>9</v>
      </c>
      <c r="D60" s="729" t="str">
        <f>VLOOKUP( $B60, T_Aop[], 6, 1)</f>
        <v xml:space="preserve">    Odlivi po osnovu derivatnih finansijskih instrumenata</v>
      </c>
      <c r="E60" s="729"/>
      <c r="F60" s="729"/>
      <c r="G60" s="729"/>
      <c r="H60" s="729"/>
      <c r="I60" s="60">
        <f>VLOOKUP( $B60, T_Aop[], 4, 1)</f>
        <v>540</v>
      </c>
      <c r="J60" s="157"/>
      <c r="K60" s="157"/>
      <c r="L60" s="158"/>
      <c r="P60" s="27"/>
    </row>
    <row r="61" spans="2:16" ht="12" customHeight="1" x14ac:dyDescent="0.2">
      <c r="B61" s="48">
        <v>324</v>
      </c>
      <c r="C61" s="63" t="str">
        <f>VLOOKUP( $B61, T_Aop[], 5, 1)</f>
        <v>10</v>
      </c>
      <c r="D61" s="754" t="str">
        <f>VLOOKUP( $B61, T_Aop[], 6, 1)</f>
        <v xml:space="preserve">    Ostali odlivi iz aktivnosti investiranja</v>
      </c>
      <c r="E61" s="754"/>
      <c r="F61" s="754"/>
      <c r="G61" s="754"/>
      <c r="H61" s="754"/>
      <c r="I61" s="76">
        <f>VLOOKUP( $B61, T_Aop[], 4, 1)</f>
        <v>541</v>
      </c>
      <c r="J61" s="159"/>
      <c r="K61" s="161"/>
      <c r="L61" s="161"/>
      <c r="P61" s="27"/>
    </row>
    <row r="62" spans="2:16" x14ac:dyDescent="0.2">
      <c r="B62" s="48">
        <v>325</v>
      </c>
      <c r="C62" s="59" t="str">
        <f>VLOOKUP( $B62, T_Aop[], 5, 1)</f>
        <v>III</v>
      </c>
      <c r="D62" s="734" t="str">
        <f>VLOOKUP( $B62, T_Aop[], 6, 1)</f>
        <v xml:space="preserve">  Neto priliv gotovine iz aktivnosti investiranja (515-531)</v>
      </c>
      <c r="E62" s="734"/>
      <c r="F62" s="734"/>
      <c r="G62" s="734"/>
      <c r="H62" s="734"/>
      <c r="I62" s="182">
        <f>VLOOKUP( $B62, T_Aop[], 4, 1)</f>
        <v>542</v>
      </c>
      <c r="J62" s="157"/>
      <c r="K62" s="61">
        <f>IF( SUBTOTAL( 9, K35:K50) - SUBTOTAL( 9, K51:K61) &lt;= 0, 0, ABS( SUBTOTAL( 9, K35:K50) - SUBTOTAL( 9, K51:K61)) )</f>
        <v>0</v>
      </c>
      <c r="L62" s="62">
        <f>IF( SUBTOTAL( 9, L35:L50) - SUBTOTAL( 9, L51:L61) &lt;= 0, 0, ABS( SUBTOTAL( 9, L35:L50) - SUBTOTAL( 9, L51:L61)) )</f>
        <v>0</v>
      </c>
      <c r="P62" s="27"/>
    </row>
    <row r="63" spans="2:16" x14ac:dyDescent="0.2">
      <c r="B63" s="48">
        <v>326</v>
      </c>
      <c r="C63" s="63" t="str">
        <f>VLOOKUP( $B63, T_Aop[], 5, 1)</f>
        <v>IV</v>
      </c>
      <c r="D63" s="755" t="str">
        <f>VLOOKUP( $B63, T_Aop[], 6, 1)</f>
        <v xml:space="preserve">  Neto odliv gotovine iz aktivnosti investiranja (531 – 515)</v>
      </c>
      <c r="E63" s="755"/>
      <c r="F63" s="755"/>
      <c r="G63" s="755"/>
      <c r="H63" s="755"/>
      <c r="I63" s="195">
        <f>VLOOKUP( $B63, T_Aop[], 4, 1)</f>
        <v>543</v>
      </c>
      <c r="J63" s="159"/>
      <c r="K63" s="68">
        <f>IF( SUBTOTAL( 9, K35:K50) - SUBTOTAL( 9, K51:K61) &gt;= 0, 0, ABS( SUBTOTAL( 9, K35:K50) - SUBTOTAL( 9, K51:K61)) )</f>
        <v>2326896</v>
      </c>
      <c r="L63" s="69">
        <f>IF( SUBTOTAL( 9, L35:L50) - SUBTOTAL( 9, L51:L61) &gt;= 0, 0, ABS( SUBTOTAL( 9, L35:L50) - SUBTOTAL( 9, L51:L61)) )</f>
        <v>5427858</v>
      </c>
      <c r="P63" s="27"/>
    </row>
    <row r="64" spans="2:16" ht="22.5" customHeight="1" x14ac:dyDescent="0.2">
      <c r="B64" s="48">
        <v>327</v>
      </c>
      <c r="C64" s="59" t="str">
        <f>VLOOKUP( $B64, T_Aop[], 5, 1)</f>
        <v>B_x000D_
I</v>
      </c>
      <c r="D64" s="734" t="str">
        <f>VLOOKUP( $B64, T_Aop[], 6, 1)</f>
        <v>TOKOVI GOTOVINE IZ AKTIVNOSTI FINANSIRANJA
Prilivi gotovine iz aktivnosti finansiranja (545 do 550)</v>
      </c>
      <c r="E64" s="734"/>
      <c r="F64" s="734"/>
      <c r="G64" s="734"/>
      <c r="H64" s="734"/>
      <c r="I64" s="182">
        <f>VLOOKUP( $B64, T_Aop[], 4, 1)</f>
        <v>544</v>
      </c>
      <c r="J64" s="157"/>
      <c r="K64" s="61">
        <f>SUBTOTAL( 9, K65:K70)</f>
        <v>82960</v>
      </c>
      <c r="L64" s="62">
        <f>SUBTOTAL( 9, L65:L70)</f>
        <v>63950</v>
      </c>
      <c r="P64" s="27"/>
    </row>
    <row r="65" spans="2:16" ht="12" customHeight="1" x14ac:dyDescent="0.2">
      <c r="B65" s="48">
        <v>328</v>
      </c>
      <c r="C65" s="63" t="str">
        <f>VLOOKUP( $B65, T_Aop[], 5, 1)</f>
        <v>1</v>
      </c>
      <c r="D65" s="754" t="str">
        <f>VLOOKUP( $B65, T_Aop[], 6, 1)</f>
        <v xml:space="preserve">    Prilivi po osnovu povećanja osnovnog kapitala</v>
      </c>
      <c r="E65" s="754"/>
      <c r="F65" s="754"/>
      <c r="G65" s="754"/>
      <c r="H65" s="754"/>
      <c r="I65" s="76">
        <f>VLOOKUP( $B65, T_Aop[], 4, 1)</f>
        <v>545</v>
      </c>
      <c r="J65" s="159"/>
      <c r="K65" s="161"/>
      <c r="L65" s="162"/>
      <c r="P65" s="27"/>
    </row>
    <row r="66" spans="2:16" ht="12" customHeight="1" x14ac:dyDescent="0.2">
      <c r="B66" s="48">
        <v>329</v>
      </c>
      <c r="C66" s="59" t="str">
        <f>VLOOKUP( $B66, T_Aop[], 5, 1)</f>
        <v>2</v>
      </c>
      <c r="D66" s="729" t="str">
        <f>VLOOKUP( $B66, T_Aop[], 6, 1)</f>
        <v xml:space="preserve">    Prilivi od prodaje otkupljenih sopstvenih akcija</v>
      </c>
      <c r="E66" s="729"/>
      <c r="F66" s="729"/>
      <c r="G66" s="729"/>
      <c r="H66" s="729"/>
      <c r="I66" s="60">
        <f>VLOOKUP( $B66, T_Aop[], 4, 1)</f>
        <v>546</v>
      </c>
      <c r="J66" s="157"/>
      <c r="K66" s="157"/>
      <c r="L66" s="158"/>
      <c r="P66" s="27"/>
    </row>
    <row r="67" spans="2:16" ht="12" customHeight="1" x14ac:dyDescent="0.2">
      <c r="B67" s="48">
        <v>330</v>
      </c>
      <c r="C67" s="63" t="str">
        <f>VLOOKUP( $B67, T_Aop[], 5, 1)</f>
        <v>3</v>
      </c>
      <c r="D67" s="754" t="str">
        <f>VLOOKUP( $B67, T_Aop[], 6, 1)</f>
        <v xml:space="preserve">    Prilivi po osnovu dugoročnih kredita</v>
      </c>
      <c r="E67" s="754"/>
      <c r="F67" s="754"/>
      <c r="G67" s="754"/>
      <c r="H67" s="754"/>
      <c r="I67" s="76">
        <f>VLOOKUP( $B67, T_Aop[], 4, 1)</f>
        <v>547</v>
      </c>
      <c r="J67" s="159"/>
      <c r="K67" s="161">
        <v>82960</v>
      </c>
      <c r="L67" s="161">
        <v>63950</v>
      </c>
      <c r="P67" s="27"/>
    </row>
    <row r="68" spans="2:16" ht="12" customHeight="1" x14ac:dyDescent="0.2">
      <c r="B68" s="48">
        <v>331</v>
      </c>
      <c r="C68" s="59" t="str">
        <f>VLOOKUP( $B68, T_Aop[], 5, 1)</f>
        <v>4</v>
      </c>
      <c r="D68" s="729" t="str">
        <f>VLOOKUP( $B68, T_Aop[], 6, 1)</f>
        <v xml:space="preserve">    Prilivi po osnovu kratkoročnih kredita</v>
      </c>
      <c r="E68" s="729"/>
      <c r="F68" s="729"/>
      <c r="G68" s="729"/>
      <c r="H68" s="729"/>
      <c r="I68" s="60">
        <f>VLOOKUP( $B68, T_Aop[], 4, 1)</f>
        <v>548</v>
      </c>
      <c r="J68" s="157"/>
      <c r="K68" s="157"/>
      <c r="L68" s="158"/>
      <c r="P68" s="27"/>
    </row>
    <row r="69" spans="2:16" ht="12" customHeight="1" x14ac:dyDescent="0.2">
      <c r="B69" s="48">
        <v>332</v>
      </c>
      <c r="C69" s="67" t="str">
        <f>VLOOKUP( $B69, T_Aop[], 5, 1)</f>
        <v>5</v>
      </c>
      <c r="D69" s="754" t="str">
        <f>VLOOKUP( $B69, T_Aop[], 6, 1)</f>
        <v xml:space="preserve">    Prilivi po osnovu izdatih dužničkih instrumenta</v>
      </c>
      <c r="E69" s="754"/>
      <c r="F69" s="754"/>
      <c r="G69" s="754"/>
      <c r="H69" s="754"/>
      <c r="I69" s="76">
        <f>VLOOKUP( $B69, T_Aop[], 4, 1)</f>
        <v>549</v>
      </c>
      <c r="J69" s="159"/>
      <c r="K69" s="161"/>
      <c r="L69" s="162"/>
      <c r="P69" s="27"/>
    </row>
    <row r="70" spans="2:16" ht="12" customHeight="1" x14ac:dyDescent="0.2">
      <c r="B70" s="48">
        <v>333</v>
      </c>
      <c r="C70" s="59" t="str">
        <f>VLOOKUP( $B70, T_Aop[], 5, 1)</f>
        <v>6</v>
      </c>
      <c r="D70" s="729" t="str">
        <f>VLOOKUP( $B70, T_Aop[], 6, 1)</f>
        <v xml:space="preserve">    Ostali prilivi iz aktivnosti finansiranja </v>
      </c>
      <c r="E70" s="729"/>
      <c r="F70" s="729"/>
      <c r="G70" s="729"/>
      <c r="H70" s="729"/>
      <c r="I70" s="60">
        <f>VLOOKUP( $B70, T_Aop[], 4, 1)</f>
        <v>550</v>
      </c>
      <c r="J70" s="157"/>
      <c r="K70" s="157"/>
      <c r="L70" s="158"/>
      <c r="P70" s="27"/>
    </row>
    <row r="71" spans="2:16" ht="12" customHeight="1" x14ac:dyDescent="0.2">
      <c r="B71" s="48">
        <v>334</v>
      </c>
      <c r="C71" s="67" t="str">
        <f>VLOOKUP( $B71, T_Aop[], 5, 1)</f>
        <v>II</v>
      </c>
      <c r="D71" s="754" t="str">
        <f>VLOOKUP( $B71, T_Aop[], 6, 1)</f>
        <v xml:space="preserve">    Odlivi gotovine iz aktivnosti finansiranja (552 do 558)</v>
      </c>
      <c r="E71" s="754"/>
      <c r="F71" s="754"/>
      <c r="G71" s="754"/>
      <c r="H71" s="754"/>
      <c r="I71" s="76">
        <f>VLOOKUP( $B71, T_Aop[], 4, 1)</f>
        <v>551</v>
      </c>
      <c r="J71" s="159"/>
      <c r="K71" s="530">
        <f>SUBTOTAL( 9, K72:K78)</f>
        <v>2984229</v>
      </c>
      <c r="L71" s="536">
        <f>SUBTOTAL( 9, L72:L78)</f>
        <v>2771287</v>
      </c>
      <c r="P71" s="27"/>
    </row>
    <row r="72" spans="2:16" ht="12" customHeight="1" x14ac:dyDescent="0.2">
      <c r="B72" s="48">
        <v>335</v>
      </c>
      <c r="C72" s="59" t="str">
        <f>VLOOKUP( $B72, T_Aop[], 5, 1)</f>
        <v>1</v>
      </c>
      <c r="D72" s="729" t="str">
        <f>VLOOKUP( $B72, T_Aop[], 6, 1)</f>
        <v xml:space="preserve">    Odlivi po osnovu otkupa sopstvenih akcija i udjela</v>
      </c>
      <c r="E72" s="729"/>
      <c r="F72" s="729"/>
      <c r="G72" s="729"/>
      <c r="H72" s="729"/>
      <c r="I72" s="60">
        <f>VLOOKUP( $B72, T_Aop[], 4, 1)</f>
        <v>552</v>
      </c>
      <c r="J72" s="157"/>
      <c r="K72" s="157"/>
      <c r="L72" s="158"/>
      <c r="P72" s="27"/>
    </row>
    <row r="73" spans="2:16" ht="12" customHeight="1" x14ac:dyDescent="0.2">
      <c r="B73" s="48">
        <v>336</v>
      </c>
      <c r="C73" s="67" t="str">
        <f>VLOOKUP( $B73, T_Aop[], 5, 1)</f>
        <v>2</v>
      </c>
      <c r="D73" s="754" t="str">
        <f>VLOOKUP( $B73, T_Aop[], 6, 1)</f>
        <v xml:space="preserve">    Odlivi po osnovu dugoročnih kredita </v>
      </c>
      <c r="E73" s="754"/>
      <c r="F73" s="754"/>
      <c r="G73" s="754"/>
      <c r="H73" s="754"/>
      <c r="I73" s="76">
        <f>VLOOKUP( $B73, T_Aop[], 4, 1)</f>
        <v>553</v>
      </c>
      <c r="J73" s="159"/>
      <c r="K73" s="161">
        <v>1532378</v>
      </c>
      <c r="L73" s="161">
        <v>1380269</v>
      </c>
      <c r="P73" s="27"/>
    </row>
    <row r="74" spans="2:16" ht="12" customHeight="1" x14ac:dyDescent="0.2">
      <c r="B74" s="48">
        <v>337</v>
      </c>
      <c r="C74" s="59" t="str">
        <f>VLOOKUP( $B74, T_Aop[], 5, 1)</f>
        <v>3</v>
      </c>
      <c r="D74" s="729" t="str">
        <f>VLOOKUP( $B74, T_Aop[], 6, 1)</f>
        <v xml:space="preserve">    Odlivi po osnovu kratkoročnih kredita </v>
      </c>
      <c r="E74" s="729"/>
      <c r="F74" s="729"/>
      <c r="G74" s="729"/>
      <c r="H74" s="729"/>
      <c r="I74" s="60">
        <f>VLOOKUP( $B74, T_Aop[], 4, 1)</f>
        <v>554</v>
      </c>
      <c r="J74" s="157"/>
      <c r="K74" s="157"/>
      <c r="L74" s="158"/>
      <c r="P74" s="27"/>
    </row>
    <row r="75" spans="2:16" ht="12" customHeight="1" x14ac:dyDescent="0.2">
      <c r="B75" s="48">
        <v>338</v>
      </c>
      <c r="C75" s="67" t="str">
        <f>VLOOKUP( $B75, T_Aop[], 5, 1)</f>
        <v>4</v>
      </c>
      <c r="D75" s="754" t="str">
        <f>VLOOKUP( $B75, T_Aop[], 6, 1)</f>
        <v xml:space="preserve">    Odlivi po osnovu lizinga </v>
      </c>
      <c r="E75" s="754"/>
      <c r="F75" s="754"/>
      <c r="G75" s="754"/>
      <c r="H75" s="754"/>
      <c r="I75" s="76">
        <f>VLOOKUP( $B75, T_Aop[], 4, 1)</f>
        <v>555</v>
      </c>
      <c r="J75" s="159"/>
      <c r="K75" s="161">
        <v>39192</v>
      </c>
      <c r="L75" s="161">
        <v>35872</v>
      </c>
      <c r="P75" s="27"/>
    </row>
    <row r="76" spans="2:16" ht="12" customHeight="1" x14ac:dyDescent="0.2">
      <c r="B76" s="48">
        <v>339</v>
      </c>
      <c r="C76" s="59" t="str">
        <f>VLOOKUP( $B76, T_Aop[], 5, 1)</f>
        <v>5</v>
      </c>
      <c r="D76" s="729" t="str">
        <f>VLOOKUP( $B76, T_Aop[], 6, 1)</f>
        <v xml:space="preserve">    Odlivi po osnovu dužničkih instrumenata</v>
      </c>
      <c r="E76" s="729"/>
      <c r="F76" s="729"/>
      <c r="G76" s="729"/>
      <c r="H76" s="729"/>
      <c r="I76" s="60">
        <f>VLOOKUP( $B76, T_Aop[], 4, 1)</f>
        <v>556</v>
      </c>
      <c r="J76" s="157"/>
      <c r="K76" s="157">
        <v>1412659</v>
      </c>
      <c r="L76" s="158">
        <v>1355146</v>
      </c>
      <c r="P76" s="27"/>
    </row>
    <row r="77" spans="2:16" ht="12" customHeight="1" x14ac:dyDescent="0.2">
      <c r="B77" s="48">
        <v>340</v>
      </c>
      <c r="C77" s="67" t="str">
        <f>VLOOKUP( $B77, T_Aop[], 5, 1)</f>
        <v>6</v>
      </c>
      <c r="D77" s="754" t="str">
        <f>VLOOKUP( $B77, T_Aop[], 6, 1)</f>
        <v xml:space="preserve">    Odlivi po osnovu isplaćenih dividendi</v>
      </c>
      <c r="E77" s="754"/>
      <c r="F77" s="754"/>
      <c r="G77" s="754"/>
      <c r="H77" s="754"/>
      <c r="I77" s="76">
        <f>VLOOKUP( $B77, T_Aop[], 4, 1)</f>
        <v>557</v>
      </c>
      <c r="J77" s="159"/>
      <c r="K77" s="161"/>
      <c r="L77" s="162"/>
      <c r="P77" s="27"/>
    </row>
    <row r="78" spans="2:16" ht="12" customHeight="1" x14ac:dyDescent="0.2">
      <c r="B78" s="48">
        <v>341</v>
      </c>
      <c r="C78" s="59" t="str">
        <f>VLOOKUP( $B78, T_Aop[], 5, 1)</f>
        <v>7</v>
      </c>
      <c r="D78" s="729" t="str">
        <f>VLOOKUP( $B78, T_Aop[], 6, 1)</f>
        <v xml:space="preserve">    Ostali odlivi iz aktivnosti finansiranja</v>
      </c>
      <c r="E78" s="729"/>
      <c r="F78" s="729"/>
      <c r="G78" s="729"/>
      <c r="H78" s="729"/>
      <c r="I78" s="60">
        <f>VLOOKUP( $B78, T_Aop[], 4, 1)</f>
        <v>558</v>
      </c>
      <c r="J78" s="157"/>
      <c r="K78" s="157"/>
      <c r="L78" s="158"/>
      <c r="P78" s="27"/>
    </row>
    <row r="79" spans="2:16" ht="12" customHeight="1" x14ac:dyDescent="0.2">
      <c r="B79" s="48">
        <v>342</v>
      </c>
      <c r="C79" s="67" t="str">
        <f>VLOOKUP( $B79, T_Aop[], 5, 1)</f>
        <v>III</v>
      </c>
      <c r="D79" s="755" t="str">
        <f>VLOOKUP( $B79, T_Aop[], 6, 1)</f>
        <v xml:space="preserve">  Neto priliv gotovine iz aktivnosti finansiranja (544 – 551)</v>
      </c>
      <c r="E79" s="755"/>
      <c r="F79" s="755"/>
      <c r="G79" s="755"/>
      <c r="H79" s="755"/>
      <c r="I79" s="195">
        <f>VLOOKUP( $B79, T_Aop[], 4, 1)</f>
        <v>559</v>
      </c>
      <c r="J79" s="159"/>
      <c r="K79" s="68">
        <f>IF( SUBTOTAL( 9, K64:K70) - SUBTOTAL( 9, K71:K78) &lt;= 0, 0, ABS( SUBTOTAL( 9, K64:K70) - SUBTOTAL( 9, K71:K78)) )</f>
        <v>0</v>
      </c>
      <c r="L79" s="69">
        <f>IF( SUBTOTAL( 9, L64:L70) - SUBTOTAL( 9, L71:L78) &lt;= 0, 0, ABS( SUBTOTAL( 9, L64:L70) - SUBTOTAL( 9, L71:L78)) )</f>
        <v>0</v>
      </c>
      <c r="P79" s="27"/>
    </row>
    <row r="80" spans="2:16" ht="12" customHeight="1" x14ac:dyDescent="0.2">
      <c r="B80" s="48">
        <v>343</v>
      </c>
      <c r="C80" s="59" t="str">
        <f>VLOOKUP( $B80, T_Aop[], 5, 1)</f>
        <v>IV</v>
      </c>
      <c r="D80" s="734" t="str">
        <f>VLOOKUP( $B80, T_Aop[], 6, 1)</f>
        <v xml:space="preserve">  Neto odliv gotovine iz aktivnosti finansiranja (551 – 544) </v>
      </c>
      <c r="E80" s="734"/>
      <c r="F80" s="734"/>
      <c r="G80" s="734"/>
      <c r="H80" s="734"/>
      <c r="I80" s="182">
        <f>VLOOKUP( $B80, T_Aop[], 4, 1)</f>
        <v>560</v>
      </c>
      <c r="J80" s="157"/>
      <c r="K80" s="61">
        <f>IF( SUBTOTAL( 9, K64:K70) - SUBTOTAL( 9, K71:K78) &gt;= 0, 0, ABS( SUBTOTAL( 9, K64:K70) - SUBTOTAL( 9, K71:K78)) )</f>
        <v>2901269</v>
      </c>
      <c r="L80" s="62">
        <f>IF( SUBTOTAL( 9, L64:L70) - SUBTOTAL( 9, L71:L78) &gt;= 0, 0, ABS( SUBTOTAL( 9, L64:L70) - SUBTOTAL( 9, L71:L78)) )</f>
        <v>2707337</v>
      </c>
      <c r="P80" s="27"/>
    </row>
    <row r="81" spans="2:16" ht="12.75" customHeight="1" x14ac:dyDescent="0.2">
      <c r="B81" s="48">
        <v>344</v>
      </c>
      <c r="C81" s="67" t="str">
        <f>VLOOKUP( $B81, T_Aop[], 5, 1)</f>
        <v>G</v>
      </c>
      <c r="D81" s="755" t="str">
        <f>VLOOKUP( $B81, T_Aop[], 6, 1)</f>
        <v>UKUPNI PRILIVI GOTOVINE (501 + 515 + 544)</v>
      </c>
      <c r="E81" s="755"/>
      <c r="F81" s="755"/>
      <c r="G81" s="755"/>
      <c r="H81" s="755"/>
      <c r="I81" s="195">
        <f>VLOOKUP( $B81, T_Aop[], 4, 1)</f>
        <v>561</v>
      </c>
      <c r="J81" s="159"/>
      <c r="K81" s="68">
        <f>SUBTOTAL( 9, K21:K25, K35:K50, K64:K70)</f>
        <v>40611790</v>
      </c>
      <c r="L81" s="69">
        <f>SUBTOTAL( 9, L21:L25, L35:L50, L64:L70)</f>
        <v>40701587</v>
      </c>
      <c r="P81" s="27"/>
    </row>
    <row r="82" spans="2:16" ht="12.75" customHeight="1" x14ac:dyDescent="0.2">
      <c r="B82" s="48">
        <v>345</v>
      </c>
      <c r="C82" s="59" t="str">
        <f>VLOOKUP( $B82, T_Aop[], 5, 1)</f>
        <v>D</v>
      </c>
      <c r="D82" s="734" t="str">
        <f>VLOOKUP( $B82, T_Aop[], 6, 1)</f>
        <v>UKUPNI ODLIVI GOTOVINE (506 + 531 + 551)</v>
      </c>
      <c r="E82" s="734"/>
      <c r="F82" s="734"/>
      <c r="G82" s="734"/>
      <c r="H82" s="734"/>
      <c r="I82" s="182">
        <f>VLOOKUP( $B82, T_Aop[], 4, 1)</f>
        <v>562</v>
      </c>
      <c r="J82" s="157"/>
      <c r="K82" s="61">
        <f>SUBTOTAL( 9, K26:K32, K51:K61, K71:K78)</f>
        <v>41177893</v>
      </c>
      <c r="L82" s="62">
        <f>SUBTOTAL( 9, L26:L32, L51:L61, L71:L78)</f>
        <v>42657744</v>
      </c>
      <c r="P82" s="27"/>
    </row>
    <row r="83" spans="2:16" ht="12.75" customHeight="1" x14ac:dyDescent="0.2">
      <c r="B83" s="48">
        <v>346</v>
      </c>
      <c r="C83" s="67" t="str">
        <f>VLOOKUP( $B83, T_Aop[], 5, 1)</f>
        <v>Đ</v>
      </c>
      <c r="D83" s="735" t="str">
        <f>VLOOKUP( $B83, T_Aop[], 6, 1)</f>
        <v>NETO PRILIV GOTOVINE (561 – 562)</v>
      </c>
      <c r="E83" s="735"/>
      <c r="F83" s="735"/>
      <c r="G83" s="735"/>
      <c r="H83" s="735"/>
      <c r="I83" s="183">
        <f>VLOOKUP( $B83, T_Aop[], 4, 1)</f>
        <v>563</v>
      </c>
      <c r="J83" s="159"/>
      <c r="K83" s="68">
        <f>IF( SUBTOTAL( 9, K21:K25, K35:K50, K64:K70) - SUBTOTAL( 9, K26:K32, K51:K61, K71:K78) &lt;= 0, 0, ABS( SUBTOTAL( 9, K21:K25, K35:K50, K64:K70) - SUBTOTAL( 9, K26:K32, K51:K61, K71:K78)))</f>
        <v>0</v>
      </c>
      <c r="L83" s="69">
        <f>IF( SUBTOTAL( 9, L21:L25, L35:L50, L64:L70) - SUBTOTAL( 9, L26:L32, L51:L61, L71:L78) &lt;= 0, 0, ABS( SUBTOTAL( 9, L21:L25, L35:L50, L64:L70) - SUBTOTAL( 9, L26:L32, L51:L61, L71:L78)))</f>
        <v>0</v>
      </c>
      <c r="P83" s="27"/>
    </row>
    <row r="84" spans="2:16" ht="12.75" customHeight="1" x14ac:dyDescent="0.2">
      <c r="B84" s="48">
        <v>347</v>
      </c>
      <c r="C84" s="59" t="str">
        <f>VLOOKUP( $B84, T_Aop[], 5, 1)</f>
        <v>E</v>
      </c>
      <c r="D84" s="734" t="str">
        <f>VLOOKUP( $B84, T_Aop[], 6, 1)</f>
        <v>NETO ODLIV GOTOVINE (562 – 561)</v>
      </c>
      <c r="E84" s="734"/>
      <c r="F84" s="734"/>
      <c r="G84" s="734"/>
      <c r="H84" s="734"/>
      <c r="I84" s="182">
        <f>VLOOKUP( $B84, T_Aop[], 4, 1)</f>
        <v>564</v>
      </c>
      <c r="J84" s="157"/>
      <c r="K84" s="61">
        <f>IF( SUBTOTAL( 9, K21:K25, K35:K50, K64:K70) - SUBTOTAL( 9, K26:K32, K51:K61, K71:K78) &gt;= 0, 0, ABS( SUBTOTAL( 9, K21:K25, K35:K50, K64:K70) - SUBTOTAL( 9, K26:K32, K51:K61, K71:K78)))</f>
        <v>566103</v>
      </c>
      <c r="L84" s="62">
        <f>IF( SUBTOTAL( 9, L21:L25, L35:L50, L64:L70) - SUBTOTAL( 9, L26:L32, L51:L61, L71:L78) &gt;= 0, 0, ABS( SUBTOTAL( 9, L21:L25, L35:L50, L64:L70) - SUBTOTAL( 9, L26:L32, L51:L61, L71:L78)))</f>
        <v>1956157</v>
      </c>
      <c r="P84" s="27"/>
    </row>
    <row r="85" spans="2:16" ht="12.75" customHeight="1" x14ac:dyDescent="0.2">
      <c r="B85" s="48">
        <v>348</v>
      </c>
      <c r="C85" s="67" t="str">
        <f>VLOOKUP( $B85, T_Aop[], 5, 1)</f>
        <v>Ž</v>
      </c>
      <c r="D85" s="735" t="str">
        <f>VLOOKUP( $B85, T_Aop[], 6, 1)</f>
        <v xml:space="preserve">GOTOVINA NA POČETKU OBRAČUNSKOG PERIODA </v>
      </c>
      <c r="E85" s="735"/>
      <c r="F85" s="735"/>
      <c r="G85" s="735"/>
      <c r="H85" s="735"/>
      <c r="I85" s="183">
        <f>VLOOKUP( $B85, T_Aop[], 4, 1)</f>
        <v>565</v>
      </c>
      <c r="J85" s="567"/>
      <c r="K85" s="163">
        <v>1667277</v>
      </c>
      <c r="L85" s="164">
        <v>3623434</v>
      </c>
      <c r="P85" s="27"/>
    </row>
    <row r="86" spans="2:16" ht="12.75" customHeight="1" x14ac:dyDescent="0.2">
      <c r="B86" s="48">
        <v>349</v>
      </c>
      <c r="C86" s="59" t="str">
        <f>VLOOKUP( $B86, T_Aop[], 5, 1)</f>
        <v>Z</v>
      </c>
      <c r="D86" s="734" t="str">
        <f>VLOOKUP( $B86, T_Aop[], 6, 1)</f>
        <v>POZITIVNE KURSNE RAZLIKE PO OSNOVU PRERAČUNA GOTOVINE</v>
      </c>
      <c r="E86" s="734"/>
      <c r="F86" s="734"/>
      <c r="G86" s="734"/>
      <c r="H86" s="734"/>
      <c r="I86" s="182">
        <f>VLOOKUP( $B86, T_Aop[], 4, 1)</f>
        <v>566</v>
      </c>
      <c r="J86" s="568"/>
      <c r="K86" s="82"/>
      <c r="L86" s="83"/>
      <c r="P86" s="27"/>
    </row>
    <row r="87" spans="2:16" ht="12.75" customHeight="1" x14ac:dyDescent="0.2">
      <c r="B87" s="48">
        <v>350</v>
      </c>
      <c r="C87" s="67" t="str">
        <f>VLOOKUP( $B87, T_Aop[], 5, 1)</f>
        <v>I</v>
      </c>
      <c r="D87" s="735" t="str">
        <f>VLOOKUP( $B87, T_Aop[], 6, 1)</f>
        <v>NEGATIVNE KURSNE RAZLIKE PO OSNOVU PRERAČUNA GOTOVINE</v>
      </c>
      <c r="E87" s="735"/>
      <c r="F87" s="735"/>
      <c r="G87" s="735"/>
      <c r="H87" s="735"/>
      <c r="I87" s="183">
        <f>VLOOKUP( $B87, T_Aop[], 4, 1)</f>
        <v>567</v>
      </c>
      <c r="J87" s="567"/>
      <c r="K87" s="163"/>
      <c r="L87" s="164"/>
      <c r="P87" s="27"/>
    </row>
    <row r="88" spans="2:16" ht="12.75" customHeight="1" x14ac:dyDescent="0.2">
      <c r="B88" s="48">
        <v>351</v>
      </c>
      <c r="C88" s="263" t="str">
        <f>VLOOKUP( $B88, T_Aop[], 5, 1)</f>
        <v>J</v>
      </c>
      <c r="D88" s="758" t="str">
        <f>VLOOKUP( $B88, T_Aop[], 6, 1)</f>
        <v>GOTOVINA NA KRAJU OBRAČUNSKOG PERIODA (565 + 563 – 564 + 566 – 567)</v>
      </c>
      <c r="E88" s="758"/>
      <c r="F88" s="758"/>
      <c r="G88" s="758"/>
      <c r="H88" s="758"/>
      <c r="I88" s="442">
        <f>VLOOKUP( $B88, T_Aop[], 4, 1)</f>
        <v>568</v>
      </c>
      <c r="J88" s="569"/>
      <c r="K88" s="443">
        <f>SUBTOTAL( 9, K21:K25, K35:K50, K64:K70,K85,K86) - SUBTOTAL( 9, K26:K32, K51:K61, K71:K78, K87)</f>
        <v>1101174</v>
      </c>
      <c r="L88" s="444">
        <f>SUBTOTAL( 9, L21:L25, L35:L50, L64:L70,L85,L86) - SUBTOTAL( 9, L26:L32, L51:L61, L71:L78, L87)</f>
        <v>1667277</v>
      </c>
      <c r="P88" s="27"/>
    </row>
    <row r="89" spans="2:16" ht="3" customHeight="1" x14ac:dyDescent="0.2"/>
    <row r="90" spans="2:16" ht="12" customHeight="1" x14ac:dyDescent="0.2">
      <c r="C90" s="184" t="str">
        <f>Podnozje_U</f>
        <v>U:</v>
      </c>
      <c r="D90" s="447" t="str">
        <f>Podatak_U</f>
        <v>Palama</v>
      </c>
      <c r="E90"/>
      <c r="F90" s="1" t="str">
        <f>Podnozje_Lice_sa_licencom</f>
        <v>Lice sa licencom:</v>
      </c>
      <c r="G90" s="1" t="str">
        <f>Podatak_Lice_sa_licencom</f>
        <v>Slobodan Butulija</v>
      </c>
      <c r="I90" s="37" t="str">
        <f>Podnozje_MP</f>
        <v>(M.P.)</v>
      </c>
      <c r="J90" s="14"/>
      <c r="K90" s="756" t="str">
        <f>Podnozje_Direktor</f>
        <v>Lice ovlašćeno za zastupanje:</v>
      </c>
      <c r="L90" s="756"/>
    </row>
    <row r="91" spans="2:16" ht="21.75" customHeight="1" x14ac:dyDescent="0.2">
      <c r="C91" s="28"/>
      <c r="D91" s="129"/>
      <c r="E91"/>
      <c r="F91" s="13" t="str">
        <f>Podnozje_Broj_licence</f>
        <v>Broj licence:</v>
      </c>
      <c r="G91" s="13" t="str">
        <f>Podatak_Broj_Licence</f>
        <v>SR-0005/26</v>
      </c>
      <c r="H91" s="452"/>
      <c r="I91" s="452"/>
      <c r="J91" s="220"/>
      <c r="K91" s="757" t="str">
        <f>Podatak_Direktor</f>
        <v>Aco Stanišić ma.ecc.</v>
      </c>
      <c r="L91" s="757"/>
    </row>
    <row r="92" spans="2:16" ht="20.25" customHeight="1" x14ac:dyDescent="0.2">
      <c r="C92" s="184" t="str">
        <f>Podnozje_Dana</f>
        <v>Dana:</v>
      </c>
      <c r="D92" s="446" t="str">
        <f>Podatak_Dana</f>
        <v>27.02.2026.</v>
      </c>
      <c r="E92"/>
      <c r="F92" s="752"/>
      <c r="G92" s="752"/>
      <c r="K92" s="752"/>
      <c r="L92" s="752"/>
    </row>
    <row r="93" spans="2:16" ht="15"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sheet="1" objects="1" scenarios="1"/>
  <mergeCells count="90">
    <mergeCell ref="C13:F13"/>
    <mergeCell ref="C7:F7"/>
    <mergeCell ref="D8:F8"/>
    <mergeCell ref="C10:F10"/>
    <mergeCell ref="C11:F11"/>
    <mergeCell ref="C12:F12"/>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D78:H78"/>
    <mergeCell ref="D73:H73"/>
    <mergeCell ref="D74:H74"/>
    <mergeCell ref="D75:H75"/>
    <mergeCell ref="D76:H76"/>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39:H39"/>
    <mergeCell ref="D40:H40"/>
    <mergeCell ref="D41:H41"/>
    <mergeCell ref="D42:H42"/>
    <mergeCell ref="D70:H70"/>
    <mergeCell ref="D44:H44"/>
    <mergeCell ref="D45:H45"/>
    <mergeCell ref="D33:H33"/>
    <mergeCell ref="D34:H34"/>
    <mergeCell ref="D35:H35"/>
    <mergeCell ref="D36:H36"/>
    <mergeCell ref="D37:H37"/>
    <mergeCell ref="D28:H28"/>
    <mergeCell ref="D29:H29"/>
    <mergeCell ref="D30:H30"/>
    <mergeCell ref="D31:H31"/>
    <mergeCell ref="D32:H32"/>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s>
  <phoneticPr fontId="3" type="noConversion"/>
  <dataValidations xWindow="1273" yWindow="821" count="3">
    <dataValidation type="whole" operator="greaterThanOrEqual" allowBlank="1" showInputMessage="1" showErrorMessage="1" errorTitle="Graška" error="Unose se vrijednosti u konvertibilnim markama, bez decimalnih mjesta. Nije dozvoljen unos negativnih brojeva." sqref="K65:L70 K27:L32 K23:L25 K52:L61 K85:L87 K48:L50 L47 K36:L46 K72 L72:L73 K74:L78">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formula1>0</formula1>
    </dataValidation>
    <dataValidation operator="greaterThanOrEqual" allowBlank="1" showInputMessage="1" showErrorMessage="1" errorTitle="Graška" error="Unose se vrijednosti u konvertibilnim markama, bez decimalnih mjesta. Nije dozvoljen unos negativnih brojeva." sqref="J21:J88"/>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4">
    <tabColor rgb="FFB2B2B2"/>
  </sheetPr>
  <dimension ref="A1:IU96"/>
  <sheetViews>
    <sheetView showGridLines="0" showRowColHeaders="0" zoomScaleSheetLayoutView="100" workbookViewId="0">
      <pane xSplit="13" ySplit="4" topLeftCell="N56" activePane="bottomRight" state="frozen"/>
      <selection pane="topRight" activeCell="N1" sqref="N1"/>
      <selection pane="bottomLeft" activeCell="A5" sqref="A5"/>
      <selection pane="bottomRight" activeCell="K87" sqref="K87"/>
    </sheetView>
  </sheetViews>
  <sheetFormatPr defaultColWidth="0" defaultRowHeight="12.75" zeroHeight="1" x14ac:dyDescent="0.2"/>
  <cols>
    <col min="1" max="1" width="5" style="8" customWidth="1"/>
    <col min="2" max="2" width="5.5703125" style="8" hidden="1" customWidth="1"/>
    <col min="3" max="3" width="19.5703125" style="8" customWidth="1"/>
    <col min="4" max="8" width="17" style="8" customWidth="1"/>
    <col min="9" max="9" width="7.140625" style="8" customWidth="1"/>
    <col min="10" max="11" width="14.28515625" style="8" customWidth="1"/>
    <col min="12" max="13" width="14.2851562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53" t="str">
        <f>Zaglavlje_Naziv_preduzeca</f>
        <v xml:space="preserve">Naziv privrednog društva, zadruge, drugog pravnog lica ili preduzetnika: </v>
      </c>
      <c r="D5" s="653"/>
      <c r="E5" s="653"/>
      <c r="J5" s="775" t="str">
        <f>Podatak_MB</f>
        <v>01814788</v>
      </c>
      <c r="K5" s="775"/>
    </row>
    <row r="6" spans="3:11" x14ac:dyDescent="0.2">
      <c r="C6" s="653"/>
      <c r="D6" s="653"/>
      <c r="E6" s="653"/>
      <c r="F6" s="9"/>
      <c r="K6" s="449" t="str">
        <f>Zaglavlje_MB</f>
        <v>Matični broj</v>
      </c>
    </row>
    <row r="7" spans="3:11" ht="12.75" customHeight="1" x14ac:dyDescent="0.2">
      <c r="C7" s="665" t="str">
        <f>Podatak_Naziv_preduzeca</f>
        <v>ODS ELEKTRODISTRIBUCIJA AD PALE</v>
      </c>
      <c r="D7" s="665"/>
      <c r="E7" s="665"/>
      <c r="F7" s="17"/>
      <c r="K7" s="437" t="str">
        <f>Podatak_Sifra_djelatnosti</f>
        <v>35.13</v>
      </c>
    </row>
    <row r="8" spans="3:11" x14ac:dyDescent="0.2">
      <c r="C8" s="127" t="str">
        <f>Zaglavlje_Sjediste</f>
        <v>Sjedište:</v>
      </c>
      <c r="D8" s="763" t="str">
        <f>Podatak_Sjediste</f>
        <v>PALE</v>
      </c>
      <c r="E8" s="763"/>
      <c r="F8" s="17"/>
      <c r="K8" s="449" t="str">
        <f>Zaglavlje_Sifra_djelatnosti</f>
        <v>Šifra djelatnosti</v>
      </c>
    </row>
    <row r="9" spans="3:11" x14ac:dyDescent="0.2">
      <c r="C9" s="664" t="str">
        <f>Zaglavlje_Ziro_racun</f>
        <v>Račun kod ovlašćene organizacije za platni promet:</v>
      </c>
      <c r="D9" s="664"/>
      <c r="E9" s="664"/>
      <c r="F9" s="260"/>
      <c r="K9" s="437" t="str">
        <f>Podatak_JIB</f>
        <v>4400570050004</v>
      </c>
    </row>
    <row r="10" spans="3:11" x14ac:dyDescent="0.2">
      <c r="C10" s="666" t="str">
        <f>Podatak_Ziro_racun_1</f>
        <v>562-012-00002669-48</v>
      </c>
      <c r="D10" s="666"/>
      <c r="E10" s="666"/>
      <c r="F10" s="260"/>
      <c r="K10" s="259" t="str">
        <f>Zaglavlje_JIB</f>
        <v>JIB</v>
      </c>
    </row>
    <row r="11" spans="3:11" x14ac:dyDescent="0.2">
      <c r="C11" s="666" t="str">
        <f>Podatak_Ziro_racun_2</f>
        <v>555-002-00004363-23</v>
      </c>
      <c r="D11" s="666"/>
      <c r="E11" s="666"/>
      <c r="F11" s="260"/>
      <c r="K11" s="262"/>
    </row>
    <row r="12" spans="3:11" x14ac:dyDescent="0.2">
      <c r="C12" s="710" t="str">
        <f>Podatak_Ziro_racun_3</f>
        <v>551-031-00007369-23</v>
      </c>
      <c r="D12" s="710"/>
      <c r="E12" s="710"/>
      <c r="F12" s="14"/>
    </row>
    <row r="13" spans="3:11" x14ac:dyDescent="0.2">
      <c r="C13" s="710" t="str">
        <f>Podatak_Ziro_racun_4</f>
        <v>571-050-00000510-66</v>
      </c>
      <c r="D13" s="710"/>
      <c r="E13" s="710"/>
      <c r="F13" s="18"/>
      <c r="G13" s="18"/>
      <c r="H13" s="18"/>
      <c r="I13" s="18"/>
      <c r="J13"/>
      <c r="K13"/>
    </row>
    <row r="14" spans="3:11" ht="15.75" x14ac:dyDescent="0.2">
      <c r="C14" s="759" t="str">
        <f>IF( Id_Konsolidovani, Nazivi_bilansa_Konsolidovani_naziv &amp; LOWER( Nazivi_bilansa_Aneks), Nazivi_bilansa_Aneks)</f>
        <v>Aneks</v>
      </c>
      <c r="D14" s="759"/>
      <c r="E14" s="759"/>
      <c r="F14" s="759"/>
      <c r="G14" s="759"/>
      <c r="H14" s="759"/>
      <c r="I14" s="759"/>
      <c r="J14" s="759"/>
      <c r="K14" s="759"/>
    </row>
    <row r="15" spans="3:11" x14ac:dyDescent="0.2">
      <c r="C15" s="760" t="str">
        <f>Nazivi_bilansa_Aneks1</f>
        <v>(Dodatni računovodstveni izvještaj)</v>
      </c>
      <c r="D15" s="760"/>
      <c r="E15" s="760"/>
      <c r="F15" s="760"/>
      <c r="G15" s="760"/>
      <c r="H15" s="760"/>
      <c r="I15" s="760"/>
      <c r="J15" s="760"/>
      <c r="K15" s="760"/>
    </row>
    <row r="16" spans="3:11" x14ac:dyDescent="0.2">
      <c r="C16" s="760" t="str">
        <f>Datumi_Datum_Aneks</f>
        <v>za period od 01.01. do 31.12.2025. godine</v>
      </c>
      <c r="D16" s="760"/>
      <c r="E16" s="760"/>
      <c r="F16" s="760"/>
      <c r="G16" s="760"/>
      <c r="H16" s="760"/>
      <c r="I16" s="760"/>
      <c r="J16" s="760"/>
      <c r="K16" s="760"/>
    </row>
    <row r="17" spans="2:15" x14ac:dyDescent="0.2">
      <c r="C17" s="41"/>
      <c r="D17" s="41"/>
      <c r="E17" s="41"/>
      <c r="F17" s="41"/>
      <c r="G17" s="41"/>
      <c r="H17" s="41"/>
      <c r="I17" s="41"/>
      <c r="J17" s="41"/>
      <c r="K17" s="21" t="str">
        <f>Tabele_zaglavlje_Valuta</f>
        <v>- u konvertibilnim markama -</v>
      </c>
    </row>
    <row r="18" spans="2:15" x14ac:dyDescent="0.2">
      <c r="C18" s="736" t="str">
        <f>Tabele_zaglavlje_Grupa_racuna</f>
        <v>Grupa računa, račun</v>
      </c>
      <c r="D18" s="738" t="str">
        <f>Tabele_zaglavlje_Pozicija</f>
        <v>POZICIJA</v>
      </c>
      <c r="E18" s="738"/>
      <c r="F18" s="738"/>
      <c r="G18" s="738"/>
      <c r="H18" s="738"/>
      <c r="I18" s="749" t="str">
        <f>Tabele_zaglavlje_Oznaka_aop</f>
        <v>Oznaka za AOP</v>
      </c>
      <c r="J18" s="738" t="str">
        <f>Tabele_zaglavlje_Iznos</f>
        <v>Iznos</v>
      </c>
      <c r="K18" s="773"/>
      <c r="M18" s="42"/>
    </row>
    <row r="19" spans="2:15" ht="25.5" x14ac:dyDescent="0.2">
      <c r="C19" s="737"/>
      <c r="D19" s="739"/>
      <c r="E19" s="739"/>
      <c r="F19" s="739"/>
      <c r="G19" s="739"/>
      <c r="H19" s="739"/>
      <c r="I19" s="750"/>
      <c r="J19" s="43" t="str">
        <f>Tabele_zaglavlje_Tekuca_godina</f>
        <v>Tekuća godina</v>
      </c>
      <c r="K19" s="44" t="str">
        <f>Tabele_zaglavlje_Prethodna_godina</f>
        <v>Prethodna godina</v>
      </c>
      <c r="M19" s="42"/>
      <c r="O19" s="136" t="s">
        <v>509</v>
      </c>
    </row>
    <row r="20" spans="2:15" x14ac:dyDescent="0.2">
      <c r="B20" s="45" t="s">
        <v>123</v>
      </c>
      <c r="C20" s="70">
        <v>1</v>
      </c>
      <c r="D20" s="740">
        <v>2</v>
      </c>
      <c r="E20" s="740"/>
      <c r="F20" s="740"/>
      <c r="G20" s="740"/>
      <c r="H20" s="740"/>
      <c r="I20" s="71">
        <v>3</v>
      </c>
      <c r="J20" s="77">
        <v>4</v>
      </c>
      <c r="K20" s="78">
        <v>5</v>
      </c>
    </row>
    <row r="21" spans="2:15" x14ac:dyDescent="0.2">
      <c r="B21" s="48">
        <v>352</v>
      </c>
      <c r="C21" s="196" t="str">
        <f>VLOOKUP( $B21, T_Aop[], 5, 1)</f>
        <v>010</v>
      </c>
      <c r="D21" s="774" t="str">
        <f>VLOOKUP( $B21, T_Aop[], 6, 1)</f>
        <v>Ulaganja u istraživanje i razvoj (dugovni promet bez početnog stanja)</v>
      </c>
      <c r="E21" s="774"/>
      <c r="F21" s="774"/>
      <c r="G21" s="774"/>
      <c r="H21" s="774"/>
      <c r="I21" s="197">
        <f>VLOOKUP( $B21, T_Aop[], 4, 1)</f>
        <v>601</v>
      </c>
      <c r="J21" s="215"/>
      <c r="K21" s="216"/>
      <c r="O21" s="27"/>
    </row>
    <row r="22" spans="2:15" ht="25.5" x14ac:dyDescent="0.2">
      <c r="B22" s="48">
        <v>353</v>
      </c>
      <c r="C22" s="198" t="str">
        <f>VLOOKUP( $B22, T_Aop[], 5, 1)</f>
        <v>201, dio 200</v>
      </c>
      <c r="D22" s="729" t="str">
        <f>VLOOKUP( $B22, T_Aop[], 6, 1)</f>
        <v>Kupci iz Republike Srpske i kupci - povezana pravna lica iz RS (dugovni promet bez početnog stanja)</v>
      </c>
      <c r="E22" s="729"/>
      <c r="F22" s="729"/>
      <c r="G22" s="729"/>
      <c r="H22" s="729"/>
      <c r="I22" s="180">
        <f>VLOOKUP( $B22, T_Aop[], 4, 1)</f>
        <v>602</v>
      </c>
      <c r="J22" s="157">
        <v>40580850</v>
      </c>
      <c r="K22" s="157">
        <v>39985003</v>
      </c>
      <c r="O22" s="135" t="s">
        <v>313</v>
      </c>
    </row>
    <row r="23" spans="2:15" ht="25.5" customHeight="1" x14ac:dyDescent="0.2">
      <c r="B23" s="48">
        <v>354</v>
      </c>
      <c r="C23" s="199" t="str">
        <f>VLOOKUP( $B23, T_Aop[], 5, 1)</f>
        <v>202, dio 200</v>
      </c>
      <c r="D23" s="764" t="str">
        <f>VLOOKUP( $B23, T_Aop[], 6, 1)</f>
        <v>Kupci iz Federacije BiH i kupci - povezana pravna lica iz FBiH (dugovni promet bez početnog stanja)</v>
      </c>
      <c r="E23" s="765"/>
      <c r="F23" s="765"/>
      <c r="G23" s="765"/>
      <c r="H23" s="766"/>
      <c r="I23" s="200">
        <f>VLOOKUP( $B23, T_Aop[], 4, 1)</f>
        <v>603</v>
      </c>
      <c r="J23" s="159">
        <v>500</v>
      </c>
      <c r="K23" s="159">
        <v>1480</v>
      </c>
      <c r="O23" s="135" t="s">
        <v>313</v>
      </c>
    </row>
    <row r="24" spans="2:15" ht="25.5" customHeight="1" x14ac:dyDescent="0.2">
      <c r="B24" s="48">
        <v>355</v>
      </c>
      <c r="C24" s="198" t="str">
        <f>VLOOKUP( $B24, T_Aop[], 5, 1)</f>
        <v>203, dio 200</v>
      </c>
      <c r="D24" s="767" t="str">
        <f>VLOOKUP( $B24, T_Aop[], 6, 1)</f>
        <v>Kupci iz Brčko Distrikta BiH i kupci - povezana pravna lica iz BD (dugovni promet bez početnog stanja)</v>
      </c>
      <c r="E24" s="768"/>
      <c r="F24" s="768"/>
      <c r="G24" s="768"/>
      <c r="H24" s="769"/>
      <c r="I24" s="180">
        <f>VLOOKUP( $B24, T_Aop[], 4, 1)</f>
        <v>604</v>
      </c>
      <c r="J24" s="157"/>
      <c r="K24" s="157"/>
      <c r="O24" s="135" t="s">
        <v>313</v>
      </c>
    </row>
    <row r="25" spans="2:15" ht="25.5" x14ac:dyDescent="0.2">
      <c r="B25" s="48">
        <v>356</v>
      </c>
      <c r="C25" s="199" t="str">
        <f>VLOOKUP( $B25, T_Aop[], 5, 1)</f>
        <v>432, dio 431</v>
      </c>
      <c r="D25" s="764" t="str">
        <f>VLOOKUP( $B25, T_Aop[], 6, 1)</f>
        <v>Dobavljači iz Republike Srpske i dobavljači - povezana pravna lica iz RS (potražni promet bez početnog stanja)</v>
      </c>
      <c r="E25" s="765"/>
      <c r="F25" s="765"/>
      <c r="G25" s="765"/>
      <c r="H25" s="766"/>
      <c r="I25" s="200">
        <f>VLOOKUP( $B25, T_Aop[], 4, 1)</f>
        <v>605</v>
      </c>
      <c r="J25" s="159">
        <v>13985698</v>
      </c>
      <c r="K25" s="159">
        <v>19343721</v>
      </c>
      <c r="O25" s="135" t="s">
        <v>313</v>
      </c>
    </row>
    <row r="26" spans="2:15" ht="25.5" x14ac:dyDescent="0.2">
      <c r="B26" s="48">
        <v>357</v>
      </c>
      <c r="C26" s="198" t="str">
        <f>VLOOKUP( $B26, T_Aop[], 5, 1)</f>
        <v>433, dio 431</v>
      </c>
      <c r="D26" s="767" t="str">
        <f>VLOOKUP( $B26, T_Aop[], 6, 1)</f>
        <v>Dobavljači iz Federacije BiH i dobavljači - povezana pravna lica iz FBiH (potražni promet bez početnog stanja)</v>
      </c>
      <c r="E26" s="768"/>
      <c r="F26" s="768"/>
      <c r="G26" s="768"/>
      <c r="H26" s="769"/>
      <c r="I26" s="180">
        <f>VLOOKUP( $B26, T_Aop[], 4, 1)</f>
        <v>606</v>
      </c>
      <c r="J26" s="157">
        <v>311998</v>
      </c>
      <c r="K26" s="157">
        <v>186131</v>
      </c>
      <c r="O26" s="135" t="s">
        <v>313</v>
      </c>
    </row>
    <row r="27" spans="2:15" ht="25.5" x14ac:dyDescent="0.2">
      <c r="B27" s="48">
        <v>358</v>
      </c>
      <c r="C27" s="199" t="str">
        <f>VLOOKUP( $B27, T_Aop[], 5, 1)</f>
        <v>434, dio 431</v>
      </c>
      <c r="D27" s="764" t="str">
        <f>VLOOKUP( $B27, T_Aop[], 6, 1)</f>
        <v>Dobavljači iz Brčko Distrikta BiH i dobavljači - povezana pravna lica iz DB (potražni promet bez početnog stanja)</v>
      </c>
      <c r="E27" s="765"/>
      <c r="F27" s="765"/>
      <c r="G27" s="765"/>
      <c r="H27" s="766"/>
      <c r="I27" s="200">
        <f>VLOOKUP( $B27, T_Aop[], 4, 1)</f>
        <v>607</v>
      </c>
      <c r="J27" s="159"/>
      <c r="K27" s="159"/>
      <c r="O27" s="135" t="s">
        <v>313</v>
      </c>
    </row>
    <row r="28" spans="2:15" ht="25.5" customHeight="1" x14ac:dyDescent="0.2">
      <c r="B28" s="48">
        <v>359</v>
      </c>
      <c r="C28" s="198" t="str">
        <f>VLOOKUP( $B28, T_Aop[], 5, 1)</f>
        <v>601, dio 600</v>
      </c>
      <c r="D28" s="767" t="str">
        <f>VLOOKUP( $B28, T_Aop[], 6, 1)</f>
        <v>Prihodi od prodaje robe u Republici Srpskoj i prihodi od prodaje robe povezanim pravnim licima u RS</v>
      </c>
      <c r="E28" s="768"/>
      <c r="F28" s="768"/>
      <c r="G28" s="768"/>
      <c r="H28" s="769"/>
      <c r="I28" s="180">
        <f>VLOOKUP( $B28, T_Aop[], 4, 1)</f>
        <v>608</v>
      </c>
      <c r="J28" s="157">
        <v>86618</v>
      </c>
      <c r="K28" s="157">
        <v>12250</v>
      </c>
      <c r="O28" s="135" t="s">
        <v>313</v>
      </c>
    </row>
    <row r="29" spans="2:15" ht="25.5" customHeight="1" x14ac:dyDescent="0.2">
      <c r="B29" s="48">
        <v>360</v>
      </c>
      <c r="C29" s="199" t="str">
        <f>VLOOKUP( $B29, T_Aop[], 5, 1)</f>
        <v>602, dio 600</v>
      </c>
      <c r="D29" s="764" t="str">
        <f>VLOOKUP( $B29, T_Aop[], 6, 1)</f>
        <v>Prihodi od prodaje robe u Federaciji BiH i prihodi od prodaje robe povezanim pravnim licima u FBiH</v>
      </c>
      <c r="E29" s="765"/>
      <c r="F29" s="765"/>
      <c r="G29" s="765"/>
      <c r="H29" s="766"/>
      <c r="I29" s="200">
        <f>VLOOKUP( $B29, T_Aop[], 4, 1)</f>
        <v>609</v>
      </c>
      <c r="J29" s="159"/>
      <c r="K29" s="159"/>
      <c r="O29" s="135" t="s">
        <v>313</v>
      </c>
    </row>
    <row r="30" spans="2:15" ht="25.5" customHeight="1" x14ac:dyDescent="0.2">
      <c r="B30" s="48">
        <v>361</v>
      </c>
      <c r="C30" s="198" t="str">
        <f>VLOOKUP( $B30, T_Aop[], 5, 1)</f>
        <v>603, dio 600</v>
      </c>
      <c r="D30" s="767" t="str">
        <f>VLOOKUP( $B30, T_Aop[], 6, 1)</f>
        <v>Prihodi od prodaje robe u Brčko Distriktu BiH i prihodi od prodaje robe povezanim pravnim licima u BD</v>
      </c>
      <c r="E30" s="768"/>
      <c r="F30" s="768"/>
      <c r="G30" s="768"/>
      <c r="H30" s="769"/>
      <c r="I30" s="180">
        <f>VLOOKUP( $B30, T_Aop[], 4, 1)</f>
        <v>610</v>
      </c>
      <c r="J30" s="157"/>
      <c r="K30" s="157"/>
      <c r="O30" s="135" t="s">
        <v>313</v>
      </c>
    </row>
    <row r="31" spans="2:15" ht="12.75" customHeight="1" x14ac:dyDescent="0.2">
      <c r="B31" s="48">
        <v>362</v>
      </c>
      <c r="C31" s="199" t="str">
        <f>VLOOKUP( $B31, T_Aop[], 5, 1)</f>
        <v>dio 61</v>
      </c>
      <c r="D31" s="764" t="str">
        <f>VLOOKUP( $B31, T_Aop[], 6, 1)</f>
        <v>Prihodi od prodaje proizvoda</v>
      </c>
      <c r="E31" s="765"/>
      <c r="F31" s="765"/>
      <c r="G31" s="765"/>
      <c r="H31" s="766"/>
      <c r="I31" s="200">
        <f>VLOOKUP( $B31, T_Aop[], 4, 1)</f>
        <v>611</v>
      </c>
      <c r="J31" s="159"/>
      <c r="K31" s="159"/>
      <c r="O31"/>
    </row>
    <row r="32" spans="2:15" ht="12.75" customHeight="1" x14ac:dyDescent="0.2">
      <c r="B32" s="48">
        <v>363</v>
      </c>
      <c r="C32" s="198" t="str">
        <f>VLOOKUP( $B32, T_Aop[], 5, 1)</f>
        <v>dio 61</v>
      </c>
      <c r="D32" s="767" t="str">
        <f>VLOOKUP( $B32, T_Aop[], 6, 1)</f>
        <v>Prihodi od prodaje usluga</v>
      </c>
      <c r="E32" s="768"/>
      <c r="F32" s="768"/>
      <c r="G32" s="768"/>
      <c r="H32" s="769"/>
      <c r="I32" s="180">
        <f>VLOOKUP( $B32, T_Aop[], 4, 1)</f>
        <v>612</v>
      </c>
      <c r="J32" s="157"/>
      <c r="K32" s="157"/>
      <c r="O32"/>
    </row>
    <row r="33" spans="2:15" ht="25.5" customHeight="1" x14ac:dyDescent="0.2">
      <c r="B33" s="48">
        <v>364</v>
      </c>
      <c r="C33" s="199" t="str">
        <f>VLOOKUP( $B33, T_Aop[], 5, 1)</f>
        <v>611, dio 610</v>
      </c>
      <c r="D33" s="764" t="str">
        <f>VLOOKUP( $B33, T_Aop[], 6, 1)</f>
        <v>Prihodi od prodaje učinaka u Republici Srpskoj i prihodi od prodaje učinaka povezanim pravnim licima u RS</v>
      </c>
      <c r="E33" s="765"/>
      <c r="F33" s="765"/>
      <c r="G33" s="765"/>
      <c r="H33" s="766"/>
      <c r="I33" s="200">
        <f>VLOOKUP( $B33, T_Aop[], 4, 1)</f>
        <v>613</v>
      </c>
      <c r="J33" s="159">
        <v>35517218</v>
      </c>
      <c r="K33" s="159">
        <v>34162966</v>
      </c>
      <c r="O33" s="135" t="s">
        <v>313</v>
      </c>
    </row>
    <row r="34" spans="2:15" ht="25.5" customHeight="1" x14ac:dyDescent="0.2">
      <c r="B34" s="48">
        <v>365</v>
      </c>
      <c r="C34" s="198" t="str">
        <f>VLOOKUP( $B34, T_Aop[], 5, 1)</f>
        <v>612, dio 610</v>
      </c>
      <c r="D34" s="767" t="str">
        <f>VLOOKUP( $B34, T_Aop[], 6, 1)</f>
        <v>Prihodi od prodaje učinaka u Federaciji BiH i prihodi od prodaje učinaka povezanim pravnim licima u FBiH</v>
      </c>
      <c r="E34" s="768"/>
      <c r="F34" s="768"/>
      <c r="G34" s="768"/>
      <c r="H34" s="769"/>
      <c r="I34" s="180">
        <f>VLOOKUP( $B34, T_Aop[], 4, 1)</f>
        <v>614</v>
      </c>
      <c r="J34" s="157">
        <v>427</v>
      </c>
      <c r="K34" s="157">
        <v>1265</v>
      </c>
      <c r="O34" s="135" t="s">
        <v>313</v>
      </c>
    </row>
    <row r="35" spans="2:15" ht="25.5" customHeight="1" x14ac:dyDescent="0.2">
      <c r="B35" s="48">
        <v>366</v>
      </c>
      <c r="C35" s="199" t="str">
        <f>VLOOKUP( $B35, T_Aop[], 5, 1)</f>
        <v>613, dio 610</v>
      </c>
      <c r="D35" s="764" t="str">
        <f>VLOOKUP( $B35, T_Aop[], 6, 1)</f>
        <v>Prihodi od prodaje učinaka u Brčko Distriktu BiH i prihodi od prodaje učinaka povezanim pravnim licima u BD</v>
      </c>
      <c r="E35" s="765"/>
      <c r="F35" s="765"/>
      <c r="G35" s="765"/>
      <c r="H35" s="766"/>
      <c r="I35" s="200">
        <f>VLOOKUP( $B35, T_Aop[], 4, 1)</f>
        <v>615</v>
      </c>
      <c r="J35" s="159"/>
      <c r="K35" s="159"/>
      <c r="O35" s="135" t="s">
        <v>313</v>
      </c>
    </row>
    <row r="36" spans="2:15" ht="12.75" customHeight="1" x14ac:dyDescent="0.2">
      <c r="B36" s="48">
        <v>367</v>
      </c>
      <c r="C36" s="198" t="str">
        <f>VLOOKUP( $B36, T_Aop[], 5, 1)</f>
        <v>dio 611</v>
      </c>
      <c r="D36" s="767" t="str">
        <f>VLOOKUP( $B36, T_Aop[], 6, 1)</f>
        <v>Prihodi od prodaje usluga u Republici Srpskoj</v>
      </c>
      <c r="E36" s="768"/>
      <c r="F36" s="768"/>
      <c r="G36" s="768"/>
      <c r="H36" s="769"/>
      <c r="I36" s="180">
        <f>VLOOKUP( $B36, T_Aop[], 4, 1)</f>
        <v>616</v>
      </c>
      <c r="J36" s="157"/>
      <c r="K36" s="157"/>
      <c r="O36" s="27"/>
    </row>
    <row r="37" spans="2:15" ht="12.75" customHeight="1" x14ac:dyDescent="0.2">
      <c r="B37" s="48">
        <v>368</v>
      </c>
      <c r="C37" s="199" t="str">
        <f>VLOOKUP( $B37, T_Aop[], 5, 1)</f>
        <v>dio 612</v>
      </c>
      <c r="D37" s="764" t="str">
        <f>VLOOKUP( $B37, T_Aop[], 6, 1)</f>
        <v>Prihodi od prodaje usluga u Federaciji BiH</v>
      </c>
      <c r="E37" s="765"/>
      <c r="F37" s="765"/>
      <c r="G37" s="765"/>
      <c r="H37" s="766"/>
      <c r="I37" s="200">
        <f>VLOOKUP( $B37, T_Aop[], 4, 1)</f>
        <v>617</v>
      </c>
      <c r="J37" s="159"/>
      <c r="K37" s="159"/>
      <c r="O37" s="27"/>
    </row>
    <row r="38" spans="2:15" ht="12.75" customHeight="1" x14ac:dyDescent="0.2">
      <c r="B38" s="48">
        <v>369</v>
      </c>
      <c r="C38" s="198" t="str">
        <f>VLOOKUP( $B38, T_Aop[], 5, 1)</f>
        <v>dio 613</v>
      </c>
      <c r="D38" s="767" t="str">
        <f>VLOOKUP( $B38, T_Aop[], 6, 1)</f>
        <v>Prihodi od prodaje usluga u Brčko Distriktu BiH</v>
      </c>
      <c r="E38" s="768"/>
      <c r="F38" s="768"/>
      <c r="G38" s="768"/>
      <c r="H38" s="769"/>
      <c r="I38" s="180">
        <f>VLOOKUP( $B38, T_Aop[], 4, 1)</f>
        <v>618</v>
      </c>
      <c r="J38" s="157"/>
      <c r="K38" s="157"/>
      <c r="O38" s="27"/>
    </row>
    <row r="39" spans="2:15" ht="12.75" customHeight="1" x14ac:dyDescent="0.2">
      <c r="B39" s="48">
        <v>370</v>
      </c>
      <c r="C39" s="194">
        <f>VLOOKUP( $B39, T_Aop[], 5, 1)</f>
        <v>65</v>
      </c>
      <c r="D39" s="701" t="str">
        <f>VLOOKUP( $B39, T_Aop[], 6, 1)</f>
        <v>OSTALI POSLOVNI PRIHODI (620 + 623 + 624 + 625 + 626 + 627 + 628)</v>
      </c>
      <c r="E39" s="702"/>
      <c r="F39" s="702"/>
      <c r="G39" s="702"/>
      <c r="H39" s="703"/>
      <c r="I39" s="195">
        <f>VLOOKUP( $B39, T_Aop[], 4, 1)</f>
        <v>619</v>
      </c>
      <c r="J39" s="65">
        <f>SUBTOTAL( 9, J40, J43:J48)</f>
        <v>815562</v>
      </c>
      <c r="K39" s="66">
        <f>SUBTOTAL( 9, K40, K43:K48)</f>
        <v>910087</v>
      </c>
      <c r="O39" s="27"/>
    </row>
    <row r="40" spans="2:15" ht="12.75" customHeight="1" x14ac:dyDescent="0.2">
      <c r="B40" s="48">
        <v>371</v>
      </c>
      <c r="C40" s="198">
        <f>VLOOKUP( $B40, T_Aop[], 5, 1)</f>
        <v>650</v>
      </c>
      <c r="D40" s="767" t="str">
        <f>VLOOKUP( $B40, T_Aop[], 6, 1)</f>
        <v xml:space="preserve">  a) Prihodi od premija, subvencija, dotacija, regresa, podsticaja i slično</v>
      </c>
      <c r="E40" s="768"/>
      <c r="F40" s="768"/>
      <c r="G40" s="768"/>
      <c r="H40" s="769"/>
      <c r="I40" s="180">
        <f>VLOOKUP( $B40, T_Aop[], 4, 1)</f>
        <v>620</v>
      </c>
      <c r="J40" s="157">
        <v>5325</v>
      </c>
      <c r="K40" s="158">
        <v>6570</v>
      </c>
      <c r="O40" s="27"/>
    </row>
    <row r="41" spans="2:15" ht="25.5" customHeight="1" x14ac:dyDescent="0.2">
      <c r="B41" s="48">
        <v>372</v>
      </c>
      <c r="C41" s="199" t="str">
        <f>VLOOKUP( $B41, T_Aop[], 5, 1)</f>
        <v>dio 650</v>
      </c>
      <c r="D41" s="764" t="str">
        <f>VLOOKUP( $B41, T_Aop[], 6, 1)</f>
        <v xml:space="preserve">    Od toga: prihodi po osnovu subvencija na proizvode (subvencije koje se mogu prikazati po jedinici proizvoda, npr. vozna karta, brašno, hljeb, mlijeko i dr.)</v>
      </c>
      <c r="E41" s="765"/>
      <c r="F41" s="765"/>
      <c r="G41" s="765"/>
      <c r="H41" s="766"/>
      <c r="I41" s="200">
        <f>VLOOKUP( $B41, T_Aop[], 4, 1)</f>
        <v>621</v>
      </c>
      <c r="J41" s="159"/>
      <c r="K41" s="160"/>
      <c r="O41" s="135" t="s">
        <v>313</v>
      </c>
    </row>
    <row r="42" spans="2:15" ht="25.5" customHeight="1" x14ac:dyDescent="0.2">
      <c r="B42" s="48">
        <v>373</v>
      </c>
      <c r="C42" s="198" t="str">
        <f>VLOOKUP( $B42, T_Aop[], 5, 1)</f>
        <v>dio 650</v>
      </c>
      <c r="D42" s="767" t="str">
        <f>VLOOKUP( $B42, T_Aop[], 6, 1)</f>
        <v xml:space="preserve">    Od toga: prihodi po osnovu subvencija na proizvodnju (na zapošljavanje, platu, kamatnu stopu, za smanjenje zagađenja i dr.)</v>
      </c>
      <c r="E42" s="768"/>
      <c r="F42" s="768"/>
      <c r="G42" s="768"/>
      <c r="H42" s="769"/>
      <c r="I42" s="180">
        <f>VLOOKUP( $B42, T_Aop[], 4, 1)</f>
        <v>622</v>
      </c>
      <c r="J42" s="157"/>
      <c r="K42" s="158"/>
      <c r="O42" s="135" t="s">
        <v>313</v>
      </c>
    </row>
    <row r="43" spans="2:15" ht="12.75" customHeight="1" x14ac:dyDescent="0.2">
      <c r="B43" s="48">
        <v>374</v>
      </c>
      <c r="C43" s="199">
        <f>VLOOKUP( $B43, T_Aop[], 5, 1)</f>
        <v>651</v>
      </c>
      <c r="D43" s="764" t="str">
        <f>VLOOKUP( $B43, T_Aop[], 6, 1)</f>
        <v xml:space="preserve">  b) Prihod od zakupnina</v>
      </c>
      <c r="E43" s="765"/>
      <c r="F43" s="765"/>
      <c r="G43" s="765"/>
      <c r="H43" s="766"/>
      <c r="I43" s="200">
        <f>VLOOKUP( $B43, T_Aop[], 4, 1)</f>
        <v>623</v>
      </c>
      <c r="J43" s="159">
        <v>124500</v>
      </c>
      <c r="K43" s="160">
        <v>120370</v>
      </c>
      <c r="O43" s="27"/>
    </row>
    <row r="44" spans="2:15" ht="12.75" customHeight="1" x14ac:dyDescent="0.2">
      <c r="B44" s="48">
        <v>375</v>
      </c>
      <c r="C44" s="198">
        <f>VLOOKUP( $B44, T_Aop[], 5, 1)</f>
        <v>652</v>
      </c>
      <c r="D44" s="767" t="str">
        <f>VLOOKUP( $B44, T_Aop[], 6, 1)</f>
        <v xml:space="preserve">  c) Prihod od donacija</v>
      </c>
      <c r="E44" s="768"/>
      <c r="F44" s="768"/>
      <c r="G44" s="768"/>
      <c r="H44" s="769"/>
      <c r="I44" s="180">
        <f>VLOOKUP( $B44, T_Aop[], 4, 1)</f>
        <v>624</v>
      </c>
      <c r="J44" s="157">
        <v>652337</v>
      </c>
      <c r="K44" s="158">
        <v>738114</v>
      </c>
      <c r="O44" s="27"/>
    </row>
    <row r="45" spans="2:15" ht="12.75" customHeight="1" x14ac:dyDescent="0.2">
      <c r="B45" s="48">
        <v>376</v>
      </c>
      <c r="C45" s="199">
        <f>VLOOKUP( $B45, T_Aop[], 5, 1)</f>
        <v>653</v>
      </c>
      <c r="D45" s="764" t="str">
        <f>VLOOKUP( $B45, T_Aop[], 6, 1)</f>
        <v xml:space="preserve">  d) Prihod od članarina</v>
      </c>
      <c r="E45" s="765"/>
      <c r="F45" s="765"/>
      <c r="G45" s="765"/>
      <c r="H45" s="766"/>
      <c r="I45" s="200">
        <f>VLOOKUP( $B45, T_Aop[], 4, 1)</f>
        <v>625</v>
      </c>
      <c r="J45" s="159"/>
      <c r="K45" s="159"/>
      <c r="O45" s="27"/>
    </row>
    <row r="46" spans="2:15" ht="12.75" customHeight="1" x14ac:dyDescent="0.2">
      <c r="B46" s="48">
        <v>377</v>
      </c>
      <c r="C46" s="198">
        <f>VLOOKUP( $B46, T_Aop[], 5, 1)</f>
        <v>654</v>
      </c>
      <c r="D46" s="767" t="str">
        <f>VLOOKUP( $B46, T_Aop[], 6, 1)</f>
        <v xml:space="preserve">  e) Prihod od tantijema i licencnih prava</v>
      </c>
      <c r="E46" s="768"/>
      <c r="F46" s="768"/>
      <c r="G46" s="768"/>
      <c r="H46" s="769"/>
      <c r="I46" s="180">
        <f>VLOOKUP( $B46, T_Aop[], 4, 1)</f>
        <v>626</v>
      </c>
      <c r="J46" s="157"/>
      <c r="K46" s="157"/>
      <c r="O46" s="27"/>
    </row>
    <row r="47" spans="2:15" ht="12.75" customHeight="1" x14ac:dyDescent="0.2">
      <c r="B47" s="48">
        <v>378</v>
      </c>
      <c r="C47" s="199">
        <f>VLOOKUP( $B47, T_Aop[], 5, 1)</f>
        <v>655</v>
      </c>
      <c r="D47" s="764" t="str">
        <f>VLOOKUP( $B47, T_Aop[], 6, 1)</f>
        <v xml:space="preserve">  f) Prihod iz namjenskih izvora finansiranja (iz budžeta, fondova i dr.)</v>
      </c>
      <c r="E47" s="765"/>
      <c r="F47" s="765"/>
      <c r="G47" s="765"/>
      <c r="H47" s="766"/>
      <c r="I47" s="200">
        <f>VLOOKUP( $B47, T_Aop[], 4, 1)</f>
        <v>627</v>
      </c>
      <c r="J47" s="159">
        <v>33400</v>
      </c>
      <c r="K47" s="159">
        <v>45033</v>
      </c>
      <c r="O47" s="27"/>
    </row>
    <row r="48" spans="2:15" ht="12.75" customHeight="1" x14ac:dyDescent="0.2">
      <c r="B48" s="48">
        <v>379</v>
      </c>
      <c r="C48" s="198">
        <f>VLOOKUP( $B48, T_Aop[], 5, 1)</f>
        <v>659</v>
      </c>
      <c r="D48" s="767" t="str">
        <f>VLOOKUP( $B48, T_Aop[], 6, 1)</f>
        <v xml:space="preserve">  g) Ostali poslovni prihodi po drugim osnovima</v>
      </c>
      <c r="E48" s="768"/>
      <c r="F48" s="768"/>
      <c r="G48" s="768"/>
      <c r="H48" s="769"/>
      <c r="I48" s="180">
        <f>VLOOKUP( $B48, T_Aop[], 4, 1)</f>
        <v>628</v>
      </c>
      <c r="J48" s="157"/>
      <c r="K48" s="157"/>
      <c r="O48" s="27"/>
    </row>
    <row r="49" spans="2:15" ht="12.75" customHeight="1" x14ac:dyDescent="0.2">
      <c r="B49" s="48">
        <v>380</v>
      </c>
      <c r="C49" s="194" t="str">
        <f>VLOOKUP( $B49, T_Aop[], 5, 1)</f>
        <v>66 + 67</v>
      </c>
      <c r="D49" s="701" t="str">
        <f>VLOOKUP( $B49, T_Aop[], 6, 1)</f>
        <v>FINANSIJSKI I OSTALI PRIHODI</v>
      </c>
      <c r="E49" s="702"/>
      <c r="F49" s="702"/>
      <c r="G49" s="702"/>
      <c r="H49" s="703"/>
      <c r="I49" s="195">
        <f>VLOOKUP( $B49, T_Aop[], 4, 1)</f>
        <v>629</v>
      </c>
      <c r="J49" s="213">
        <v>553478</v>
      </c>
      <c r="K49" s="214">
        <v>1429265</v>
      </c>
      <c r="O49" s="27"/>
    </row>
    <row r="50" spans="2:15" ht="12.75" customHeight="1" x14ac:dyDescent="0.2">
      <c r="B50" s="48">
        <v>381</v>
      </c>
      <c r="C50" s="198" t="str">
        <f>VLOOKUP( $B50, T_Aop[], 5, 1)</f>
        <v>dio 660</v>
      </c>
      <c r="D50" s="767" t="str">
        <f>VLOOKUP( $B50, T_Aop[], 6, 1)</f>
        <v xml:space="preserve">    Od toga: prihodi od učešća u dobiti (dividendi)</v>
      </c>
      <c r="E50" s="768"/>
      <c r="F50" s="768"/>
      <c r="G50" s="768"/>
      <c r="H50" s="769"/>
      <c r="I50" s="180">
        <f>VLOOKUP( $B50, T_Aop[], 4, 1)</f>
        <v>630</v>
      </c>
      <c r="J50" s="157"/>
      <c r="K50" s="157"/>
      <c r="O50" s="27"/>
    </row>
    <row r="51" spans="2:15" ht="12.75" customHeight="1" x14ac:dyDescent="0.2">
      <c r="B51" s="48">
        <v>382</v>
      </c>
      <c r="C51" s="199" t="str">
        <f>VLOOKUP( $B51, T_Aop[], 5, 1)</f>
        <v>dio 670</v>
      </c>
      <c r="D51" s="764" t="str">
        <f>VLOOKUP( $B51, T_Aop[], 6, 1)</f>
        <v xml:space="preserve">  Dobici po osnovu prodaje nekretnina, postrojenja i opreme</v>
      </c>
      <c r="E51" s="765"/>
      <c r="F51" s="765"/>
      <c r="G51" s="765"/>
      <c r="H51" s="766"/>
      <c r="I51" s="200">
        <f>VLOOKUP( $B51, T_Aop[], 4, 1)</f>
        <v>631</v>
      </c>
      <c r="J51" s="159"/>
      <c r="K51" s="159">
        <v>30359</v>
      </c>
      <c r="O51" s="55"/>
    </row>
    <row r="52" spans="2:15" ht="12.75" customHeight="1" x14ac:dyDescent="0.2">
      <c r="B52" s="48">
        <v>383</v>
      </c>
      <c r="C52" s="198">
        <f>VLOOKUP( $B52, T_Aop[], 5, 1)</f>
        <v>678</v>
      </c>
      <c r="D52" s="767" t="str">
        <f>VLOOKUP( $B52, T_Aop[], 6, 1)</f>
        <v xml:space="preserve">  Prihodi po osnovu ugovorene zaštite od rizika koji ne ispunjavaju uslove da se iskažu u okviru revalorizacionih rezervi</v>
      </c>
      <c r="E52" s="768"/>
      <c r="F52" s="768"/>
      <c r="G52" s="768"/>
      <c r="H52" s="769"/>
      <c r="I52" s="180">
        <f>VLOOKUP( $B52, T_Aop[], 4, 1)</f>
        <v>632</v>
      </c>
      <c r="J52" s="157"/>
      <c r="K52" s="157"/>
      <c r="O52" s="27"/>
    </row>
    <row r="53" spans="2:15" ht="12.75" customHeight="1" x14ac:dyDescent="0.2">
      <c r="B53" s="48">
        <v>384</v>
      </c>
      <c r="C53" s="194">
        <f>VLOOKUP( $B53, T_Aop[], 5, 1)</f>
        <v>51</v>
      </c>
      <c r="D53" s="701" t="str">
        <f>VLOOKUP( $B53, T_Aop[], 6, 1)</f>
        <v>TROŠKOVI MATERIJALA</v>
      </c>
      <c r="E53" s="702"/>
      <c r="F53" s="702"/>
      <c r="G53" s="702"/>
      <c r="H53" s="703"/>
      <c r="I53" s="195">
        <f>VLOOKUP( $B53, T_Aop[], 4, 1)</f>
        <v>633</v>
      </c>
      <c r="J53" s="213"/>
      <c r="K53" s="213"/>
      <c r="O53" s="27"/>
    </row>
    <row r="54" spans="2:15" ht="12.75" customHeight="1" x14ac:dyDescent="0.2">
      <c r="B54" s="48">
        <v>385</v>
      </c>
      <c r="C54" s="198">
        <f>VLOOKUP( $B54, T_Aop[], 5, 1)</f>
        <v>513</v>
      </c>
      <c r="D54" s="767" t="str">
        <f>VLOOKUP( $B54, T_Aop[], 6, 1)</f>
        <v xml:space="preserve">    Od toga: troškovi goriva i energije</v>
      </c>
      <c r="E54" s="768"/>
      <c r="F54" s="768"/>
      <c r="G54" s="768"/>
      <c r="H54" s="769"/>
      <c r="I54" s="180">
        <f>VLOOKUP( $B54, T_Aop[], 4, 1)</f>
        <v>634</v>
      </c>
      <c r="J54" s="157"/>
      <c r="K54" s="157"/>
      <c r="O54" s="27"/>
    </row>
    <row r="55" spans="2:15" ht="12.75" customHeight="1" x14ac:dyDescent="0.2">
      <c r="B55" s="48">
        <v>386</v>
      </c>
      <c r="C55" s="194">
        <f>VLOOKUP( $B55, T_Aop[], 5, 1)</f>
        <v>52</v>
      </c>
      <c r="D55" s="701" t="str">
        <f>VLOOKUP( $B55, T_Aop[], 6, 1)</f>
        <v>TROŠKOVI ZARADA, NAKNADA ZARADA I OSTALIH LIČNIH RASHODA</v>
      </c>
      <c r="E55" s="702"/>
      <c r="F55" s="702"/>
      <c r="G55" s="702"/>
      <c r="H55" s="703"/>
      <c r="I55" s="195">
        <f>VLOOKUP( $B55, T_Aop[], 4, 1)</f>
        <v>635</v>
      </c>
      <c r="J55" s="213">
        <v>14016944</v>
      </c>
      <c r="K55" s="214">
        <v>12867440</v>
      </c>
      <c r="O55" s="27"/>
    </row>
    <row r="56" spans="2:15" ht="12.75" customHeight="1" x14ac:dyDescent="0.2">
      <c r="B56" s="48">
        <v>387</v>
      </c>
      <c r="C56" s="198" t="str">
        <f>VLOOKUP( $B56, T_Aop[], 5, 1)</f>
        <v>522 + 523</v>
      </c>
      <c r="D56" s="767" t="str">
        <f>VLOOKUP( $B56, T_Aop[], 6, 1)</f>
        <v xml:space="preserve">  Troškovi bruto naknada članovima upravnog, nadzornog, odbora za reviziju i dr.</v>
      </c>
      <c r="E56" s="768"/>
      <c r="F56" s="768"/>
      <c r="G56" s="768"/>
      <c r="H56" s="769"/>
      <c r="I56" s="180">
        <f>VLOOKUP( $B56, T_Aop[], 4, 1)</f>
        <v>636</v>
      </c>
      <c r="J56" s="157">
        <v>108056</v>
      </c>
      <c r="K56" s="157">
        <v>92396</v>
      </c>
      <c r="O56" s="27"/>
    </row>
    <row r="57" spans="2:15" ht="12.75" customHeight="1" x14ac:dyDescent="0.2">
      <c r="B57" s="48">
        <v>388</v>
      </c>
      <c r="C57" s="199">
        <f>VLOOKUP( $B57, T_Aop[], 5, 1)</f>
        <v>525</v>
      </c>
      <c r="D57" s="764" t="str">
        <f>VLOOKUP( $B57, T_Aop[], 6, 1)</f>
        <v xml:space="preserve">  Troškovi zaposlenih na službenom putu</v>
      </c>
      <c r="E57" s="765"/>
      <c r="F57" s="765"/>
      <c r="G57" s="765"/>
      <c r="H57" s="766"/>
      <c r="I57" s="200">
        <f>VLOOKUP( $B57, T_Aop[], 4, 1)</f>
        <v>637</v>
      </c>
      <c r="J57" s="159">
        <v>14118</v>
      </c>
      <c r="K57" s="159">
        <v>27665</v>
      </c>
      <c r="O57" s="27"/>
    </row>
    <row r="58" spans="2:15" x14ac:dyDescent="0.2">
      <c r="B58" s="48">
        <v>389</v>
      </c>
      <c r="C58" s="198" t="str">
        <f>VLOOKUP( $B58, T_Aop[], 5, 1)</f>
        <v>dio 525</v>
      </c>
      <c r="D58" s="767" t="str">
        <f>VLOOKUP( $B58, T_Aop[], 6, 1)</f>
        <v xml:space="preserve">    Od toga: dnevnice</v>
      </c>
      <c r="E58" s="768"/>
      <c r="F58" s="768"/>
      <c r="G58" s="768"/>
      <c r="H58" s="769"/>
      <c r="I58" s="180">
        <f>VLOOKUP( $B58, T_Aop[], 4, 1)</f>
        <v>638</v>
      </c>
      <c r="J58" s="157">
        <v>5371</v>
      </c>
      <c r="K58" s="157">
        <v>6746</v>
      </c>
      <c r="O58" s="27"/>
    </row>
    <row r="59" spans="2:15" ht="12.75" customHeight="1" x14ac:dyDescent="0.2">
      <c r="B59" s="48">
        <v>390</v>
      </c>
      <c r="C59" s="194">
        <f>VLOOKUP( $B59, T_Aop[], 5, 1)</f>
        <v>53</v>
      </c>
      <c r="D59" s="701" t="str">
        <f>VLOOKUP( $B59, T_Aop[], 6, 1)</f>
        <v>TROŠKOVI PROIZVODNIH USLUGA (640 + 641 + 642 + 643 + 644 + 645 + 646 + 647)</v>
      </c>
      <c r="E59" s="702"/>
      <c r="F59" s="702"/>
      <c r="G59" s="702"/>
      <c r="H59" s="703"/>
      <c r="I59" s="195">
        <f>VLOOKUP( $B59, T_Aop[], 4, 1)</f>
        <v>639</v>
      </c>
      <c r="J59" s="65">
        <f>SUBTOTAL( 9, J60:J67)</f>
        <v>856246</v>
      </c>
      <c r="K59" s="66">
        <f>SUBTOTAL( 9, K60:K67)</f>
        <v>1198824</v>
      </c>
      <c r="O59" s="27"/>
    </row>
    <row r="60" spans="2:15" ht="12.75" customHeight="1" x14ac:dyDescent="0.2">
      <c r="B60" s="48">
        <v>391</v>
      </c>
      <c r="C60" s="198">
        <f>VLOOKUP( $B60, T_Aop[], 5, 1)</f>
        <v>530</v>
      </c>
      <c r="D60" s="767" t="str">
        <f>VLOOKUP( $B60, T_Aop[], 6, 1)</f>
        <v xml:space="preserve">  a) Troškovi usluga na izradi učinaka</v>
      </c>
      <c r="E60" s="768"/>
      <c r="F60" s="768"/>
      <c r="G60" s="768"/>
      <c r="H60" s="769"/>
      <c r="I60" s="180">
        <f>VLOOKUP( $B60, T_Aop[], 4, 1)</f>
        <v>640</v>
      </c>
      <c r="J60" s="157"/>
      <c r="K60" s="158"/>
      <c r="O60" s="27"/>
    </row>
    <row r="61" spans="2:15" ht="12.75" customHeight="1" x14ac:dyDescent="0.2">
      <c r="B61" s="48">
        <v>392</v>
      </c>
      <c r="C61" s="199">
        <f>VLOOKUP( $B61, T_Aop[], 5, 1)</f>
        <v>531</v>
      </c>
      <c r="D61" s="764" t="str">
        <f>VLOOKUP( $B61, T_Aop[], 6, 1)</f>
        <v xml:space="preserve">  b) Troškovi transportnih usluga</v>
      </c>
      <c r="E61" s="765"/>
      <c r="F61" s="765"/>
      <c r="G61" s="765"/>
      <c r="H61" s="766"/>
      <c r="I61" s="200">
        <f>VLOOKUP( $B61, T_Aop[], 4, 1)</f>
        <v>641</v>
      </c>
      <c r="J61" s="159"/>
      <c r="K61" s="160"/>
      <c r="O61" s="27"/>
    </row>
    <row r="62" spans="2:15" ht="12.75" customHeight="1" x14ac:dyDescent="0.2">
      <c r="B62" s="48">
        <v>393</v>
      </c>
      <c r="C62" s="198" t="str">
        <f>VLOOKUP( $B62, T_Aop[], 5, 1)</f>
        <v>dio 532</v>
      </c>
      <c r="D62" s="767" t="str">
        <f>VLOOKUP( $B62, T_Aop[], 6, 1)</f>
        <v xml:space="preserve">  v) Troškovi za usluge tekućeg održavanja osnovnih sredstava</v>
      </c>
      <c r="E62" s="768"/>
      <c r="F62" s="768"/>
      <c r="G62" s="768"/>
      <c r="H62" s="769"/>
      <c r="I62" s="180">
        <f>VLOOKUP( $B62, T_Aop[], 4, 1)</f>
        <v>642</v>
      </c>
      <c r="J62" s="157">
        <v>126356</v>
      </c>
      <c r="K62" s="157">
        <v>116267</v>
      </c>
      <c r="O62" s="27"/>
    </row>
    <row r="63" spans="2:15" ht="12.75" customHeight="1" x14ac:dyDescent="0.2">
      <c r="B63" s="48">
        <v>394</v>
      </c>
      <c r="C63" s="199" t="str">
        <f>VLOOKUP( $B63, T_Aop[], 5, 1)</f>
        <v>dio 532</v>
      </c>
      <c r="D63" s="764" t="str">
        <f>VLOOKUP( $B63, T_Aop[], 6, 1)</f>
        <v xml:space="preserve">  g) Troškovi za usluge investicionog održavanja osnovnih sredstava</v>
      </c>
      <c r="E63" s="765"/>
      <c r="F63" s="765"/>
      <c r="G63" s="765"/>
      <c r="H63" s="766"/>
      <c r="I63" s="200">
        <f>VLOOKUP( $B63, T_Aop[], 4, 1)</f>
        <v>643</v>
      </c>
      <c r="J63" s="159">
        <v>460649</v>
      </c>
      <c r="K63" s="159">
        <v>912005</v>
      </c>
      <c r="O63" s="27"/>
    </row>
    <row r="64" spans="2:15" x14ac:dyDescent="0.2">
      <c r="B64" s="48">
        <v>395</v>
      </c>
      <c r="C64" s="198">
        <f>VLOOKUP( $B64, T_Aop[], 5, 1)</f>
        <v>533</v>
      </c>
      <c r="D64" s="767" t="str">
        <f>VLOOKUP( $B64, T_Aop[], 6, 1)</f>
        <v xml:space="preserve">  d) Troškovi zakupa</v>
      </c>
      <c r="E64" s="768"/>
      <c r="F64" s="768"/>
      <c r="G64" s="768"/>
      <c r="H64" s="769"/>
      <c r="I64" s="180">
        <f>VLOOKUP( $B64, T_Aop[], 4, 1)</f>
        <v>644</v>
      </c>
      <c r="J64" s="157">
        <v>19805</v>
      </c>
      <c r="K64" s="157">
        <v>23153</v>
      </c>
      <c r="O64" s="27"/>
    </row>
    <row r="65" spans="2:15" ht="12.75" customHeight="1" x14ac:dyDescent="0.2">
      <c r="B65" s="48">
        <v>396</v>
      </c>
      <c r="C65" s="199" t="str">
        <f>VLOOKUP( $B65, T_Aop[], 5, 1)</f>
        <v>534 + 535</v>
      </c>
      <c r="D65" s="764" t="str">
        <f>VLOOKUP( $B65, T_Aop[], 6, 1)</f>
        <v xml:space="preserve">  đ) Troškovi sajmova, reklame i propagande</v>
      </c>
      <c r="E65" s="765"/>
      <c r="F65" s="765"/>
      <c r="G65" s="765"/>
      <c r="H65" s="766"/>
      <c r="I65" s="200">
        <f>VLOOKUP( $B65, T_Aop[], 4, 1)</f>
        <v>645</v>
      </c>
      <c r="J65" s="159">
        <v>500</v>
      </c>
      <c r="K65" s="159">
        <v>1856</v>
      </c>
      <c r="O65" s="27"/>
    </row>
    <row r="66" spans="2:15" ht="12.75" customHeight="1" x14ac:dyDescent="0.2">
      <c r="B66" s="48">
        <v>397</v>
      </c>
      <c r="C66" s="198" t="str">
        <f>VLOOKUP( $B66, T_Aop[], 5, 1)</f>
        <v>536 + 537</v>
      </c>
      <c r="D66" s="767" t="str">
        <f>VLOOKUP( $B66, T_Aop[], 6, 1)</f>
        <v xml:space="preserve">  e) Troškovi istraživanja i razvoja koji se ne kapitalizuju</v>
      </c>
      <c r="E66" s="768"/>
      <c r="F66" s="768"/>
      <c r="G66" s="768"/>
      <c r="H66" s="769"/>
      <c r="I66" s="180">
        <f>VLOOKUP( $B66, T_Aop[], 4, 1)</f>
        <v>646</v>
      </c>
      <c r="J66" s="157"/>
      <c r="K66" s="157"/>
      <c r="O66" s="27"/>
    </row>
    <row r="67" spans="2:15" ht="12.75" customHeight="1" x14ac:dyDescent="0.2">
      <c r="B67" s="48">
        <v>398</v>
      </c>
      <c r="C67" s="199">
        <f>VLOOKUP( $B67, T_Aop[], 5, 1)</f>
        <v>539</v>
      </c>
      <c r="D67" s="764" t="str">
        <f>VLOOKUP( $B67, T_Aop[], 6, 1)</f>
        <v xml:space="preserve">  ž) Troškovi ostalih usluga</v>
      </c>
      <c r="E67" s="765"/>
      <c r="F67" s="765"/>
      <c r="G67" s="765"/>
      <c r="H67" s="766"/>
      <c r="I67" s="200">
        <f>VLOOKUP( $B67, T_Aop[], 4, 1)</f>
        <v>647</v>
      </c>
      <c r="J67" s="159">
        <v>248936</v>
      </c>
      <c r="K67" s="159">
        <v>145543</v>
      </c>
      <c r="O67" s="27"/>
    </row>
    <row r="68" spans="2:15" ht="12.75" customHeight="1" x14ac:dyDescent="0.2">
      <c r="B68" s="48">
        <v>399</v>
      </c>
      <c r="C68" s="198" t="str">
        <f>VLOOKUP( $B68, T_Aop[], 5, 1)</f>
        <v>dio 539</v>
      </c>
      <c r="D68" s="767" t="str">
        <f>VLOOKUP( $B68, T_Aop[], 6, 1)</f>
        <v xml:space="preserve">    Od toga: bruto iznosi naknada po ugovorima sa fizičkim licima van radnog odnosa</v>
      </c>
      <c r="E68" s="768"/>
      <c r="F68" s="768"/>
      <c r="G68" s="768"/>
      <c r="H68" s="769"/>
      <c r="I68" s="180">
        <f>VLOOKUP( $B68, T_Aop[], 4, 1)</f>
        <v>648</v>
      </c>
      <c r="J68" s="157">
        <v>150415</v>
      </c>
      <c r="K68" s="157">
        <v>63888</v>
      </c>
      <c r="O68" s="27"/>
    </row>
    <row r="69" spans="2:15" ht="12.75" customHeight="1" x14ac:dyDescent="0.2">
      <c r="B69" s="48">
        <v>400</v>
      </c>
      <c r="C69" s="194">
        <f>VLOOKUP( $B69, T_Aop[], 5, 1)</f>
        <v>55</v>
      </c>
      <c r="D69" s="701" t="str">
        <f>VLOOKUP( $B69, T_Aop[], 6, 1)</f>
        <v>NEMATERIJALNI TROŠKOVI (650 + 653 + 654 + 655 + 656 + 657 + 658 + 659)</v>
      </c>
      <c r="E69" s="702"/>
      <c r="F69" s="702"/>
      <c r="G69" s="702"/>
      <c r="H69" s="703"/>
      <c r="I69" s="195">
        <f>VLOOKUP( $B69, T_Aop[], 4, 1)</f>
        <v>649</v>
      </c>
      <c r="J69" s="65">
        <f>SUBTOTAL( 9, J70, J73:J79)</f>
        <v>3884515</v>
      </c>
      <c r="K69" s="66">
        <f>SUBTOTAL( 9, K70, K73:K79)</f>
        <v>3846921</v>
      </c>
      <c r="O69" s="27"/>
    </row>
    <row r="70" spans="2:15" ht="12.75" customHeight="1" x14ac:dyDescent="0.2">
      <c r="B70" s="48">
        <v>401</v>
      </c>
      <c r="C70" s="198">
        <f>VLOOKUP( $B70, T_Aop[], 5, 1)</f>
        <v>550</v>
      </c>
      <c r="D70" s="767" t="str">
        <f>VLOOKUP( $B70, T_Aop[], 6, 1)</f>
        <v xml:space="preserve">  a) Troškovi neproizvodnih usluga</v>
      </c>
      <c r="E70" s="768"/>
      <c r="F70" s="768"/>
      <c r="G70" s="768"/>
      <c r="H70" s="769"/>
      <c r="I70" s="180">
        <f>VLOOKUP( $B70, T_Aop[], 4, 1)</f>
        <v>650</v>
      </c>
      <c r="J70" s="157">
        <v>184169</v>
      </c>
      <c r="K70" s="157">
        <v>180822</v>
      </c>
      <c r="O70" s="27"/>
    </row>
    <row r="71" spans="2:15" ht="12.75" customHeight="1" x14ac:dyDescent="0.2">
      <c r="B71" s="48">
        <v>402</v>
      </c>
      <c r="C71" s="199" t="str">
        <f>VLOOKUP( $B71, T_Aop[], 5, 1)</f>
        <v>dio 550</v>
      </c>
      <c r="D71" s="764" t="str">
        <f>VLOOKUP( $B71, T_Aop[], 6, 1)</f>
        <v xml:space="preserve">    Od toga: troškovi stručnog obrazovanja i usavršavanja zaposlenih</v>
      </c>
      <c r="E71" s="765"/>
      <c r="F71" s="765"/>
      <c r="G71" s="765"/>
      <c r="H71" s="766"/>
      <c r="I71" s="200">
        <f>VLOOKUP( $B71, T_Aop[], 4, 1)</f>
        <v>651</v>
      </c>
      <c r="J71" s="159">
        <v>10319</v>
      </c>
      <c r="K71" s="159">
        <v>17941</v>
      </c>
      <c r="O71"/>
    </row>
    <row r="72" spans="2:15" ht="12.75" customHeight="1" x14ac:dyDescent="0.2">
      <c r="B72" s="48">
        <v>403</v>
      </c>
      <c r="C72" s="198" t="str">
        <f>VLOOKUP( $B72, T_Aop[], 5, 1)</f>
        <v>dio 550</v>
      </c>
      <c r="D72" s="767" t="str">
        <f>VLOOKUP( $B72, T_Aop[], 6, 1)</f>
        <v xml:space="preserve">    Od toga: bruto iznosi naknada po ugovorima sa fizičkim licima van radnog odnosa</v>
      </c>
      <c r="E72" s="768"/>
      <c r="F72" s="768"/>
      <c r="G72" s="768"/>
      <c r="H72" s="769"/>
      <c r="I72" s="180">
        <f>VLOOKUP( $B72, T_Aop[], 4, 1)</f>
        <v>652</v>
      </c>
      <c r="J72" s="157"/>
      <c r="K72" s="157"/>
      <c r="O72"/>
    </row>
    <row r="73" spans="2:15" ht="12.75" customHeight="1" x14ac:dyDescent="0.2">
      <c r="B73" s="48">
        <v>404</v>
      </c>
      <c r="C73" s="199">
        <f>VLOOKUP( $B73, T_Aop[], 5, 1)</f>
        <v>551</v>
      </c>
      <c r="D73" s="764" t="str">
        <f>VLOOKUP( $B73, T_Aop[], 6, 1)</f>
        <v xml:space="preserve">  b) Troškovi reprezentacije</v>
      </c>
      <c r="E73" s="765"/>
      <c r="F73" s="765"/>
      <c r="G73" s="765"/>
      <c r="H73" s="766"/>
      <c r="I73" s="200">
        <f>VLOOKUP( $B73, T_Aop[], 4, 1)</f>
        <v>653</v>
      </c>
      <c r="J73" s="159">
        <v>28140</v>
      </c>
      <c r="K73" s="159">
        <v>29198</v>
      </c>
      <c r="O73"/>
    </row>
    <row r="74" spans="2:15" ht="12.75" customHeight="1" x14ac:dyDescent="0.2">
      <c r="B74" s="48">
        <v>405</v>
      </c>
      <c r="C74" s="198">
        <f>VLOOKUP( $B74, T_Aop[], 5, 1)</f>
        <v>552</v>
      </c>
      <c r="D74" s="767" t="str">
        <f>VLOOKUP( $B74, T_Aop[], 6, 1)</f>
        <v xml:space="preserve">  v) Troškovi premije osiguranja</v>
      </c>
      <c r="E74" s="768"/>
      <c r="F74" s="768"/>
      <c r="G74" s="768"/>
      <c r="H74" s="769"/>
      <c r="I74" s="180">
        <f>VLOOKUP( $B74, T_Aop[], 4, 1)</f>
        <v>654</v>
      </c>
      <c r="J74" s="157">
        <v>130061</v>
      </c>
      <c r="K74" s="157">
        <v>115734</v>
      </c>
      <c r="O74" s="27"/>
    </row>
    <row r="75" spans="2:15" ht="12.75" customHeight="1" x14ac:dyDescent="0.2">
      <c r="B75" s="48">
        <v>406</v>
      </c>
      <c r="C75" s="199">
        <f>VLOOKUP( $B75, T_Aop[], 5, 1)</f>
        <v>553</v>
      </c>
      <c r="D75" s="764" t="str">
        <f>VLOOKUP( $B75, T_Aop[], 6, 1)</f>
        <v xml:space="preserve">  g) Troškovi platnog prometa</v>
      </c>
      <c r="E75" s="765"/>
      <c r="F75" s="765"/>
      <c r="G75" s="765"/>
      <c r="H75" s="766"/>
      <c r="I75" s="200">
        <f>VLOOKUP( $B75, T_Aop[], 4, 1)</f>
        <v>655</v>
      </c>
      <c r="J75" s="159">
        <v>9208</v>
      </c>
      <c r="K75" s="159">
        <v>8915</v>
      </c>
      <c r="O75" s="27"/>
    </row>
    <row r="76" spans="2:15" ht="12.75" customHeight="1" x14ac:dyDescent="0.2">
      <c r="B76" s="48">
        <v>407</v>
      </c>
      <c r="C76" s="198">
        <f>VLOOKUP( $B76, T_Aop[], 5, 1)</f>
        <v>554</v>
      </c>
      <c r="D76" s="767" t="str">
        <f>VLOOKUP( $B76, T_Aop[], 6, 1)</f>
        <v xml:space="preserve">  d) Troškovi članarina</v>
      </c>
      <c r="E76" s="768"/>
      <c r="F76" s="768"/>
      <c r="G76" s="768"/>
      <c r="H76" s="769"/>
      <c r="I76" s="180">
        <f>VLOOKUP( $B76, T_Aop[], 4, 1)</f>
        <v>656</v>
      </c>
      <c r="J76" s="157">
        <v>15494</v>
      </c>
      <c r="K76" s="157">
        <v>11336</v>
      </c>
      <c r="O76" s="27"/>
    </row>
    <row r="77" spans="2:15" ht="12.75" customHeight="1" x14ac:dyDescent="0.2">
      <c r="B77" s="48">
        <v>408</v>
      </c>
      <c r="C77" s="199" t="str">
        <f>VLOOKUP( $B77, T_Aop[], 5, 1)</f>
        <v>dio 555</v>
      </c>
      <c r="D77" s="764" t="str">
        <f>VLOOKUP( $B77, T_Aop[], 6, 1)</f>
        <v xml:space="preserve">  đ) Troškovi poreza na proizvode, carine, boravišne takse, porez na igre na sreću i sl.</v>
      </c>
      <c r="E77" s="765"/>
      <c r="F77" s="765"/>
      <c r="G77" s="765"/>
      <c r="H77" s="766"/>
      <c r="I77" s="200">
        <f>VLOOKUP( $B77, T_Aop[], 4, 1)</f>
        <v>657</v>
      </c>
      <c r="J77" s="159"/>
      <c r="K77" s="160"/>
      <c r="O77" s="27"/>
    </row>
    <row r="78" spans="2:15" ht="25.5" customHeight="1" x14ac:dyDescent="0.2">
      <c r="B78" s="48">
        <v>409</v>
      </c>
      <c r="C78" s="198" t="str">
        <f>VLOOKUP( $B78, T_Aop[], 5, 1)</f>
        <v>dio 555</v>
      </c>
      <c r="D78" s="767" t="str">
        <f>VLOOKUP( $B78, T_Aop[], 6, 1)</f>
        <v xml:space="preserve">  e) Troškovi poreza na proizvodnju: na imovinu, na zemljište, za korišćenje voda i šuma, za protivpožarnu zaštitu i sl.</v>
      </c>
      <c r="E78" s="768"/>
      <c r="F78" s="768"/>
      <c r="G78" s="768"/>
      <c r="H78" s="769"/>
      <c r="I78" s="180">
        <f>VLOOKUP( $B78, T_Aop[], 4, 1)</f>
        <v>658</v>
      </c>
      <c r="J78" s="157">
        <v>124988</v>
      </c>
      <c r="K78" s="157">
        <v>112043</v>
      </c>
      <c r="O78" s="135" t="s">
        <v>313</v>
      </c>
    </row>
    <row r="79" spans="2:15" ht="12.75" customHeight="1" x14ac:dyDescent="0.2">
      <c r="B79" s="48">
        <v>410</v>
      </c>
      <c r="C79" s="199">
        <f>VLOOKUP( $B79, T_Aop[], 5, 1)</f>
        <v>559</v>
      </c>
      <c r="D79" s="764" t="str">
        <f>VLOOKUP( $B79, T_Aop[], 6, 1)</f>
        <v xml:space="preserve">  ž) Ostali nematerijalni troškovi</v>
      </c>
      <c r="E79" s="765"/>
      <c r="F79" s="765"/>
      <c r="G79" s="765"/>
      <c r="H79" s="766"/>
      <c r="I79" s="200">
        <f>VLOOKUP( $B79, T_Aop[], 4, 1)</f>
        <v>659</v>
      </c>
      <c r="J79" s="159">
        <v>3392455</v>
      </c>
      <c r="K79" s="159">
        <v>3388873</v>
      </c>
      <c r="O79" s="27"/>
    </row>
    <row r="80" spans="2:15" ht="12.75" customHeight="1" x14ac:dyDescent="0.2">
      <c r="B80" s="48">
        <v>411</v>
      </c>
      <c r="C80" s="193">
        <f>VLOOKUP( $B80, T_Aop[], 5, 1)</f>
        <v>0</v>
      </c>
      <c r="D80" s="698" t="str">
        <f>VLOOKUP( $B80, T_Aop[], 6, 1)</f>
        <v>OBAVEZE I POTRAŽIVANJA</v>
      </c>
      <c r="E80" s="699"/>
      <c r="F80" s="699"/>
      <c r="G80" s="699"/>
      <c r="H80" s="700"/>
      <c r="I80" s="182">
        <f>VLOOKUP( $B80, T_Aop[], 4, 1)</f>
        <v>660</v>
      </c>
      <c r="J80" s="82"/>
      <c r="K80" s="82"/>
      <c r="O80" s="27"/>
    </row>
    <row r="81" spans="2:15" ht="12.75" customHeight="1" x14ac:dyDescent="0.2">
      <c r="B81" s="48">
        <v>412</v>
      </c>
      <c r="C81" s="199" t="str">
        <f>VLOOKUP( $B81, T_Aop[], 5, 1)</f>
        <v>47, osim 479</v>
      </c>
      <c r="D81" s="764" t="str">
        <f>VLOOKUP( $B81, T_Aop[], 6, 1)</f>
        <v xml:space="preserve">  Obračunati (fakturisani) porez na dodatu vrijednost (kumulativan promet konta)</v>
      </c>
      <c r="E81" s="765"/>
      <c r="F81" s="765"/>
      <c r="G81" s="765"/>
      <c r="H81" s="766"/>
      <c r="I81" s="200">
        <f>VLOOKUP( $B81, T_Aop[], 4, 1)</f>
        <v>661</v>
      </c>
      <c r="J81" s="159">
        <v>6126110</v>
      </c>
      <c r="K81" s="159">
        <v>5872207</v>
      </c>
      <c r="O81" s="27"/>
    </row>
    <row r="82" spans="2:15" ht="12.75" customHeight="1" x14ac:dyDescent="0.2">
      <c r="B82" s="48">
        <v>413</v>
      </c>
      <c r="C82" s="198" t="str">
        <f>VLOOKUP( $B82, T_Aop[], 5, 1)</f>
        <v>27, osim 279</v>
      </c>
      <c r="D82" s="767" t="str">
        <f>VLOOKUP( $B82, T_Aop[], 6, 1)</f>
        <v xml:space="preserve">  Ulazni porez na dodatu vrijednost (kumulativan promet konta)</v>
      </c>
      <c r="E82" s="768"/>
      <c r="F82" s="768"/>
      <c r="G82" s="768"/>
      <c r="H82" s="769"/>
      <c r="I82" s="180">
        <f>VLOOKUP( $B82, T_Aop[], 4, 1)</f>
        <v>662</v>
      </c>
      <c r="J82" s="157">
        <v>3002442</v>
      </c>
      <c r="K82" s="157">
        <v>3290193</v>
      </c>
      <c r="O82" s="27"/>
    </row>
    <row r="83" spans="2:15" ht="12.75" customHeight="1" x14ac:dyDescent="0.2">
      <c r="B83" s="48">
        <v>414</v>
      </c>
      <c r="C83" s="199">
        <f>VLOOKUP( $B83, T_Aop[], 5, 1)</f>
        <v>479</v>
      </c>
      <c r="D83" s="764" t="str">
        <f>VLOOKUP( $B83, T_Aop[], 6, 1)</f>
        <v xml:space="preserve">  Obaveze za PDV po osnovu razlike između obračunatog i akontacionog PDV-a (saldo konta)</v>
      </c>
      <c r="E83" s="765"/>
      <c r="F83" s="765"/>
      <c r="G83" s="765"/>
      <c r="H83" s="766"/>
      <c r="I83" s="200">
        <f>VLOOKUP( $B83, T_Aop[], 4, 1)</f>
        <v>663</v>
      </c>
      <c r="J83" s="159">
        <v>304709</v>
      </c>
      <c r="K83" s="159">
        <v>222500</v>
      </c>
      <c r="O83" s="27"/>
    </row>
    <row r="84" spans="2:15" ht="12.75" customHeight="1" x14ac:dyDescent="0.2">
      <c r="B84" s="48">
        <v>415</v>
      </c>
      <c r="C84" s="198">
        <f>VLOOKUP( $B84, T_Aop[], 5, 1)</f>
        <v>279</v>
      </c>
      <c r="D84" s="767" t="str">
        <f>VLOOKUP( $B84, T_Aop[], 6, 1)</f>
        <v xml:space="preserve">  Potraživanja po osnovu razlike između akontacionog i obračunatog PDV-a (saldo konta)</v>
      </c>
      <c r="E84" s="768"/>
      <c r="F84" s="768"/>
      <c r="G84" s="768"/>
      <c r="H84" s="769"/>
      <c r="I84" s="180">
        <f>VLOOKUP( $B84, T_Aop[], 4, 1)</f>
        <v>664</v>
      </c>
      <c r="J84" s="157"/>
      <c r="K84" s="157"/>
      <c r="O84" s="27"/>
    </row>
    <row r="85" spans="2:15" ht="12.75" customHeight="1" x14ac:dyDescent="0.2">
      <c r="B85" s="48">
        <v>416</v>
      </c>
      <c r="C85" s="199">
        <f>VLOOKUP( $B85, T_Aop[], 5, 1)</f>
        <v>271</v>
      </c>
      <c r="D85" s="764" t="str">
        <f>VLOOKUP( $B85, T_Aop[], 6, 1)</f>
        <v xml:space="preserve">  PDV plaćen pri uvozu (kumulativan promet konta)</v>
      </c>
      <c r="E85" s="765"/>
      <c r="F85" s="765"/>
      <c r="G85" s="765"/>
      <c r="H85" s="766"/>
      <c r="I85" s="200">
        <f>VLOOKUP( $B85, T_Aop[], 4, 1)</f>
        <v>665</v>
      </c>
      <c r="J85" s="159"/>
      <c r="K85" s="159"/>
      <c r="O85" s="27"/>
    </row>
    <row r="86" spans="2:15" ht="12.75" customHeight="1" x14ac:dyDescent="0.2">
      <c r="B86" s="48">
        <v>417</v>
      </c>
      <c r="C86" s="198">
        <f>VLOOKUP( $B86, T_Aop[], 5, 1)</f>
        <v>484</v>
      </c>
      <c r="D86" s="767" t="str">
        <f>VLOOKUP( $B86, T_Aop[], 6, 1)</f>
        <v xml:space="preserve">  Obaveze za PDV plaćen pri uvozu (kumulativan promet konta)</v>
      </c>
      <c r="E86" s="768"/>
      <c r="F86" s="768"/>
      <c r="G86" s="768"/>
      <c r="H86" s="769"/>
      <c r="I86" s="180">
        <f>VLOOKUP( $B86, T_Aop[], 4, 1)</f>
        <v>666</v>
      </c>
      <c r="J86" s="157"/>
      <c r="K86" s="158"/>
      <c r="O86" s="27"/>
    </row>
    <row r="87" spans="2:15" ht="12.75" customHeight="1" x14ac:dyDescent="0.2">
      <c r="B87" s="48">
        <v>418</v>
      </c>
      <c r="C87" s="199">
        <f>VLOOKUP( $B87, T_Aop[], 5, 1)</f>
        <v>480</v>
      </c>
      <c r="D87" s="764" t="str">
        <f>VLOOKUP( $B87, T_Aop[], 6, 1)</f>
        <v xml:space="preserve">  Obaveze za akcize (kumulativan promet konta)</v>
      </c>
      <c r="E87" s="765"/>
      <c r="F87" s="765"/>
      <c r="G87" s="765"/>
      <c r="H87" s="766"/>
      <c r="I87" s="200">
        <f>VLOOKUP( $B87, T_Aop[], 4, 1)</f>
        <v>667</v>
      </c>
      <c r="J87" s="159"/>
      <c r="K87" s="160"/>
      <c r="O87" s="27"/>
    </row>
    <row r="88" spans="2:15" ht="12.75" customHeight="1" x14ac:dyDescent="0.2">
      <c r="B88" s="48">
        <v>419</v>
      </c>
      <c r="C88" s="198" t="str">
        <f>VLOOKUP( $B88, T_Aop[], 5, 1)</f>
        <v>nema konta</v>
      </c>
      <c r="D88" s="767" t="str">
        <f>VLOOKUP( $B88, T_Aop[], 6, 1)</f>
        <v xml:space="preserve">  Prihodi ostvareni na bazi podugovaranja</v>
      </c>
      <c r="E88" s="768"/>
      <c r="F88" s="768"/>
      <c r="G88" s="768"/>
      <c r="H88" s="769"/>
      <c r="I88" s="180">
        <f>VLOOKUP( $B88, T_Aop[], 4, 1)</f>
        <v>668</v>
      </c>
      <c r="J88" s="157"/>
      <c r="K88" s="158"/>
      <c r="O88" s="27"/>
    </row>
    <row r="89" spans="2:15" ht="12.75" customHeight="1" x14ac:dyDescent="0.2">
      <c r="B89" s="48">
        <v>420</v>
      </c>
      <c r="C89" s="199" t="str">
        <f>VLOOKUP( $B89, T_Aop[], 5, 1)</f>
        <v>nema konta</v>
      </c>
      <c r="D89" s="764" t="str">
        <f>VLOOKUP( $B89, T_Aop[], 6, 1)</f>
        <v xml:space="preserve">  Plaćanja podugovaračima za rad, isporučene proizvode i usluge</v>
      </c>
      <c r="E89" s="765"/>
      <c r="F89" s="765"/>
      <c r="G89" s="765"/>
      <c r="H89" s="766"/>
      <c r="I89" s="200">
        <f>VLOOKUP( $B89, T_Aop[], 4, 1)</f>
        <v>669</v>
      </c>
      <c r="J89" s="159"/>
      <c r="K89" s="160"/>
      <c r="O89" s="27"/>
    </row>
    <row r="90" spans="2:15" ht="25.5" customHeight="1" x14ac:dyDescent="0.2">
      <c r="B90" s="48">
        <v>421</v>
      </c>
      <c r="C90" s="201" t="str">
        <f>VLOOKUP( $B90, T_Aop[], 5, 1)</f>
        <v>nema konta</v>
      </c>
      <c r="D90" s="770" t="str">
        <f>VLOOKUP( $B90, T_Aop[], 6, 1)</f>
        <v xml:space="preserve">  Ukupan broj odrađenih časova rada (efektivni časovi rada bez bolovanja, godišnjih odmora, državnih praznika i sl.)</v>
      </c>
      <c r="E90" s="771"/>
      <c r="F90" s="771"/>
      <c r="G90" s="771"/>
      <c r="H90" s="772"/>
      <c r="I90" s="192">
        <f>VLOOKUP( $B90, T_Aop[], 4, 1)</f>
        <v>670</v>
      </c>
      <c r="J90" s="217">
        <v>694327</v>
      </c>
      <c r="K90" s="217">
        <v>715150</v>
      </c>
      <c r="O90" s="135" t="s">
        <v>313</v>
      </c>
    </row>
    <row r="91" spans="2:15" x14ac:dyDescent="0.2">
      <c r="C91" s="37"/>
      <c r="D91" s="40"/>
      <c r="E91" s="40"/>
      <c r="F91" s="40"/>
      <c r="G91" s="40"/>
      <c r="H91" s="40"/>
      <c r="I91" s="254"/>
      <c r="J91" s="37"/>
      <c r="K91" s="37"/>
    </row>
    <row r="92" spans="2:15" x14ac:dyDescent="0.2">
      <c r="C92" s="184" t="str">
        <f>Podnozje_U</f>
        <v>U:</v>
      </c>
      <c r="D92" s="447" t="str">
        <f>Podatak_U</f>
        <v>Palama</v>
      </c>
      <c r="E92"/>
      <c r="F92" s="1" t="str">
        <f>Podnozje_Lice_sa_licencom</f>
        <v>Lice sa licencom:</v>
      </c>
      <c r="G92" s="1" t="str">
        <f>Podatak_Lice_sa_licencom</f>
        <v>Slobodan Butulija</v>
      </c>
      <c r="H92" s="37" t="str">
        <f>Podnozje_MP</f>
        <v>(M.P.)</v>
      </c>
      <c r="J92" s="756" t="str">
        <f>Podnozje_Direktor</f>
        <v>Lice ovlašćeno za zastupanje:</v>
      </c>
      <c r="K92" s="756"/>
      <c r="L92" s="756"/>
    </row>
    <row r="93" spans="2:15" x14ac:dyDescent="0.2">
      <c r="C93" s="28"/>
      <c r="D93" s="129"/>
      <c r="E93"/>
      <c r="F93" s="13" t="str">
        <f>Podnozje_Broj_licence</f>
        <v>Broj licence:</v>
      </c>
      <c r="G93" s="13" t="str">
        <f>Podatak_Broj_Licence</f>
        <v>SR-0005/26</v>
      </c>
      <c r="H93" s="79"/>
      <c r="I93" s="79"/>
      <c r="J93" s="757" t="str">
        <f>Podatak_Direktor</f>
        <v>Aco Stanišić ma.ecc.</v>
      </c>
      <c r="K93" s="757"/>
      <c r="L93" s="9"/>
    </row>
    <row r="94" spans="2:15" x14ac:dyDescent="0.2">
      <c r="C94" s="184" t="str">
        <f>Podnozje_Dana</f>
        <v>Dana:</v>
      </c>
      <c r="D94" s="446" t="str">
        <f>Podatak_Dana</f>
        <v>27.02.2026.</v>
      </c>
      <c r="E94"/>
      <c r="F94" s="711"/>
      <c r="G94" s="711"/>
      <c r="J94" s="711"/>
      <c r="K94" s="711"/>
    </row>
    <row r="95" spans="2:15" x14ac:dyDescent="0.2">
      <c r="G95" s="39"/>
      <c r="H95" s="37"/>
      <c r="I95" s="185"/>
      <c r="J95" s="39"/>
      <c r="K95" s="39"/>
    </row>
    <row r="96" spans="2:15" hidden="1" x14ac:dyDescent="0.2">
      <c r="F96" s="40"/>
      <c r="G96" s="40"/>
      <c r="H96" s="40"/>
      <c r="I96" s="9"/>
      <c r="J96" s="37"/>
      <c r="K96" s="37"/>
    </row>
  </sheetData>
  <sheetProtection sheet="1" objects="1" scenarios="1"/>
  <mergeCells count="91">
    <mergeCell ref="J5:K5"/>
    <mergeCell ref="J94:K94"/>
    <mergeCell ref="F94:G94"/>
    <mergeCell ref="J92:L92"/>
    <mergeCell ref="J93:K93"/>
    <mergeCell ref="D42:H42"/>
    <mergeCell ref="D29:H29"/>
    <mergeCell ref="D37:H37"/>
    <mergeCell ref="D38:H38"/>
    <mergeCell ref="D39:H39"/>
    <mergeCell ref="D40:H40"/>
    <mergeCell ref="D41:H41"/>
    <mergeCell ref="D30:H30"/>
    <mergeCell ref="D33:H33"/>
    <mergeCell ref="D34:H34"/>
    <mergeCell ref="D35:H35"/>
    <mergeCell ref="D36:H36"/>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67:H67"/>
    <mergeCell ref="D55:H55"/>
    <mergeCell ref="D61:H61"/>
    <mergeCell ref="D62:H62"/>
    <mergeCell ref="D63:H63"/>
    <mergeCell ref="D64:H64"/>
    <mergeCell ref="D65:H65"/>
    <mergeCell ref="D66:H66"/>
    <mergeCell ref="D56:H56"/>
    <mergeCell ref="D57:H57"/>
    <mergeCell ref="D58:H58"/>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87:H87"/>
    <mergeCell ref="D88:H88"/>
    <mergeCell ref="D90:H90"/>
    <mergeCell ref="D81:H81"/>
    <mergeCell ref="D82:H82"/>
    <mergeCell ref="D83:H83"/>
    <mergeCell ref="D84:H84"/>
    <mergeCell ref="D85:H85"/>
    <mergeCell ref="D86:H86"/>
    <mergeCell ref="D89:H89"/>
    <mergeCell ref="C13:E13"/>
    <mergeCell ref="C5:E6"/>
    <mergeCell ref="C7:E7"/>
    <mergeCell ref="D8:E8"/>
    <mergeCell ref="C9:E9"/>
    <mergeCell ref="C10:E10"/>
    <mergeCell ref="C11:E11"/>
    <mergeCell ref="C12:E12"/>
  </mergeCells>
  <phoneticPr fontId="3"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8 J40:K58 J60:K68 J70:K9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9:K39 J59:K59 J69:K69">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5">
    <tabColor rgb="FFB2B2B2"/>
  </sheetPr>
  <dimension ref="B1:S65"/>
  <sheetViews>
    <sheetView showGridLines="0" showRowColHeaders="0" zoomScaleSheetLayoutView="100" workbookViewId="0">
      <pane ySplit="4" topLeftCell="A32" activePane="bottomLeft" state="frozen"/>
      <selection activeCell="D15" sqref="D15"/>
      <selection pane="bottomLeft" activeCell="L60" sqref="L60"/>
    </sheetView>
  </sheetViews>
  <sheetFormatPr defaultColWidth="0" defaultRowHeight="12.75" zeroHeight="1" x14ac:dyDescent="0.2"/>
  <cols>
    <col min="1" max="1" width="5.7109375" style="8" customWidth="1"/>
    <col min="2" max="2" width="2"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53" t="str">
        <f>Zaglavlje_Naziv_preduzeca</f>
        <v xml:space="preserve">Naziv privrednog društva, zadruge, drugog pravnog lica ili preduzetnika: </v>
      </c>
      <c r="E5" s="653"/>
      <c r="F5" s="653"/>
      <c r="O5" s="15" t="s">
        <v>888</v>
      </c>
      <c r="P5" s="667" t="str">
        <f>Podatak_MB</f>
        <v>01814788</v>
      </c>
      <c r="Q5" s="667"/>
    </row>
    <row r="6" spans="3:17" x14ac:dyDescent="0.2">
      <c r="D6" s="653"/>
      <c r="E6" s="653"/>
      <c r="F6" s="653"/>
      <c r="Q6" s="259" t="str">
        <f>Zaglavlje_MB</f>
        <v>Matični broj</v>
      </c>
    </row>
    <row r="7" spans="3:17" ht="15" customHeight="1" x14ac:dyDescent="0.2">
      <c r="D7" s="665" t="str">
        <f>Podatak_Naziv_preduzeca</f>
        <v>ODS ELEKTRODISTRIBUCIJA AD PALE</v>
      </c>
      <c r="E7" s="665"/>
      <c r="F7" s="665"/>
      <c r="P7" s="667" t="str">
        <f>Podatak_Sifra_djelatnosti</f>
        <v>35.13</v>
      </c>
      <c r="Q7" s="667"/>
    </row>
    <row r="8" spans="3:17" x14ac:dyDescent="0.2">
      <c r="D8" s="127" t="str">
        <f>Zaglavlje_Sjediste</f>
        <v>Sjedište:</v>
      </c>
      <c r="E8" s="677" t="str">
        <f>Podatak_Sjediste</f>
        <v>PALE</v>
      </c>
      <c r="F8" s="677"/>
      <c r="Q8" s="259" t="str">
        <f>Zaglavlje_Sifra_djelatnosti</f>
        <v>Šifra djelatnosti</v>
      </c>
    </row>
    <row r="9" spans="3:17" x14ac:dyDescent="0.2">
      <c r="D9" s="664" t="str">
        <f>Zaglavlje_Ziro_racun</f>
        <v>Račun kod ovlašćene organizacije za platni promet:</v>
      </c>
      <c r="E9" s="664"/>
      <c r="F9" s="664"/>
      <c r="H9" s="14"/>
      <c r="Q9" s="418" t="str">
        <f>Podatak_JIB</f>
        <v>4400570050004</v>
      </c>
    </row>
    <row r="10" spans="3:17" x14ac:dyDescent="0.2">
      <c r="D10" s="666" t="str">
        <f>Podatak_Ziro_racun_1</f>
        <v>562-012-00002669-48</v>
      </c>
      <c r="E10" s="666"/>
      <c r="F10" s="666"/>
      <c r="Q10" s="259" t="str">
        <f>Zaglavlje_JIB</f>
        <v>JIB</v>
      </c>
    </row>
    <row r="11" spans="3:17" x14ac:dyDescent="0.2">
      <c r="C11" s="275"/>
      <c r="D11" s="666" t="str">
        <f>Podatak_Ziro_racun_2</f>
        <v>555-002-00004363-23</v>
      </c>
      <c r="E11" s="666"/>
      <c r="F11" s="666"/>
      <c r="H11" s="14"/>
    </row>
    <row r="12" spans="3:17" x14ac:dyDescent="0.2">
      <c r="C12" s="275"/>
      <c r="D12" s="710" t="str">
        <f>Podatak_Ziro_racun_3</f>
        <v>551-031-00007369-23</v>
      </c>
      <c r="E12" s="710"/>
      <c r="F12" s="710"/>
    </row>
    <row r="13" spans="3:17" x14ac:dyDescent="0.2">
      <c r="C13" s="275"/>
      <c r="D13" s="710" t="str">
        <f>Podatak_Ziro_racun_4</f>
        <v>571-050-00000510-66</v>
      </c>
      <c r="E13" s="710"/>
      <c r="F13" s="710"/>
      <c r="H13" s="18"/>
      <c r="I13" s="18"/>
      <c r="J13" s="18"/>
      <c r="K13" s="19"/>
      <c r="L13" s="19"/>
      <c r="M13" s="19"/>
      <c r="N13" s="19"/>
      <c r="O13" s="18"/>
      <c r="P13"/>
      <c r="Q13"/>
    </row>
    <row r="14" spans="3:17" ht="15.75" x14ac:dyDescent="0.2">
      <c r="C14" s="275"/>
      <c r="D14" s="678" t="str">
        <f>IF( Id_Konsolidovani, Nazivi_bilansa_Konsolidovani_naziv &amp; LOWER( Nazivi_bilansa_BPK), Nazivi_bilansa_BPK)</f>
        <v>IZVJEŠTAJ O PROMJENAMA NA KAPITALU</v>
      </c>
      <c r="E14" s="678"/>
      <c r="F14" s="678"/>
      <c r="G14" s="678"/>
      <c r="H14" s="678"/>
      <c r="I14" s="678"/>
      <c r="J14" s="678"/>
      <c r="K14" s="678"/>
      <c r="L14" s="678"/>
      <c r="M14" s="678"/>
      <c r="N14" s="678"/>
      <c r="O14" s="678"/>
      <c r="P14" s="678"/>
      <c r="Q14" s="678"/>
    </row>
    <row r="15" spans="3:17" x14ac:dyDescent="0.2">
      <c r="C15" s="275"/>
      <c r="D15" s="663" t="str">
        <f>Datumi_Datum_BPK</f>
        <v>za period koji se završava na dan 31.12.2025. godine</v>
      </c>
      <c r="E15" s="663"/>
      <c r="F15" s="663"/>
      <c r="G15" s="663"/>
      <c r="H15" s="663"/>
      <c r="I15" s="663"/>
      <c r="J15" s="663"/>
      <c r="K15" s="663"/>
      <c r="L15" s="663"/>
      <c r="M15" s="663"/>
      <c r="N15" s="663"/>
      <c r="O15" s="663"/>
      <c r="P15" s="663"/>
      <c r="Q15" s="663"/>
    </row>
    <row r="16" spans="3:17" x14ac:dyDescent="0.2">
      <c r="C16" s="275"/>
      <c r="D16" s="509"/>
      <c r="E16" s="509"/>
      <c r="F16" s="509"/>
      <c r="G16" s="509"/>
      <c r="H16" s="509"/>
      <c r="I16" s="509"/>
      <c r="J16" s="509"/>
      <c r="K16" s="509"/>
      <c r="L16" s="509"/>
      <c r="M16" s="509"/>
      <c r="N16" s="509"/>
      <c r="O16" s="509"/>
      <c r="P16" s="509"/>
      <c r="Q16" s="510" t="str">
        <f>Tabele_zaglavlje_Valuta</f>
        <v>- u konvertibilnim markama -</v>
      </c>
    </row>
    <row r="17" spans="2:19" x14ac:dyDescent="0.2">
      <c r="C17" s="275"/>
      <c r="D17" s="780" t="str">
        <f>Tabele_zaglavlje_BPK1</f>
        <v>VRSTA PROMJENE NA KAPITALU</v>
      </c>
      <c r="E17" s="781"/>
      <c r="F17" s="782"/>
      <c r="G17" s="802" t="str">
        <f>Tabele_zaglavlje_Oznaka_aop</f>
        <v>Oznaka za AOP</v>
      </c>
      <c r="H17" s="803" t="str">
        <f>Tabele_zaglavlje_BPK0</f>
        <v>KAPITAL KOJI PRIPADA VLASNICIMA MATIČNOG DRUŠTVA</v>
      </c>
      <c r="I17" s="804"/>
      <c r="J17" s="804"/>
      <c r="K17" s="804"/>
      <c r="L17" s="804"/>
      <c r="M17" s="804"/>
      <c r="N17" s="804"/>
      <c r="O17" s="805"/>
      <c r="P17" s="776" t="str">
        <f>Tabele_zaglavlje_BPK11</f>
        <v>UDJELI KOJI NEMAJU KONTROLU (MANJINSKI INTERES)</v>
      </c>
      <c r="Q17" s="778" t="str" cm="1">
        <f t="array" ref="Q17">Tabele_zaglavlje_BPK12</f>
        <v>UKUPNI KAPITAL
(10+11)</v>
      </c>
    </row>
    <row r="18" spans="2:19" ht="106.5" customHeight="1" x14ac:dyDescent="0.2">
      <c r="C18" s="275"/>
      <c r="D18" s="783"/>
      <c r="E18" s="784"/>
      <c r="F18" s="649"/>
      <c r="G18" s="651"/>
      <c r="H18" s="521" t="str">
        <f>Tabele_zaglavlje_BPK3</f>
        <v>Akcijski kapital - 
vlasnički udjeli</v>
      </c>
      <c r="I18" s="521" t="str">
        <f>Tabele_zaglavlje_BPK4</f>
        <v>Emisiona premija</v>
      </c>
      <c r="J18" s="521" t="str">
        <f>Tabele_zaglavlje_BPK5</f>
        <v>Rezerve</v>
      </c>
      <c r="K18" s="521" t="str">
        <f>Tabele_zaglavlje_BPK6</f>
        <v>Revalorizacione 
rezerve za 
nekretnine, 
postrojenja i opremu</v>
      </c>
      <c r="L18" s="521" t="str">
        <f>Tabele_zaglavlje_BPK7</f>
        <v>Revalorizacione rezerve za finansijska sredstva vrednovana po fer vrijednosti krozu ostali ukupni rezultat</v>
      </c>
      <c r="M18" s="521" t="str">
        <f>Tabele_zaglavlje_BPK8</f>
        <v>Ostale revalorizacione rezerve</v>
      </c>
      <c r="N18" s="521" t="str">
        <f>Tabele_zaglavlje_BPK9</f>
        <v>Akumulirana neraspoređena dobit/(nepokriveni gubitak)</v>
      </c>
      <c r="O18" s="521" t="str">
        <f>Tabele_zaglavlje_BPK10</f>
        <v>Ukupno 
(3+4+5+6±7± 8 ± 9)</v>
      </c>
      <c r="P18" s="777"/>
      <c r="Q18" s="779"/>
      <c r="S18" s="136" t="s">
        <v>509</v>
      </c>
    </row>
    <row r="19" spans="2:19" x14ac:dyDescent="0.2">
      <c r="B19" s="45" t="s">
        <v>123</v>
      </c>
      <c r="C19" s="275"/>
      <c r="D19" s="797">
        <v>1</v>
      </c>
      <c r="E19" s="798"/>
      <c r="F19" s="799"/>
      <c r="G19" s="25">
        <v>2</v>
      </c>
      <c r="H19" s="25">
        <v>3</v>
      </c>
      <c r="I19" s="25">
        <v>4</v>
      </c>
      <c r="J19" s="25">
        <v>5</v>
      </c>
      <c r="K19" s="25">
        <v>6</v>
      </c>
      <c r="L19" s="25">
        <v>7</v>
      </c>
      <c r="M19" s="25">
        <v>8</v>
      </c>
      <c r="N19" s="25">
        <v>9</v>
      </c>
      <c r="O19" s="25">
        <v>10</v>
      </c>
      <c r="P19" s="25">
        <v>11</v>
      </c>
      <c r="Q19" s="511">
        <v>12</v>
      </c>
    </row>
    <row r="20" spans="2:19" ht="7.5" customHeight="1" x14ac:dyDescent="0.2">
      <c r="B20" s="48">
        <v>422</v>
      </c>
      <c r="C20" s="275"/>
      <c r="D20" s="785" t="str">
        <f>VLOOKUP($B20,Aop!$A$2:$M$456,6,1)</f>
        <v/>
      </c>
      <c r="E20" s="786"/>
      <c r="F20" s="787"/>
      <c r="G20" s="189">
        <f>VLOOKUP($B20,Aop!$A$2:$M$456,4,1)</f>
        <v>0</v>
      </c>
      <c r="H20" s="65"/>
      <c r="I20" s="65"/>
      <c r="J20" s="65"/>
      <c r="K20" s="65"/>
      <c r="L20" s="65"/>
      <c r="M20" s="65"/>
      <c r="N20" s="65"/>
      <c r="O20" s="65"/>
      <c r="P20" s="65"/>
      <c r="Q20" s="503"/>
    </row>
    <row r="21" spans="2:19" x14ac:dyDescent="0.2">
      <c r="B21" s="48">
        <v>423</v>
      </c>
      <c r="C21" s="275"/>
      <c r="D21" s="788" t="str">
        <f>VLOOKUP($B21,Aop!$A$2:$M$456,6,1)</f>
        <v>Stanje na dan 01.01.2024. god.</v>
      </c>
      <c r="E21" s="789"/>
      <c r="F21" s="790"/>
      <c r="G21" s="539">
        <f>VLOOKUP($B21,Aop!$A$2:$M$456,4,1)</f>
        <v>901</v>
      </c>
      <c r="H21" s="82">
        <v>15795899</v>
      </c>
      <c r="I21" s="82">
        <v>0</v>
      </c>
      <c r="J21" s="82">
        <v>13419506</v>
      </c>
      <c r="K21" s="82">
        <v>27527089</v>
      </c>
      <c r="L21" s="82">
        <v>0</v>
      </c>
      <c r="M21" s="82">
        <v>0</v>
      </c>
      <c r="N21" s="82">
        <v>39291931</v>
      </c>
      <c r="O21" s="61">
        <f t="shared" ref="O21:O51" si="0">SUM(H21:N21)</f>
        <v>96034425</v>
      </c>
      <c r="P21" s="82"/>
      <c r="Q21" s="504">
        <f t="shared" ref="Q21:Q51" si="1">SUM(O21:P21)</f>
        <v>96034425</v>
      </c>
    </row>
    <row r="22" spans="2:19" ht="7.5" customHeight="1" x14ac:dyDescent="0.2">
      <c r="B22" s="48">
        <v>424</v>
      </c>
      <c r="C22" s="275"/>
      <c r="D22" s="791" t="str">
        <f>VLOOKUP($B22,Aop!$A$2:$M$456,6,1)</f>
        <v/>
      </c>
      <c r="E22" s="792"/>
      <c r="F22" s="793"/>
      <c r="G22" s="191">
        <f>VLOOKUP($B22,Aop!$A$2:$M$456,4,1)</f>
        <v>0</v>
      </c>
      <c r="H22" s="65"/>
      <c r="I22" s="65"/>
      <c r="J22" s="65"/>
      <c r="K22" s="65"/>
      <c r="L22" s="65"/>
      <c r="M22" s="65"/>
      <c r="N22" s="65"/>
      <c r="O22" s="65"/>
      <c r="P22" s="65"/>
      <c r="Q22" s="503"/>
    </row>
    <row r="23" spans="2:19" ht="15" customHeight="1" x14ac:dyDescent="0.2">
      <c r="B23" s="48">
        <v>425</v>
      </c>
      <c r="C23" s="275"/>
      <c r="D23" s="794" t="str">
        <f>VLOOKUP($B23,Aop!$A$2:$M$456,6,1)</f>
        <v xml:space="preserve">    2. Efekti promjena u računovodstvenim politikama </v>
      </c>
      <c r="E23" s="795"/>
      <c r="F23" s="796"/>
      <c r="G23" s="190">
        <f>VLOOKUP($B23,Aop!$A$2:$M$456,4,1)</f>
        <v>902</v>
      </c>
      <c r="H23" s="157"/>
      <c r="I23" s="157"/>
      <c r="J23" s="157"/>
      <c r="K23" s="157"/>
      <c r="L23" s="157"/>
      <c r="M23" s="157"/>
      <c r="N23" s="157"/>
      <c r="O23" s="155">
        <f t="shared" si="0"/>
        <v>0</v>
      </c>
      <c r="P23" s="157"/>
      <c r="Q23" s="504">
        <f t="shared" si="1"/>
        <v>0</v>
      </c>
    </row>
    <row r="24" spans="2:19" ht="15" customHeight="1" x14ac:dyDescent="0.2">
      <c r="B24" s="48">
        <v>426</v>
      </c>
      <c r="C24" s="275"/>
      <c r="D24" s="791" t="str">
        <f>VLOOKUP($B24,Aop!$A$2:$M$456,6,1)</f>
        <v xml:space="preserve">    3. Efekti ispravki grešaka</v>
      </c>
      <c r="E24" s="792"/>
      <c r="F24" s="793"/>
      <c r="G24" s="191">
        <f>VLOOKUP($B24,Aop!$A$2:$M$456,4,1)</f>
        <v>903</v>
      </c>
      <c r="H24" s="159"/>
      <c r="I24" s="159"/>
      <c r="J24" s="159"/>
      <c r="K24" s="159"/>
      <c r="L24" s="159"/>
      <c r="M24" s="159"/>
      <c r="N24" s="159"/>
      <c r="O24" s="156">
        <f t="shared" si="0"/>
        <v>0</v>
      </c>
      <c r="P24" s="159"/>
      <c r="Q24" s="505">
        <f t="shared" si="1"/>
        <v>0</v>
      </c>
    </row>
    <row r="25" spans="2:19" ht="23.25" customHeight="1" x14ac:dyDescent="0.2">
      <c r="B25" s="48">
        <v>427</v>
      </c>
      <c r="C25" s="275"/>
      <c r="D25" s="788" t="str">
        <f>VLOOKUP($B25,Aop!$A$2:$M$456,6,1)</f>
        <v xml:space="preserve">  4. Ponovo iskazano stanje na dan 01.01.2024. god. (901 ± 902 ± 903)</v>
      </c>
      <c r="E25" s="789"/>
      <c r="F25" s="790"/>
      <c r="G25" s="539">
        <f>VLOOKUP($B25,Aop!$A$2:$M$456,4,1)</f>
        <v>904</v>
      </c>
      <c r="H25" s="61">
        <f>SUM(H21:H24)</f>
        <v>15795899</v>
      </c>
      <c r="I25" s="61">
        <f t="shared" ref="I25:P25" si="2">SUM(I21:I24)</f>
        <v>0</v>
      </c>
      <c r="J25" s="61">
        <f t="shared" si="2"/>
        <v>13419506</v>
      </c>
      <c r="K25" s="61">
        <f t="shared" si="2"/>
        <v>27527089</v>
      </c>
      <c r="L25" s="61">
        <f t="shared" si="2"/>
        <v>0</v>
      </c>
      <c r="M25" s="61">
        <f t="shared" si="2"/>
        <v>0</v>
      </c>
      <c r="N25" s="61">
        <f t="shared" si="2"/>
        <v>39291931</v>
      </c>
      <c r="O25" s="61">
        <f>SUM(H25:N25)</f>
        <v>96034425</v>
      </c>
      <c r="P25" s="61">
        <f t="shared" si="2"/>
        <v>0</v>
      </c>
      <c r="Q25" s="504">
        <f t="shared" si="1"/>
        <v>96034425</v>
      </c>
      <c r="S25" s="135" t="s">
        <v>313</v>
      </c>
    </row>
    <row r="26" spans="2:19" ht="8.25" customHeight="1" x14ac:dyDescent="0.2">
      <c r="B26" s="48">
        <v>428</v>
      </c>
      <c r="C26" s="275"/>
      <c r="D26" s="791" t="str">
        <f>VLOOKUP($B26,Aop!$A$2:$M$456,6,1)</f>
        <v/>
      </c>
      <c r="E26" s="792"/>
      <c r="F26" s="793"/>
      <c r="G26" s="191">
        <f>VLOOKUP($B26,Aop!$A$2:$M$456,4,1)</f>
        <v>0</v>
      </c>
      <c r="H26" s="65"/>
      <c r="I26" s="65"/>
      <c r="J26" s="65"/>
      <c r="K26" s="65"/>
      <c r="L26" s="65"/>
      <c r="M26" s="65"/>
      <c r="N26" s="65"/>
      <c r="O26" s="65"/>
      <c r="P26" s="65"/>
      <c r="Q26" s="503"/>
      <c r="S26" s="135" t="s">
        <v>313</v>
      </c>
    </row>
    <row r="27" spans="2:19" ht="15" customHeight="1" x14ac:dyDescent="0.2">
      <c r="B27" s="48">
        <v>429</v>
      </c>
      <c r="C27" s="275"/>
      <c r="D27" s="794" t="str">
        <f>VLOOKUP($B27,Aop!$A$2:$M$456,6,1)</f>
        <v xml:space="preserve">    5. Dobit/(gubitak) za godinu</v>
      </c>
      <c r="E27" s="795"/>
      <c r="F27" s="796"/>
      <c r="G27" s="190">
        <f>VLOOKUP($B27,Aop!$A$2:$M$456,4,1)</f>
        <v>905</v>
      </c>
      <c r="H27" s="157"/>
      <c r="I27" s="157"/>
      <c r="J27" s="157"/>
      <c r="K27" s="157"/>
      <c r="L27" s="157"/>
      <c r="M27" s="157"/>
      <c r="N27" s="157">
        <v>2071193</v>
      </c>
      <c r="O27" s="155">
        <f t="shared" si="0"/>
        <v>2071193</v>
      </c>
      <c r="P27" s="157"/>
      <c r="Q27" s="506">
        <f t="shared" si="1"/>
        <v>2071193</v>
      </c>
    </row>
    <row r="28" spans="2:19" ht="15" customHeight="1" x14ac:dyDescent="0.2">
      <c r="B28" s="48">
        <v>430</v>
      </c>
      <c r="C28" s="275"/>
      <c r="D28" s="791" t="str">
        <f>VLOOKUP($B28,Aop!$A$2:$M$456,6,1)</f>
        <v xml:space="preserve">    6. Ostali ukupni rezultat za godinu</v>
      </c>
      <c r="E28" s="792"/>
      <c r="F28" s="793"/>
      <c r="G28" s="191">
        <f>VLOOKUP($B28,Aop!$A$2:$M$456,4,1)</f>
        <v>906</v>
      </c>
      <c r="H28" s="159"/>
      <c r="I28" s="159"/>
      <c r="J28" s="159"/>
      <c r="K28" s="159">
        <v>-2221258</v>
      </c>
      <c r="L28" s="159"/>
      <c r="M28" s="159"/>
      <c r="N28" s="159">
        <v>2221258</v>
      </c>
      <c r="O28" s="156">
        <f t="shared" si="0"/>
        <v>0</v>
      </c>
      <c r="P28" s="159"/>
      <c r="Q28" s="505">
        <f t="shared" si="1"/>
        <v>0</v>
      </c>
    </row>
    <row r="29" spans="2:19" ht="15" customHeight="1" x14ac:dyDescent="0.2">
      <c r="B29" s="48">
        <v>431</v>
      </c>
      <c r="C29" s="275"/>
      <c r="D29" s="788" t="str">
        <f>VLOOKUP($B29,Aop!$A$2:$M$456,6,1)</f>
        <v xml:space="preserve">  7. Ukupna dobit/(gubitak) (± 905 ± 906)</v>
      </c>
      <c r="E29" s="789"/>
      <c r="F29" s="790"/>
      <c r="G29" s="539">
        <f>VLOOKUP($B29,Aop!$A$2:$M$456,4,1)</f>
        <v>907</v>
      </c>
      <c r="H29" s="61">
        <f>SUM(H27:H28)</f>
        <v>0</v>
      </c>
      <c r="I29" s="61">
        <f t="shared" ref="I29:Q29" si="3">SUM(I27:I28)</f>
        <v>0</v>
      </c>
      <c r="J29" s="61">
        <f t="shared" si="3"/>
        <v>0</v>
      </c>
      <c r="K29" s="61">
        <f t="shared" si="3"/>
        <v>-2221258</v>
      </c>
      <c r="L29" s="61">
        <f t="shared" si="3"/>
        <v>0</v>
      </c>
      <c r="M29" s="61">
        <f t="shared" si="3"/>
        <v>0</v>
      </c>
      <c r="N29" s="61">
        <f t="shared" si="3"/>
        <v>4292451</v>
      </c>
      <c r="O29" s="61">
        <f t="shared" si="3"/>
        <v>2071193</v>
      </c>
      <c r="P29" s="61">
        <f t="shared" si="3"/>
        <v>0</v>
      </c>
      <c r="Q29" s="504">
        <f t="shared" si="3"/>
        <v>2071193</v>
      </c>
    </row>
    <row r="30" spans="2:19" ht="6.75" customHeight="1" x14ac:dyDescent="0.2">
      <c r="B30" s="48">
        <v>432</v>
      </c>
      <c r="C30" s="275"/>
      <c r="D30" s="791" t="str">
        <f>VLOOKUP($B30,Aop!$A$2:$M$456,6,1)</f>
        <v/>
      </c>
      <c r="E30" s="792"/>
      <c r="F30" s="793"/>
      <c r="G30" s="191">
        <f>VLOOKUP($B30,Aop!$A$2:$M$456,4,1)</f>
        <v>0</v>
      </c>
      <c r="H30" s="65"/>
      <c r="I30" s="65"/>
      <c r="J30" s="65"/>
      <c r="K30" s="65"/>
      <c r="L30" s="65"/>
      <c r="M30" s="65"/>
      <c r="N30" s="65"/>
      <c r="O30" s="65"/>
      <c r="P30" s="65"/>
      <c r="Q30" s="503"/>
    </row>
    <row r="31" spans="2:19" ht="15" customHeight="1" x14ac:dyDescent="0.2">
      <c r="B31" s="48">
        <v>433</v>
      </c>
      <c r="C31" s="275"/>
      <c r="D31" s="794" t="str">
        <f>VLOOKUP($B31,Aop!$A$2:$M$456,6,1)</f>
        <v xml:space="preserve">    8. Emisija akcijskog kapitala i drugi oblici povećanja kapitala</v>
      </c>
      <c r="E31" s="795"/>
      <c r="F31" s="796"/>
      <c r="G31" s="190">
        <f>VLOOKUP($B31,Aop!$A$2:$M$456,4,1)</f>
        <v>908</v>
      </c>
      <c r="H31" s="157"/>
      <c r="I31" s="157"/>
      <c r="J31" s="157"/>
      <c r="K31" s="157"/>
      <c r="L31" s="157"/>
      <c r="M31" s="157"/>
      <c r="N31" s="157"/>
      <c r="O31" s="61">
        <f t="shared" si="0"/>
        <v>0</v>
      </c>
      <c r="P31" s="157"/>
      <c r="Q31" s="504">
        <f t="shared" si="1"/>
        <v>0</v>
      </c>
      <c r="S31" s="135" t="s">
        <v>313</v>
      </c>
    </row>
    <row r="32" spans="2:19" ht="15" customHeight="1" x14ac:dyDescent="0.2">
      <c r="B32" s="48">
        <v>434</v>
      </c>
      <c r="C32" s="275"/>
      <c r="D32" s="791" t="str">
        <f>VLOOKUP($B32,Aop!$A$2:$M$456,6,1)</f>
        <v xml:space="preserve">    9. Sticanje sopstvenih akcija i drugi oblici smanjenja kapitala</v>
      </c>
      <c r="E32" s="792"/>
      <c r="F32" s="793"/>
      <c r="G32" s="191">
        <f>VLOOKUP($B32,Aop!$A$2:$M$456,4,1)</f>
        <v>909</v>
      </c>
      <c r="H32" s="159"/>
      <c r="I32" s="159"/>
      <c r="J32" s="159"/>
      <c r="K32" s="159"/>
      <c r="L32" s="159"/>
      <c r="M32" s="159"/>
      <c r="N32" s="159"/>
      <c r="O32" s="156">
        <f t="shared" si="0"/>
        <v>0</v>
      </c>
      <c r="P32" s="159"/>
      <c r="Q32" s="505">
        <f t="shared" si="1"/>
        <v>0</v>
      </c>
    </row>
    <row r="33" spans="2:19" ht="15" customHeight="1" x14ac:dyDescent="0.2">
      <c r="B33" s="48">
        <v>435</v>
      </c>
      <c r="C33" s="275"/>
      <c r="D33" s="794" t="str">
        <f>VLOOKUP($B33,Aop!$A$2:$M$456,6,1)</f>
        <v xml:space="preserve">    10. Objavljene dividende </v>
      </c>
      <c r="E33" s="795"/>
      <c r="F33" s="796"/>
      <c r="G33" s="190">
        <f>VLOOKUP($B33,Aop!$A$2:$M$456,4,1)</f>
        <v>910</v>
      </c>
      <c r="H33" s="157"/>
      <c r="I33" s="157"/>
      <c r="J33" s="157"/>
      <c r="K33" s="157"/>
      <c r="L33" s="157"/>
      <c r="M33" s="157"/>
      <c r="N33" s="157"/>
      <c r="O33" s="155">
        <f t="shared" si="0"/>
        <v>0</v>
      </c>
      <c r="P33" s="157"/>
      <c r="Q33" s="506">
        <f t="shared" si="1"/>
        <v>0</v>
      </c>
    </row>
    <row r="34" spans="2:19" ht="15" customHeight="1" x14ac:dyDescent="0.2">
      <c r="B34" s="48">
        <v>436</v>
      </c>
      <c r="C34" s="275"/>
      <c r="D34" s="791" t="str">
        <f>VLOOKUP($B34,Aop!$A$2:$M$456,6,1)</f>
        <v xml:space="preserve">    11. Drugi oblici raspodjele dobiti i pokriće gubitka</v>
      </c>
      <c r="E34" s="792"/>
      <c r="F34" s="793"/>
      <c r="G34" s="191">
        <f>VLOOKUP($B34,Aop!$A$2:$M$456,4,1)</f>
        <v>911</v>
      </c>
      <c r="H34" s="159"/>
      <c r="I34" s="159"/>
      <c r="J34" s="159">
        <v>148221</v>
      </c>
      <c r="K34" s="159"/>
      <c r="L34" s="159"/>
      <c r="M34" s="159"/>
      <c r="N34" s="159">
        <v>-148221</v>
      </c>
      <c r="O34" s="65">
        <f t="shared" si="0"/>
        <v>0</v>
      </c>
      <c r="P34" s="159"/>
      <c r="Q34" s="503">
        <f t="shared" si="1"/>
        <v>0</v>
      </c>
    </row>
    <row r="35" spans="2:19" ht="15" customHeight="1" x14ac:dyDescent="0.2">
      <c r="B35" s="48">
        <v>437</v>
      </c>
      <c r="C35" s="275"/>
      <c r="D35" s="794" t="str">
        <f>VLOOKUP($B35,Aop!$A$2:$M$456,6,1)</f>
        <v xml:space="preserve">    12. Ostale promjene</v>
      </c>
      <c r="E35" s="795"/>
      <c r="F35" s="796"/>
      <c r="G35" s="190">
        <f>VLOOKUP($B35,Aop!$A$2:$M$456,4,1)</f>
        <v>912</v>
      </c>
      <c r="H35" s="157"/>
      <c r="I35" s="157"/>
      <c r="J35" s="157">
        <v>1170685</v>
      </c>
      <c r="K35" s="157"/>
      <c r="L35" s="157"/>
      <c r="M35" s="157"/>
      <c r="N35" s="157"/>
      <c r="O35" s="155">
        <f t="shared" si="0"/>
        <v>1170685</v>
      </c>
      <c r="P35" s="157"/>
      <c r="Q35" s="506">
        <f t="shared" si="1"/>
        <v>1170685</v>
      </c>
    </row>
    <row r="36" spans="2:19" ht="9" customHeight="1" x14ac:dyDescent="0.2">
      <c r="B36" s="48">
        <v>438</v>
      </c>
      <c r="C36" s="275"/>
      <c r="D36" s="791" t="str">
        <f>VLOOKUP($B36,Aop!$A$2:$M$456,6,1)</f>
        <v/>
      </c>
      <c r="E36" s="792"/>
      <c r="F36" s="793"/>
      <c r="G36" s="191">
        <f>VLOOKUP($B36,Aop!$A$2:$M$456,4,1)</f>
        <v>0</v>
      </c>
      <c r="H36" s="65"/>
      <c r="I36" s="65"/>
      <c r="J36" s="65"/>
      <c r="K36" s="65"/>
      <c r="L36" s="65"/>
      <c r="M36" s="65"/>
      <c r="N36" s="65"/>
      <c r="O36" s="65"/>
      <c r="P36" s="65"/>
      <c r="Q36" s="503"/>
      <c r="S36" s="135" t="s">
        <v>313</v>
      </c>
    </row>
    <row r="37" spans="2:19" ht="25.5" x14ac:dyDescent="0.2">
      <c r="B37" s="48">
        <v>439</v>
      </c>
      <c r="C37" s="275"/>
      <c r="D37" s="788" t="str">
        <f>VLOOKUP($B37,Aop!$A$2:$M$456,6,1)</f>
        <v xml:space="preserve">  13. Stanje na dan 31.12.2024. god. / 01.01.2025. god. 
   (904 ± 907 ± 908 - 909 - 910 ± 911 ± 912)</v>
      </c>
      <c r="E37" s="789"/>
      <c r="F37" s="790"/>
      <c r="G37" s="539">
        <f>VLOOKUP($B37,Aop!$A$2:$M$456,4,1)</f>
        <v>913</v>
      </c>
      <c r="H37" s="61">
        <f>SUM(H25, H29, -H32, -H33, H31, H34:H35)</f>
        <v>15795899</v>
      </c>
      <c r="I37" s="61">
        <f t="shared" ref="I37:Q37" si="4">SUM(I25, I29, -I32, -I33, I31, I34:I35)</f>
        <v>0</v>
      </c>
      <c r="J37" s="61">
        <f t="shared" si="4"/>
        <v>14738412</v>
      </c>
      <c r="K37" s="61">
        <f t="shared" si="4"/>
        <v>25305831</v>
      </c>
      <c r="L37" s="61">
        <f t="shared" si="4"/>
        <v>0</v>
      </c>
      <c r="M37" s="61">
        <f t="shared" si="4"/>
        <v>0</v>
      </c>
      <c r="N37" s="61">
        <f t="shared" si="4"/>
        <v>43436161</v>
      </c>
      <c r="O37" s="61">
        <f t="shared" si="4"/>
        <v>99276303</v>
      </c>
      <c r="P37" s="61">
        <f t="shared" si="4"/>
        <v>0</v>
      </c>
      <c r="Q37" s="504">
        <f t="shared" si="4"/>
        <v>99276303</v>
      </c>
      <c r="S37" s="135" t="s">
        <v>313</v>
      </c>
    </row>
    <row r="38" spans="2:19" ht="9" customHeight="1" x14ac:dyDescent="0.2">
      <c r="B38" s="48">
        <v>440</v>
      </c>
      <c r="C38" s="275"/>
      <c r="D38" s="791" t="str">
        <f>VLOOKUP($B38,Aop!$A$2:$M$456,6,1)</f>
        <v/>
      </c>
      <c r="E38" s="792"/>
      <c r="F38" s="793"/>
      <c r="G38" s="191">
        <f>VLOOKUP($B38,Aop!$A$2:$M$456,4,1)</f>
        <v>0</v>
      </c>
      <c r="H38" s="65"/>
      <c r="I38" s="65"/>
      <c r="J38" s="65"/>
      <c r="K38" s="65"/>
      <c r="L38" s="65"/>
      <c r="M38" s="65"/>
      <c r="N38" s="65"/>
      <c r="O38" s="65"/>
      <c r="P38" s="65"/>
      <c r="Q38" s="503"/>
    </row>
    <row r="39" spans="2:19" ht="15.75" customHeight="1" x14ac:dyDescent="0.2">
      <c r="B39" s="48">
        <v>441</v>
      </c>
      <c r="C39" s="275"/>
      <c r="D39" s="794" t="str">
        <f>VLOOKUP($B39,Aop!$A$2:$M$456,6,1)</f>
        <v xml:space="preserve">    14. Efekti promjena u računovodstvenim politikama</v>
      </c>
      <c r="E39" s="795"/>
      <c r="F39" s="796"/>
      <c r="G39" s="190">
        <f>VLOOKUP($B39,Aop!$A$2:$M$456,4,1)</f>
        <v>914</v>
      </c>
      <c r="H39" s="157"/>
      <c r="I39" s="157"/>
      <c r="J39" s="157"/>
      <c r="K39" s="157"/>
      <c r="L39" s="157"/>
      <c r="M39" s="157"/>
      <c r="N39" s="157"/>
      <c r="O39" s="155">
        <f t="shared" si="0"/>
        <v>0</v>
      </c>
      <c r="P39" s="157"/>
      <c r="Q39" s="506">
        <f t="shared" si="1"/>
        <v>0</v>
      </c>
    </row>
    <row r="40" spans="2:19" ht="15.75" customHeight="1" x14ac:dyDescent="0.2">
      <c r="B40" s="48">
        <v>442</v>
      </c>
      <c r="C40" s="275"/>
      <c r="D40" s="791" t="str">
        <f>VLOOKUP($B40,Aop!$A$2:$M$456,6,1)</f>
        <v xml:space="preserve">    15. Efekti ispravke grešaka</v>
      </c>
      <c r="E40" s="792"/>
      <c r="F40" s="793"/>
      <c r="G40" s="191">
        <f>VLOOKUP($B40,Aop!$A$2:$M$456,4,1)</f>
        <v>915</v>
      </c>
      <c r="H40" s="159"/>
      <c r="I40" s="159"/>
      <c r="J40" s="159"/>
      <c r="K40" s="159">
        <v>15902973</v>
      </c>
      <c r="L40" s="159"/>
      <c r="M40" s="159"/>
      <c r="N40" s="159">
        <v>36206</v>
      </c>
      <c r="O40" s="65">
        <f t="shared" si="0"/>
        <v>15939179</v>
      </c>
      <c r="P40" s="159"/>
      <c r="Q40" s="503">
        <f t="shared" si="1"/>
        <v>15939179</v>
      </c>
    </row>
    <row r="41" spans="2:19" ht="15.75" customHeight="1" x14ac:dyDescent="0.2">
      <c r="B41" s="48">
        <v>443</v>
      </c>
      <c r="C41" s="275"/>
      <c r="D41" s="788" t="str">
        <f>VLOOKUP($B41,Aop!$A$2:$M$456,6,1)</f>
        <v xml:space="preserve">  Ponovo iskazano stanje na dan 01.01.2025. godine (913 ± 914 ± 915)</v>
      </c>
      <c r="E41" s="789"/>
      <c r="F41" s="790"/>
      <c r="G41" s="539">
        <f>VLOOKUP($B41,Aop!$A$2:$M$456,4,1)</f>
        <v>916</v>
      </c>
      <c r="H41" s="61">
        <f>SUM(H37:H40)</f>
        <v>15795899</v>
      </c>
      <c r="I41" s="61">
        <f t="shared" ref="I41:Q41" si="5">SUM(I37:I40)</f>
        <v>0</v>
      </c>
      <c r="J41" s="61">
        <f t="shared" si="5"/>
        <v>14738412</v>
      </c>
      <c r="K41" s="61">
        <f t="shared" si="5"/>
        <v>41208804</v>
      </c>
      <c r="L41" s="61">
        <f t="shared" si="5"/>
        <v>0</v>
      </c>
      <c r="M41" s="61">
        <f t="shared" si="5"/>
        <v>0</v>
      </c>
      <c r="N41" s="61">
        <f t="shared" si="5"/>
        <v>43472367</v>
      </c>
      <c r="O41" s="61">
        <f t="shared" si="5"/>
        <v>115215482</v>
      </c>
      <c r="P41" s="61">
        <f t="shared" si="5"/>
        <v>0</v>
      </c>
      <c r="Q41" s="504">
        <f t="shared" si="5"/>
        <v>115215482</v>
      </c>
    </row>
    <row r="42" spans="2:19" ht="6.75" customHeight="1" x14ac:dyDescent="0.2">
      <c r="B42" s="48">
        <v>444</v>
      </c>
      <c r="C42" s="275"/>
      <c r="D42" s="791" t="str">
        <f>VLOOKUP($B42,Aop!$A$2:$M$456,6,1)</f>
        <v/>
      </c>
      <c r="E42" s="792"/>
      <c r="F42" s="793"/>
      <c r="G42" s="191">
        <f>VLOOKUP($B42,Aop!$A$2:$M$456,4,1)</f>
        <v>0</v>
      </c>
      <c r="H42" s="65"/>
      <c r="I42" s="65"/>
      <c r="J42" s="65"/>
      <c r="K42" s="65"/>
      <c r="L42" s="65"/>
      <c r="M42" s="65"/>
      <c r="N42" s="65"/>
      <c r="O42" s="65"/>
      <c r="P42" s="65"/>
      <c r="Q42" s="503"/>
    </row>
    <row r="43" spans="2:19" ht="15" customHeight="1" x14ac:dyDescent="0.2">
      <c r="B43" s="48">
        <v>445</v>
      </c>
      <c r="C43" s="275"/>
      <c r="D43" s="794" t="str">
        <f>VLOOKUP($B43,Aop!$A$2:$M$456,6,1)</f>
        <v xml:space="preserve">    17. Dobit/(gubitak) za godinu</v>
      </c>
      <c r="E43" s="795"/>
      <c r="F43" s="796"/>
      <c r="G43" s="190">
        <f>VLOOKUP($B43,Aop!$A$2:$M$456,4,1)</f>
        <v>917</v>
      </c>
      <c r="H43" s="157"/>
      <c r="I43" s="157"/>
      <c r="J43" s="157"/>
      <c r="K43" s="157"/>
      <c r="L43" s="157"/>
      <c r="M43" s="157"/>
      <c r="N43" s="157">
        <v>500825</v>
      </c>
      <c r="O43" s="155">
        <f t="shared" si="0"/>
        <v>500825</v>
      </c>
      <c r="P43" s="157"/>
      <c r="Q43" s="506">
        <f t="shared" si="1"/>
        <v>500825</v>
      </c>
    </row>
    <row r="44" spans="2:19" ht="15" customHeight="1" x14ac:dyDescent="0.2">
      <c r="B44" s="48">
        <v>446</v>
      </c>
      <c r="C44" s="275"/>
      <c r="D44" s="791" t="str">
        <f>VLOOKUP($B44,Aop!$A$2:$M$456,6,1)</f>
        <v xml:space="preserve">    18. Ostali ukupni rezultatat</v>
      </c>
      <c r="E44" s="792"/>
      <c r="F44" s="793"/>
      <c r="G44" s="191">
        <f>VLOOKUP($B44,Aop!$A$2:$M$456,4,1)</f>
        <v>918</v>
      </c>
      <c r="H44" s="159"/>
      <c r="I44" s="159"/>
      <c r="J44" s="159"/>
      <c r="K44" s="159">
        <v>-2011268</v>
      </c>
      <c r="L44" s="159"/>
      <c r="M44" s="159"/>
      <c r="N44" s="159">
        <v>2011268</v>
      </c>
      <c r="O44" s="65">
        <f t="shared" si="0"/>
        <v>0</v>
      </c>
      <c r="P44" s="159"/>
      <c r="Q44" s="503">
        <f t="shared" si="1"/>
        <v>0</v>
      </c>
    </row>
    <row r="45" spans="2:19" ht="15" customHeight="1" x14ac:dyDescent="0.2">
      <c r="B45" s="48">
        <v>447</v>
      </c>
      <c r="C45" s="275"/>
      <c r="D45" s="788" t="str">
        <f>VLOOKUP($B45,Aop!$A$2:$M$456,6,1)</f>
        <v xml:space="preserve">  19. Ukupna dobit/(gubitak) (± 917 ± 918)</v>
      </c>
      <c r="E45" s="789"/>
      <c r="F45" s="790"/>
      <c r="G45" s="539">
        <f>VLOOKUP($B45,Aop!$A$2:$M$456,4,1)</f>
        <v>919</v>
      </c>
      <c r="H45" s="61">
        <f>SUM(H43:H44)</f>
        <v>0</v>
      </c>
      <c r="I45" s="61">
        <f t="shared" ref="I45:Q45" si="6">SUM(I43:I44)</f>
        <v>0</v>
      </c>
      <c r="J45" s="61">
        <f t="shared" si="6"/>
        <v>0</v>
      </c>
      <c r="K45" s="61">
        <f>SUM(K43:K44)</f>
        <v>-2011268</v>
      </c>
      <c r="L45" s="61">
        <f t="shared" si="6"/>
        <v>0</v>
      </c>
      <c r="M45" s="61">
        <f t="shared" si="6"/>
        <v>0</v>
      </c>
      <c r="N45" s="61">
        <f t="shared" si="6"/>
        <v>2512093</v>
      </c>
      <c r="O45" s="61">
        <f t="shared" si="6"/>
        <v>500825</v>
      </c>
      <c r="P45" s="61">
        <f t="shared" si="6"/>
        <v>0</v>
      </c>
      <c r="Q45" s="504">
        <f t="shared" si="6"/>
        <v>500825</v>
      </c>
    </row>
    <row r="46" spans="2:19" ht="4.5" customHeight="1" x14ac:dyDescent="0.2">
      <c r="B46" s="48">
        <v>448</v>
      </c>
      <c r="C46" s="275"/>
      <c r="D46" s="791" t="str">
        <f>VLOOKUP($B46,Aop!$A$2:$M$456,6,1)</f>
        <v/>
      </c>
      <c r="E46" s="792"/>
      <c r="F46" s="793"/>
      <c r="G46" s="191">
        <f>VLOOKUP($B46,Aop!$A$2:$M$456,4,1)</f>
        <v>0</v>
      </c>
      <c r="H46" s="65"/>
      <c r="I46" s="65"/>
      <c r="J46" s="65"/>
      <c r="K46" s="65"/>
      <c r="L46" s="65"/>
      <c r="M46" s="65"/>
      <c r="N46" s="65"/>
      <c r="O46" s="65"/>
      <c r="P46" s="65"/>
      <c r="Q46" s="503"/>
    </row>
    <row r="47" spans="2:19" ht="15.75" customHeight="1" x14ac:dyDescent="0.2">
      <c r="B47" s="48">
        <v>449</v>
      </c>
      <c r="C47" s="275"/>
      <c r="D47" s="794" t="str">
        <f>VLOOKUP($B47,Aop!$A$2:$M$456,6,1)</f>
        <v xml:space="preserve">    20. Emisija akcijskog kapitala i drugi oblici povećanja kapitala</v>
      </c>
      <c r="E47" s="795"/>
      <c r="F47" s="796"/>
      <c r="G47" s="190">
        <f>VLOOKUP($B47,Aop!$A$2:$M$456,4,1)</f>
        <v>920</v>
      </c>
      <c r="H47" s="157"/>
      <c r="I47" s="157"/>
      <c r="J47" s="157"/>
      <c r="K47" s="157"/>
      <c r="L47" s="157"/>
      <c r="M47" s="157"/>
      <c r="N47" s="157"/>
      <c r="O47" s="155">
        <f t="shared" si="0"/>
        <v>0</v>
      </c>
      <c r="P47" s="157"/>
      <c r="Q47" s="506">
        <f t="shared" si="1"/>
        <v>0</v>
      </c>
    </row>
    <row r="48" spans="2:19" ht="18.75" customHeight="1" x14ac:dyDescent="0.2">
      <c r="B48" s="48">
        <v>450</v>
      </c>
      <c r="C48" s="275"/>
      <c r="D48" s="791" t="str">
        <f>VLOOKUP($B48,Aop!$A$2:$M$456,6,1)</f>
        <v xml:space="preserve">    21. Sticanje sopstvenih akcija i drugi oblici smanjenja kapitala</v>
      </c>
      <c r="E48" s="792"/>
      <c r="F48" s="793"/>
      <c r="G48" s="191">
        <f>VLOOKUP($B48,Aop!$A$2:$M$456,4,1)</f>
        <v>921</v>
      </c>
      <c r="H48" s="159"/>
      <c r="I48" s="159"/>
      <c r="J48" s="159"/>
      <c r="K48" s="159"/>
      <c r="L48" s="159"/>
      <c r="M48" s="159"/>
      <c r="N48" s="159"/>
      <c r="O48" s="65">
        <f t="shared" si="0"/>
        <v>0</v>
      </c>
      <c r="P48" s="159"/>
      <c r="Q48" s="503">
        <f t="shared" si="1"/>
        <v>0</v>
      </c>
    </row>
    <row r="49" spans="2:17" ht="15" customHeight="1" x14ac:dyDescent="0.2">
      <c r="B49" s="48">
        <v>451</v>
      </c>
      <c r="C49" s="275"/>
      <c r="D49" s="794" t="str">
        <f>VLOOKUP($B49,Aop!$A$2:$M$456,6,1)</f>
        <v xml:space="preserve">    22. Objavljene dividende </v>
      </c>
      <c r="E49" s="795"/>
      <c r="F49" s="796"/>
      <c r="G49" s="190">
        <f>VLOOKUP($B49,Aop!$A$2:$M$456,4,1)</f>
        <v>922</v>
      </c>
      <c r="H49" s="157"/>
      <c r="I49" s="157"/>
      <c r="J49" s="157"/>
      <c r="K49" s="157"/>
      <c r="L49" s="157"/>
      <c r="M49" s="157"/>
      <c r="N49" s="157"/>
      <c r="O49" s="155">
        <f t="shared" si="0"/>
        <v>0</v>
      </c>
      <c r="P49" s="157"/>
      <c r="Q49" s="506">
        <f t="shared" si="1"/>
        <v>0</v>
      </c>
    </row>
    <row r="50" spans="2:17" ht="15" customHeight="1" x14ac:dyDescent="0.2">
      <c r="B50" s="48">
        <v>452</v>
      </c>
      <c r="C50" s="275"/>
      <c r="D50" s="791" t="str">
        <f>VLOOKUP($B50,Aop!$A$2:$M$456,6,1)</f>
        <v xml:space="preserve">    23. Drugi oblici raspodjele dobiti i pokriće gubitka</v>
      </c>
      <c r="E50" s="792"/>
      <c r="F50" s="793"/>
      <c r="G50" s="191">
        <f>VLOOKUP($B50,Aop!$A$2:$M$456,4,1)</f>
        <v>923</v>
      </c>
      <c r="H50" s="159"/>
      <c r="I50" s="159"/>
      <c r="J50" s="159">
        <v>214623</v>
      </c>
      <c r="K50" s="159"/>
      <c r="L50" s="159"/>
      <c r="M50" s="159"/>
      <c r="N50" s="159">
        <v>-429245</v>
      </c>
      <c r="O50" s="65">
        <f t="shared" si="0"/>
        <v>-214622</v>
      </c>
      <c r="P50" s="159"/>
      <c r="Q50" s="503">
        <f t="shared" si="1"/>
        <v>-214622</v>
      </c>
    </row>
    <row r="51" spans="2:17" ht="15" customHeight="1" x14ac:dyDescent="0.2">
      <c r="B51" s="48">
        <v>453</v>
      </c>
      <c r="C51" s="275"/>
      <c r="D51" s="794" t="str">
        <f>VLOOKUP($B51,Aop!$A$2:$M$456,6,1)</f>
        <v xml:space="preserve">    24. Ostale promjene</v>
      </c>
      <c r="E51" s="795"/>
      <c r="F51" s="796"/>
      <c r="G51" s="190">
        <f>VLOOKUP($B51,Aop!$A$2:$M$456,4,1)</f>
        <v>924</v>
      </c>
      <c r="H51" s="157"/>
      <c r="I51" s="157"/>
      <c r="J51" s="157"/>
      <c r="K51" s="157"/>
      <c r="L51" s="157"/>
      <c r="M51" s="157"/>
      <c r="N51" s="157"/>
      <c r="O51" s="155">
        <f t="shared" si="0"/>
        <v>0</v>
      </c>
      <c r="P51" s="157"/>
      <c r="Q51" s="506">
        <f t="shared" si="1"/>
        <v>0</v>
      </c>
    </row>
    <row r="52" spans="2:17" ht="7.5" customHeight="1" x14ac:dyDescent="0.2">
      <c r="B52" s="48">
        <v>454</v>
      </c>
      <c r="C52" s="275"/>
      <c r="D52" s="791" t="str">
        <f>VLOOKUP($B52,Aop!$A$2:$M$456,6,1)</f>
        <v/>
      </c>
      <c r="E52" s="792"/>
      <c r="F52" s="793"/>
      <c r="G52" s="191">
        <f>VLOOKUP($B52,Aop!$A$2:$M$456,4,1)</f>
        <v>0</v>
      </c>
      <c r="H52" s="65"/>
      <c r="I52" s="65"/>
      <c r="J52" s="65"/>
      <c r="K52" s="65"/>
      <c r="L52" s="65"/>
      <c r="M52" s="65"/>
      <c r="N52" s="65"/>
      <c r="O52" s="65"/>
      <c r="P52" s="65"/>
      <c r="Q52" s="503"/>
    </row>
    <row r="53" spans="2:17" ht="22.5" customHeight="1" x14ac:dyDescent="0.2">
      <c r="B53" s="48">
        <v>455</v>
      </c>
      <c r="C53" s="275"/>
      <c r="D53" s="806" t="str">
        <f>VLOOKUP($B53,Aop!$A$2:$M$456,6,1)</f>
        <v>25. Stanje na dan 31.12.2025. godine (916 ± 919 ± 920  - 921 - 922± 923 ± 924)</v>
      </c>
      <c r="E53" s="807"/>
      <c r="F53" s="808"/>
      <c r="G53" s="540">
        <f>VLOOKUP($B53,Aop!$A$2:$M$456,4,1)</f>
        <v>925</v>
      </c>
      <c r="H53" s="507">
        <f>SUM(H41, H45,H47,-H48,-H49,H50:H51)</f>
        <v>15795899</v>
      </c>
      <c r="I53" s="507">
        <f t="shared" ref="I53:Q53" si="7">SUM(I41, I45,I47,-I48,-I49,I50:I51)</f>
        <v>0</v>
      </c>
      <c r="J53" s="507">
        <f t="shared" si="7"/>
        <v>14953035</v>
      </c>
      <c r="K53" s="507">
        <f t="shared" si="7"/>
        <v>39197536</v>
      </c>
      <c r="L53" s="507">
        <f t="shared" si="7"/>
        <v>0</v>
      </c>
      <c r="M53" s="507">
        <f t="shared" si="7"/>
        <v>0</v>
      </c>
      <c r="N53" s="507">
        <f t="shared" si="7"/>
        <v>45555215</v>
      </c>
      <c r="O53" s="443">
        <f>SUM(O41, O45,O47,-O48,-O49,O50:O51)</f>
        <v>115501685</v>
      </c>
      <c r="P53" s="507">
        <f t="shared" si="7"/>
        <v>0</v>
      </c>
      <c r="Q53" s="508">
        <f t="shared" si="7"/>
        <v>115501685</v>
      </c>
    </row>
    <row r="54" spans="2:17" x14ac:dyDescent="0.2">
      <c r="C54" s="275"/>
      <c r="D54" s="40"/>
      <c r="E54" s="40"/>
      <c r="F54" s="40"/>
      <c r="G54" s="40"/>
      <c r="H54" s="40"/>
      <c r="I54" s="254"/>
      <c r="J54" s="37"/>
      <c r="K54" s="37"/>
      <c r="L54" s="37"/>
      <c r="M54" s="37"/>
    </row>
    <row r="55" spans="2:17" x14ac:dyDescent="0.2">
      <c r="D55" s="184" t="str">
        <f>Podnozje_U</f>
        <v>U:</v>
      </c>
      <c r="E55" s="447" t="str">
        <f>Podatak_U</f>
        <v>Palama</v>
      </c>
      <c r="H55" s="756" t="str">
        <f>Podnozje_Lice_sa_licencom</f>
        <v>Lice sa licencom:</v>
      </c>
      <c r="I55" s="756"/>
      <c r="K55" s="8" t="str">
        <f>Podnozje_Broj_licence</f>
        <v>Broj licence:</v>
      </c>
      <c r="L55" s="37"/>
      <c r="M55" s="37" t="str">
        <f>Podnozje_MP</f>
        <v>(M.P.)</v>
      </c>
      <c r="O55" s="756" t="str">
        <f>Podnozje_Direktor</f>
        <v>Lice ovlašćeno za zastupanje:</v>
      </c>
      <c r="P55" s="756"/>
    </row>
    <row r="56" spans="2:17" x14ac:dyDescent="0.2">
      <c r="C56" s="28"/>
      <c r="G56"/>
      <c r="H56" s="801" t="str">
        <f>Podatak_Lice_sa_licencom</f>
        <v>Slobodan Butulija</v>
      </c>
      <c r="I56" s="801"/>
      <c r="O56" s="757" t="str">
        <f>Podatak_Direktor</f>
        <v>Aco Stanišić ma.ecc.</v>
      </c>
      <c r="P56" s="757"/>
    </row>
    <row r="57" spans="2:17" x14ac:dyDescent="0.2">
      <c r="D57" s="184" t="str">
        <f>Podnozje_Dana</f>
        <v>Dana:</v>
      </c>
      <c r="E57" s="446" t="str">
        <f>Podatak_Dana</f>
        <v>27.02.2026.</v>
      </c>
      <c r="F57" s="38"/>
      <c r="H57" s="800"/>
      <c r="I57" s="800"/>
      <c r="J57" s="9"/>
      <c r="K57" s="9" t="str">
        <f>Podatak_Broj_Licence</f>
        <v>SR-0005/26</v>
      </c>
      <c r="L57" s="9"/>
      <c r="M57" s="9"/>
      <c r="O57" s="711"/>
      <c r="P57" s="711"/>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sheet="1" objects="1" scenarios="1"/>
  <mergeCells count="58">
    <mergeCell ref="H57:I57"/>
    <mergeCell ref="O56:P56"/>
    <mergeCell ref="H56:I56"/>
    <mergeCell ref="D14:Q14"/>
    <mergeCell ref="D11:F11"/>
    <mergeCell ref="D12:F12"/>
    <mergeCell ref="O55:P55"/>
    <mergeCell ref="G17:G18"/>
    <mergeCell ref="H17:O17"/>
    <mergeCell ref="D42:F42"/>
    <mergeCell ref="D43:F43"/>
    <mergeCell ref="D44:F44"/>
    <mergeCell ref="D45:F45"/>
    <mergeCell ref="D49:F49"/>
    <mergeCell ref="D50:F50"/>
    <mergeCell ref="D53:F53"/>
    <mergeCell ref="D30:F30"/>
    <mergeCell ref="D51:F51"/>
    <mergeCell ref="D52:F52"/>
    <mergeCell ref="D31:F31"/>
    <mergeCell ref="D32:F32"/>
    <mergeCell ref="D33:F33"/>
    <mergeCell ref="D34:F34"/>
    <mergeCell ref="D35:F35"/>
    <mergeCell ref="D36:F36"/>
    <mergeCell ref="D40:F40"/>
    <mergeCell ref="D37:F37"/>
    <mergeCell ref="D38:F38"/>
    <mergeCell ref="D39:F39"/>
    <mergeCell ref="D46:F46"/>
    <mergeCell ref="D47:F47"/>
    <mergeCell ref="D48:F48"/>
    <mergeCell ref="D13:F13"/>
    <mergeCell ref="D15:Q15"/>
    <mergeCell ref="P5:Q5"/>
    <mergeCell ref="P7:Q7"/>
    <mergeCell ref="D19:F19"/>
    <mergeCell ref="D5:F6"/>
    <mergeCell ref="D7:F7"/>
    <mergeCell ref="E8:F8"/>
    <mergeCell ref="D9:F9"/>
    <mergeCell ref="D10:F10"/>
    <mergeCell ref="O57:P57"/>
    <mergeCell ref="H55:I55"/>
    <mergeCell ref="P17:P18"/>
    <mergeCell ref="Q17:Q18"/>
    <mergeCell ref="D17:F18"/>
    <mergeCell ref="D20:F20"/>
    <mergeCell ref="D21:F21"/>
    <mergeCell ref="D22:F22"/>
    <mergeCell ref="D23:F23"/>
    <mergeCell ref="D24:F24"/>
    <mergeCell ref="D41:F41"/>
    <mergeCell ref="D25:F25"/>
    <mergeCell ref="D26:F26"/>
    <mergeCell ref="D27:F27"/>
    <mergeCell ref="D28:F28"/>
    <mergeCell ref="D29:F29"/>
  </mergeCells>
  <phoneticPr fontId="3" type="noConversion"/>
  <dataValidations xWindow="1044" yWindow="784" count="2">
    <dataValidation type="whole" operator="notEqual" allowBlank="1" showInputMessage="1" showErrorMessage="1" errorTitle="Graška" error="Unose se vrijednosti u konvertibilnim markama, bez decimalnih mjesta." sqref="H43:N44 P39:P40 P21 P27:P28 H27:N28 H23:N25 P31:P35 P47:P51 H31:N35 H39:N40 H47:N51 P23:P25 P43:P44 H21:N21">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29:P29 P45:P46 P41:Q41 Q42:Q53 H45:N46 H25:N26 P42 H41:N42 P30 H30:N30 O30:O51 H52:P53 P22 H22:N22 P20 H20:N20 Q20:Q40 O20:O28 H36:N38">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1</xdr:col>
                    <xdr:colOff>0</xdr:colOff>
                    <xdr:row>0</xdr:row>
                    <xdr:rowOff>47625</xdr:rowOff>
                  </from>
                  <to>
                    <xdr:col>12</xdr:col>
                    <xdr:colOff>561975</xdr:colOff>
                    <xdr:row>3</xdr:row>
                    <xdr:rowOff>152400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I102"/>
  <sheetViews>
    <sheetView showGridLines="0" showRowColHeaders="0" workbookViewId="0">
      <pane xSplit="2" ySplit="1" topLeftCell="C74" activePane="bottomRight" state="frozen"/>
      <selection activeCell="C12" sqref="C12:O12"/>
      <selection pane="topRight" activeCell="C12" sqref="C12:O12"/>
      <selection pane="bottomLeft" activeCell="C12" sqref="C12:O12"/>
      <selection pane="bottomRight" activeCell="E85" sqref="E85"/>
    </sheetView>
  </sheetViews>
  <sheetFormatPr defaultRowHeight="12.75" x14ac:dyDescent="0.2"/>
  <cols>
    <col min="1" max="1" width="16.140625" customWidth="1"/>
    <col min="2" max="2" width="27.42578125" customWidth="1"/>
    <col min="3" max="3" width="32.425781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2231</v>
      </c>
      <c r="G1" s="36" t="s">
        <v>250</v>
      </c>
      <c r="H1" s="2" t="s">
        <v>136</v>
      </c>
      <c r="I1" s="2" t="s">
        <v>414</v>
      </c>
    </row>
    <row r="2" spans="1:9" x14ac:dyDescent="0.2">
      <c r="A2" s="1" t="s">
        <v>206</v>
      </c>
      <c r="B2" s="1" t="s">
        <v>207</v>
      </c>
      <c r="C2" s="1" t="s">
        <v>296</v>
      </c>
      <c r="D2" s="1" t="s">
        <v>297</v>
      </c>
      <c r="E2" s="1" t="s">
        <v>298</v>
      </c>
      <c r="F2" t="s">
        <v>2232</v>
      </c>
      <c r="G2" s="7" t="str">
        <f t="shared" ref="G2:G34" si="0">CHOOSE( ID_Jezik, C2, D2, E2,F2)</f>
        <v>Podaci u zaglavlju:</v>
      </c>
      <c r="H2" s="7" t="str">
        <f>SUBSTITUTE(A2&amp;"_"&amp;B2," ","_")</f>
        <v>Objasnjenja_Zaglavlje</v>
      </c>
      <c r="I2">
        <f t="shared" ref="I2:I34" si="1">COUNTIF($B$2:$B$1028,"="&amp;B2)</f>
        <v>1</v>
      </c>
    </row>
    <row r="3" spans="1:9" x14ac:dyDescent="0.2">
      <c r="A3" s="1" t="s">
        <v>206</v>
      </c>
      <c r="B3" s="1" t="s">
        <v>208</v>
      </c>
      <c r="C3" s="1" t="s">
        <v>340</v>
      </c>
      <c r="D3" s="1" t="s">
        <v>341</v>
      </c>
      <c r="E3" s="1" t="s">
        <v>299</v>
      </c>
      <c r="F3" t="s">
        <v>2233</v>
      </c>
      <c r="G3" s="7" t="str">
        <f t="shared" si="0"/>
        <v>Podaci ispod izvještaja:</v>
      </c>
      <c r="H3" s="7" t="str">
        <f t="shared" ref="H3:H48" si="2">SUBSTITUTE(A3&amp;"_"&amp;B3," ","_")</f>
        <v>Objasnjenja_Podnozje</v>
      </c>
      <c r="I3">
        <f t="shared" si="1"/>
        <v>1</v>
      </c>
    </row>
    <row r="4" spans="1:9" x14ac:dyDescent="0.2">
      <c r="A4" s="1" t="s">
        <v>206</v>
      </c>
      <c r="B4" s="1" t="s">
        <v>209</v>
      </c>
      <c r="C4" s="1" t="s">
        <v>232</v>
      </c>
      <c r="D4" s="1" t="s">
        <v>272</v>
      </c>
      <c r="E4" s="1" t="s">
        <v>233</v>
      </c>
      <c r="F4" t="s">
        <v>2234</v>
      </c>
      <c r="G4" s="7" t="str">
        <f t="shared" si="0"/>
        <v>Naziv banke</v>
      </c>
      <c r="H4" s="7" t="str">
        <f t="shared" si="2"/>
        <v>Objasnjenja_Banka</v>
      </c>
      <c r="I4">
        <f t="shared" si="1"/>
        <v>1</v>
      </c>
    </row>
    <row r="5" spans="1:9" x14ac:dyDescent="0.2">
      <c r="A5" s="1" t="s">
        <v>206</v>
      </c>
      <c r="B5" s="1" t="s">
        <v>210</v>
      </c>
      <c r="C5" s="1" t="s">
        <v>211</v>
      </c>
      <c r="D5" s="1" t="s">
        <v>273</v>
      </c>
      <c r="E5" s="1" t="s">
        <v>107</v>
      </c>
      <c r="F5" t="s">
        <v>2235</v>
      </c>
      <c r="G5" s="7" t="str">
        <f t="shared" si="0"/>
        <v>Računi u banci:</v>
      </c>
      <c r="H5" s="7" t="str">
        <f t="shared" si="2"/>
        <v>Objasnjenja_Bankovni_racun</v>
      </c>
      <c r="I5" s="3">
        <f t="shared" si="1"/>
        <v>1</v>
      </c>
    </row>
    <row r="6" spans="1:9" x14ac:dyDescent="0.2">
      <c r="A6" s="1" t="s">
        <v>206</v>
      </c>
      <c r="B6" s="1" t="s">
        <v>2919</v>
      </c>
      <c r="C6" s="1" t="s">
        <v>212</v>
      </c>
      <c r="D6" s="1" t="s">
        <v>2916</v>
      </c>
      <c r="E6" s="1" t="s">
        <v>2917</v>
      </c>
      <c r="F6" s="462" t="s">
        <v>2918</v>
      </c>
      <c r="G6" s="7" t="str">
        <f>CHOOSE( ID_Jezik, C6, D6, E6,F6)</f>
        <v>Kontakt podaci:</v>
      </c>
      <c r="H6" s="7" t="str">
        <f t="shared" ref="H6:H11" si="3">SUBSTITUTE(A6&amp;"_"&amp;B6," ","_")</f>
        <v>Objasnjenja_Kontakti</v>
      </c>
      <c r="I6" s="3">
        <f>COUNTIF($B$2:$B$1028,"="&amp;B6)</f>
        <v>1</v>
      </c>
    </row>
    <row r="7" spans="1:9" x14ac:dyDescent="0.2">
      <c r="A7" s="1" t="s">
        <v>206</v>
      </c>
      <c r="B7" s="1" t="s">
        <v>448</v>
      </c>
      <c r="C7" s="1" t="s">
        <v>420</v>
      </c>
      <c r="D7" s="1" t="s">
        <v>447</v>
      </c>
      <c r="E7" s="1" t="s">
        <v>422</v>
      </c>
      <c r="F7" t="s">
        <v>2236</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2237</v>
      </c>
      <c r="G8" s="7" t="str">
        <f t="shared" si="0"/>
        <v>Navigacija</v>
      </c>
      <c r="H8" s="7" t="str">
        <f t="shared" si="3"/>
        <v>Objasnjenja_Navigacija</v>
      </c>
      <c r="I8" s="3">
        <f t="shared" si="1"/>
        <v>1</v>
      </c>
    </row>
    <row r="9" spans="1:9" x14ac:dyDescent="0.2">
      <c r="A9" s="1" t="s">
        <v>206</v>
      </c>
      <c r="B9" s="1" t="s">
        <v>182</v>
      </c>
      <c r="C9" s="1" t="s">
        <v>182</v>
      </c>
      <c r="D9" s="1" t="s">
        <v>452</v>
      </c>
      <c r="E9" s="1" t="s">
        <v>449</v>
      </c>
      <c r="F9" t="s">
        <v>2238</v>
      </c>
      <c r="G9" s="7" t="str">
        <f t="shared" si="0"/>
        <v>Dan</v>
      </c>
      <c r="H9" s="7" t="str">
        <f t="shared" si="3"/>
        <v>Objasnjenja_Dan</v>
      </c>
      <c r="I9" s="3">
        <f t="shared" si="1"/>
        <v>1</v>
      </c>
    </row>
    <row r="10" spans="1:9" x14ac:dyDescent="0.2">
      <c r="A10" s="1" t="s">
        <v>206</v>
      </c>
      <c r="B10" s="1" t="s">
        <v>181</v>
      </c>
      <c r="C10" s="1" t="s">
        <v>181</v>
      </c>
      <c r="D10" s="1" t="s">
        <v>453</v>
      </c>
      <c r="E10" s="1" t="s">
        <v>450</v>
      </c>
      <c r="F10" t="s">
        <v>2239</v>
      </c>
      <c r="G10" s="7" t="str">
        <f t="shared" si="0"/>
        <v>Mjesec</v>
      </c>
      <c r="H10" s="7" t="str">
        <f t="shared" si="3"/>
        <v>Objasnjenja_Mjesec</v>
      </c>
      <c r="I10" s="3">
        <f t="shared" si="1"/>
        <v>1</v>
      </c>
    </row>
    <row r="11" spans="1:9" x14ac:dyDescent="0.2">
      <c r="A11" s="1" t="s">
        <v>206</v>
      </c>
      <c r="B11" s="1" t="s">
        <v>177</v>
      </c>
      <c r="C11" s="1" t="s">
        <v>177</v>
      </c>
      <c r="D11" s="1" t="s">
        <v>454</v>
      </c>
      <c r="E11" s="1" t="s">
        <v>451</v>
      </c>
      <c r="F11" t="s">
        <v>2240</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2241</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2242</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2243</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2244</v>
      </c>
      <c r="G15" s="7" t="str">
        <f t="shared" si="0"/>
        <v>Telefon:</v>
      </c>
      <c r="H15" s="7" t="str">
        <f t="shared" si="2"/>
        <v>Kontakt_tel</v>
      </c>
      <c r="I15" s="3">
        <f t="shared" si="1"/>
        <v>1</v>
      </c>
    </row>
    <row r="16" spans="1:9" x14ac:dyDescent="0.2">
      <c r="A16" s="1" t="s">
        <v>213</v>
      </c>
      <c r="B16" s="1" t="s">
        <v>222</v>
      </c>
      <c r="C16" s="1" t="s">
        <v>219</v>
      </c>
      <c r="D16" s="1" t="s">
        <v>231</v>
      </c>
      <c r="E16" s="1" t="s">
        <v>227</v>
      </c>
      <c r="F16" t="s">
        <v>2245</v>
      </c>
      <c r="G16" s="7" t="str">
        <f t="shared" si="0"/>
        <v>Faks:</v>
      </c>
      <c r="H16" s="7" t="str">
        <f t="shared" si="2"/>
        <v>Kontakt_fax</v>
      </c>
      <c r="I16" s="3">
        <f t="shared" si="1"/>
        <v>1</v>
      </c>
    </row>
    <row r="17" spans="1:9" x14ac:dyDescent="0.2">
      <c r="A17" s="1" t="s">
        <v>261</v>
      </c>
      <c r="B17" s="1" t="s">
        <v>185</v>
      </c>
      <c r="C17" s="1" t="s">
        <v>247</v>
      </c>
      <c r="D17" s="1" t="s">
        <v>277</v>
      </c>
      <c r="E17" s="1" t="s">
        <v>247</v>
      </c>
      <c r="F17" t="s">
        <v>2246</v>
      </c>
      <c r="G17" s="1" t="str">
        <f t="shared" si="0"/>
        <v>Izaberite jezik | Choose language</v>
      </c>
      <c r="H17" s="7" t="str">
        <f t="shared" si="2"/>
        <v>Osnovno_Izaberite_jezik</v>
      </c>
      <c r="I17">
        <f t="shared" si="1"/>
        <v>1</v>
      </c>
    </row>
    <row r="18" spans="1:9" x14ac:dyDescent="0.2">
      <c r="A18" s="1" t="s">
        <v>261</v>
      </c>
      <c r="B18" s="1" t="s">
        <v>471</v>
      </c>
      <c r="C18" s="1" t="s">
        <v>474</v>
      </c>
      <c r="D18" s="1" t="s">
        <v>473</v>
      </c>
      <c r="E18" s="1" t="s">
        <v>472</v>
      </c>
      <c r="F18" t="s">
        <v>2247</v>
      </c>
      <c r="G18" s="7" t="str">
        <f t="shared" si="0"/>
        <v>Izvještajni period:</v>
      </c>
      <c r="H18" s="7" t="str">
        <f>SUBSTITUTE(A18&amp;"_"&amp;B18," ","_")</f>
        <v>Osnovno_Izvjestajni_period</v>
      </c>
      <c r="I18" s="3">
        <f t="shared" si="1"/>
        <v>1</v>
      </c>
    </row>
    <row r="19" spans="1:9" x14ac:dyDescent="0.2">
      <c r="A19" s="1" t="s">
        <v>261</v>
      </c>
      <c r="B19" s="1" t="s">
        <v>443</v>
      </c>
      <c r="C19" s="1" t="s">
        <v>416</v>
      </c>
      <c r="D19" s="1" t="s">
        <v>445</v>
      </c>
      <c r="E19" s="1" t="s">
        <v>423</v>
      </c>
      <c r="F19" t="s">
        <v>2248</v>
      </c>
      <c r="G19" s="7" t="str">
        <f t="shared" si="0"/>
        <v>Početak izvještajnog perioda:</v>
      </c>
      <c r="H19" s="7" t="str">
        <f t="shared" si="2"/>
        <v>Osnovno_Pocetak_perioda</v>
      </c>
      <c r="I19">
        <f t="shared" si="1"/>
        <v>1</v>
      </c>
    </row>
    <row r="20" spans="1:9" x14ac:dyDescent="0.2">
      <c r="A20" s="1" t="s">
        <v>261</v>
      </c>
      <c r="B20" s="1" t="s">
        <v>444</v>
      </c>
      <c r="C20" s="1" t="s">
        <v>415</v>
      </c>
      <c r="D20" s="1" t="s">
        <v>446</v>
      </c>
      <c r="E20" s="1" t="s">
        <v>424</v>
      </c>
      <c r="F20" t="s">
        <v>2249</v>
      </c>
      <c r="G20" s="7" t="str">
        <f t="shared" si="0"/>
        <v>Kraj izvještajnog perioda:</v>
      </c>
      <c r="H20" s="7" t="str">
        <f t="shared" si="2"/>
        <v>Osnovno_Kraj_perioda</v>
      </c>
      <c r="I20">
        <f t="shared" si="1"/>
        <v>1</v>
      </c>
    </row>
    <row r="21" spans="1:9" x14ac:dyDescent="0.2">
      <c r="A21" s="1" t="s">
        <v>261</v>
      </c>
      <c r="B21" s="1" t="s">
        <v>303</v>
      </c>
      <c r="C21" s="1" t="s">
        <v>498</v>
      </c>
      <c r="D21" s="1" t="s">
        <v>499</v>
      </c>
      <c r="E21" s="1" t="s">
        <v>500</v>
      </c>
      <c r="F21" t="s">
        <v>2250</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2251</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2252</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2253</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2254</v>
      </c>
      <c r="G25" s="7" t="str">
        <f t="shared" si="0"/>
        <v>Godišnji</v>
      </c>
      <c r="H25" s="7" t="str">
        <f t="shared" si="2"/>
        <v>Vrsta_izvjestaja_Godisnji</v>
      </c>
      <c r="I25" s="3">
        <f t="shared" si="1"/>
        <v>1</v>
      </c>
    </row>
    <row r="26" spans="1:9" x14ac:dyDescent="0.2">
      <c r="A26" s="1" t="s">
        <v>234</v>
      </c>
      <c r="B26" s="1" t="s">
        <v>494</v>
      </c>
      <c r="C26" s="1" t="s">
        <v>495</v>
      </c>
      <c r="D26" s="1" t="s">
        <v>496</v>
      </c>
      <c r="E26" s="1" t="s">
        <v>497</v>
      </c>
      <c r="F26" t="s">
        <v>2255</v>
      </c>
      <c r="G26" s="7" t="str">
        <f t="shared" si="0"/>
        <v>Specifični</v>
      </c>
      <c r="H26" s="7" t="str">
        <f>SUBSTITUTE(A26&amp;"_"&amp;B26," ","_")</f>
        <v>Vrsta_izvjestaja_Specificni</v>
      </c>
      <c r="I26" s="3">
        <f t="shared" si="1"/>
        <v>1</v>
      </c>
    </row>
    <row r="27" spans="1:9" x14ac:dyDescent="0.2">
      <c r="A27" t="s">
        <v>207</v>
      </c>
      <c r="B27" t="s">
        <v>125</v>
      </c>
      <c r="C27" t="s">
        <v>2907</v>
      </c>
      <c r="D27" t="s">
        <v>2904</v>
      </c>
      <c r="E27" t="s">
        <v>2905</v>
      </c>
      <c r="F27" t="s">
        <v>2906</v>
      </c>
      <c r="G27" t="str">
        <f t="shared" si="0"/>
        <v>Matični broj</v>
      </c>
      <c r="H27" t="str">
        <f t="shared" si="2"/>
        <v>Zaglavlje_MB</v>
      </c>
      <c r="I27">
        <f t="shared" si="1"/>
        <v>1</v>
      </c>
    </row>
    <row r="28" spans="1:9" x14ac:dyDescent="0.2">
      <c r="A28" t="s">
        <v>207</v>
      </c>
      <c r="B28" t="s">
        <v>126</v>
      </c>
      <c r="C28" t="s">
        <v>2908</v>
      </c>
      <c r="D28" t="s">
        <v>2909</v>
      </c>
      <c r="E28" t="s">
        <v>2910</v>
      </c>
      <c r="F28" t="s">
        <v>2911</v>
      </c>
      <c r="G28" t="str">
        <f t="shared" si="0"/>
        <v>Šifra djelatnosti</v>
      </c>
      <c r="H28" t="str">
        <f t="shared" si="2"/>
        <v>Zaglavlje_Sifra_djelatnosti</v>
      </c>
      <c r="I28">
        <f t="shared" si="1"/>
        <v>1</v>
      </c>
    </row>
    <row r="29" spans="1:9" x14ac:dyDescent="0.2">
      <c r="A29" t="s">
        <v>207</v>
      </c>
      <c r="B29" t="s">
        <v>127</v>
      </c>
      <c r="C29" t="s">
        <v>2933</v>
      </c>
      <c r="D29" t="s">
        <v>2934</v>
      </c>
      <c r="E29" t="s">
        <v>104</v>
      </c>
      <c r="F29" t="s">
        <v>2256</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2257</v>
      </c>
      <c r="G30" t="str">
        <f t="shared" si="0"/>
        <v>Sjedište:</v>
      </c>
      <c r="H30" t="str">
        <f t="shared" si="2"/>
        <v>Zaglavlje_Sjediste</v>
      </c>
      <c r="I30">
        <f t="shared" si="1"/>
        <v>1</v>
      </c>
    </row>
    <row r="31" spans="1:9" x14ac:dyDescent="0.2">
      <c r="A31" t="s">
        <v>207</v>
      </c>
      <c r="B31" t="s">
        <v>55</v>
      </c>
      <c r="C31" t="s">
        <v>55</v>
      </c>
      <c r="D31" t="s">
        <v>1227</v>
      </c>
      <c r="E31" t="s">
        <v>1228</v>
      </c>
      <c r="F31" t="s">
        <v>2258</v>
      </c>
      <c r="G31" t="str">
        <f t="shared" si="0"/>
        <v>JIB</v>
      </c>
      <c r="H31" t="str">
        <f t="shared" si="2"/>
        <v>Zaglavlje_JIB</v>
      </c>
      <c r="I31">
        <f t="shared" si="1"/>
        <v>1</v>
      </c>
    </row>
    <row r="32" spans="1:9" x14ac:dyDescent="0.2">
      <c r="A32" t="s">
        <v>207</v>
      </c>
      <c r="B32" t="s">
        <v>129</v>
      </c>
      <c r="C32" t="s">
        <v>1229</v>
      </c>
      <c r="D32" t="s">
        <v>1230</v>
      </c>
      <c r="E32" t="s">
        <v>107</v>
      </c>
      <c r="F32" t="s">
        <v>2259</v>
      </c>
      <c r="G32" t="str">
        <f t="shared" si="0"/>
        <v>Račun kod ovlašćene organizacije za platni promet:</v>
      </c>
      <c r="H32" t="str">
        <f t="shared" si="2"/>
        <v>Zaglavlje_Ziro_racun</v>
      </c>
      <c r="I32">
        <f t="shared" si="1"/>
        <v>1</v>
      </c>
    </row>
    <row r="33" spans="1:9" x14ac:dyDescent="0.2">
      <c r="A33" t="s">
        <v>412</v>
      </c>
      <c r="B33" t="s">
        <v>481</v>
      </c>
      <c r="C33" t="s">
        <v>478</v>
      </c>
      <c r="D33" t="s">
        <v>480</v>
      </c>
      <c r="E33" t="s">
        <v>479</v>
      </c>
      <c r="F33" t="s">
        <v>2260</v>
      </c>
      <c r="G33" s="3" t="str">
        <f t="shared" si="0"/>
        <v>Konsolidovan izvještaj:</v>
      </c>
      <c r="H33" s="3" t="str">
        <f>SUBSTITUTE(A33&amp;"_"&amp;B33," ","_")</f>
        <v>Konsolidovani_Konsolidavani_Izvjestaj</v>
      </c>
      <c r="I33" s="3">
        <f t="shared" si="1"/>
        <v>1</v>
      </c>
    </row>
    <row r="34" spans="1:9" x14ac:dyDescent="0.2">
      <c r="A34" t="s">
        <v>412</v>
      </c>
      <c r="B34" t="s">
        <v>412</v>
      </c>
      <c r="C34" t="s">
        <v>475</v>
      </c>
      <c r="D34" t="s">
        <v>477</v>
      </c>
      <c r="E34" t="s">
        <v>476</v>
      </c>
      <c r="F34" t="s">
        <v>2261</v>
      </c>
      <c r="G34" s="3" t="str">
        <f t="shared" si="0"/>
        <v>Preduzeće konsolidacije</v>
      </c>
      <c r="H34" s="3" t="str">
        <f>SUBSTITUTE(A34&amp;"_"&amp;B34," ","_")</f>
        <v>Konsolidovani_Konsolidovani</v>
      </c>
      <c r="I34" s="3">
        <f t="shared" si="1"/>
        <v>1</v>
      </c>
    </row>
    <row r="35" spans="1:9" x14ac:dyDescent="0.2">
      <c r="A35" t="s">
        <v>208</v>
      </c>
      <c r="B35" t="s">
        <v>63</v>
      </c>
      <c r="C35" t="s">
        <v>766</v>
      </c>
      <c r="D35" t="s">
        <v>114</v>
      </c>
      <c r="E35" t="s">
        <v>54</v>
      </c>
      <c r="F35" t="s">
        <v>2262</v>
      </c>
      <c r="G35" t="str">
        <f t="shared" ref="G35:G66" si="4">CHOOSE( ID_Jezik, C35, D35, E35,F35)</f>
        <v>U:</v>
      </c>
      <c r="H35" t="str">
        <f t="shared" si="2"/>
        <v>Podnozje_U</v>
      </c>
      <c r="I35">
        <f t="shared" ref="I35:I66" si="5">COUNTIF($B$2:$B$1028,"="&amp;B35)</f>
        <v>1</v>
      </c>
    </row>
    <row r="36" spans="1:9" x14ac:dyDescent="0.2">
      <c r="A36" t="s">
        <v>208</v>
      </c>
      <c r="B36" t="s">
        <v>64</v>
      </c>
      <c r="C36" t="s">
        <v>1423</v>
      </c>
      <c r="D36" t="s">
        <v>1422</v>
      </c>
      <c r="E36" t="s">
        <v>767</v>
      </c>
      <c r="F36" t="s">
        <v>2263</v>
      </c>
      <c r="G36" t="str">
        <f t="shared" si="4"/>
        <v>Dana:</v>
      </c>
      <c r="H36" t="str">
        <f t="shared" si="2"/>
        <v>Podnozje_Dana</v>
      </c>
      <c r="I36">
        <f t="shared" si="5"/>
        <v>1</v>
      </c>
    </row>
    <row r="37" spans="1:9" x14ac:dyDescent="0.2">
      <c r="A37" t="s">
        <v>208</v>
      </c>
      <c r="B37" t="s">
        <v>130</v>
      </c>
      <c r="C37" t="s">
        <v>111</v>
      </c>
      <c r="D37" t="s">
        <v>115</v>
      </c>
      <c r="E37" t="s">
        <v>457</v>
      </c>
      <c r="F37" t="s">
        <v>2264</v>
      </c>
      <c r="G37" t="str">
        <f t="shared" si="4"/>
        <v>Lice sa licencom:</v>
      </c>
      <c r="H37" t="str">
        <f t="shared" si="2"/>
        <v>Podnozje_Lice_sa_licencom</v>
      </c>
      <c r="I37">
        <f t="shared" si="5"/>
        <v>1</v>
      </c>
    </row>
    <row r="38" spans="1:9" x14ac:dyDescent="0.2">
      <c r="A38" t="s">
        <v>208</v>
      </c>
      <c r="B38" t="s">
        <v>455</v>
      </c>
      <c r="C38" t="s">
        <v>421</v>
      </c>
      <c r="D38" t="s">
        <v>456</v>
      </c>
      <c r="E38" t="s">
        <v>768</v>
      </c>
      <c r="F38" t="s">
        <v>2265</v>
      </c>
      <c r="G38" s="3" t="str">
        <f t="shared" si="4"/>
        <v>Broj licence:</v>
      </c>
      <c r="H38" s="3" t="str">
        <f>SUBSTITUTE(A38&amp;"_"&amp;B38," ","_")</f>
        <v>Podnozje_Broj_licence</v>
      </c>
      <c r="I38" s="3">
        <f t="shared" si="5"/>
        <v>1</v>
      </c>
    </row>
    <row r="39" spans="1:9" x14ac:dyDescent="0.2">
      <c r="A39" t="s">
        <v>208</v>
      </c>
      <c r="B39" t="s">
        <v>65</v>
      </c>
      <c r="C39" t="s">
        <v>765</v>
      </c>
      <c r="D39" t="s">
        <v>764</v>
      </c>
      <c r="E39" t="s">
        <v>425</v>
      </c>
      <c r="F39" t="s">
        <v>2266</v>
      </c>
      <c r="G39" t="str">
        <f t="shared" si="4"/>
        <v>Lice ovlašćeno za zastupanje:</v>
      </c>
      <c r="H39" t="str">
        <f t="shared" si="2"/>
        <v>Podnozje_Direktor</v>
      </c>
      <c r="I39">
        <f t="shared" si="5"/>
        <v>1</v>
      </c>
    </row>
    <row r="40" spans="1:9" x14ac:dyDescent="0.2">
      <c r="A40" t="s">
        <v>208</v>
      </c>
      <c r="B40" t="s">
        <v>131</v>
      </c>
      <c r="C40" t="s">
        <v>112</v>
      </c>
      <c r="D40" t="s">
        <v>116</v>
      </c>
      <c r="E40" t="s">
        <v>201</v>
      </c>
      <c r="F40" t="s">
        <v>116</v>
      </c>
      <c r="G40" t="str">
        <f t="shared" si="4"/>
        <v>(M.P.)</v>
      </c>
      <c r="H40" t="str">
        <f t="shared" si="2"/>
        <v>Podnozje_MP</v>
      </c>
      <c r="I40">
        <f t="shared" si="5"/>
        <v>1</v>
      </c>
    </row>
    <row r="41" spans="1:9" x14ac:dyDescent="0.2">
      <c r="A41" t="s">
        <v>110</v>
      </c>
      <c r="B41" t="s">
        <v>792</v>
      </c>
      <c r="C41" t="s">
        <v>793</v>
      </c>
      <c r="D41" t="s">
        <v>794</v>
      </c>
      <c r="E41" t="s">
        <v>795</v>
      </c>
      <c r="F41" t="s">
        <v>2267</v>
      </c>
      <c r="G41" s="3" t="str">
        <f t="shared" si="4"/>
        <v xml:space="preserve">Konsolidovani </v>
      </c>
      <c r="H41" t="str">
        <f t="shared" si="2"/>
        <v>Nazivi_bilansa_Konsolidovani_naziv</v>
      </c>
      <c r="I41">
        <f t="shared" si="5"/>
        <v>1</v>
      </c>
    </row>
    <row r="42" spans="1:9" x14ac:dyDescent="0.2">
      <c r="A42" t="s">
        <v>110</v>
      </c>
      <c r="B42" t="s">
        <v>132</v>
      </c>
      <c r="C42" t="s">
        <v>16</v>
      </c>
      <c r="D42" t="s">
        <v>117</v>
      </c>
      <c r="E42" t="s">
        <v>14</v>
      </c>
      <c r="F42" t="s">
        <v>2268</v>
      </c>
      <c r="G42" t="str">
        <f t="shared" si="4"/>
        <v>Bilans stanja</v>
      </c>
      <c r="H42" t="str">
        <f t="shared" si="2"/>
        <v>Nazivi_bilansa_BS</v>
      </c>
      <c r="I42">
        <f t="shared" si="5"/>
        <v>1</v>
      </c>
    </row>
    <row r="43" spans="1:9" x14ac:dyDescent="0.2">
      <c r="A43" t="s">
        <v>110</v>
      </c>
      <c r="B43" t="s">
        <v>150</v>
      </c>
      <c r="C43" t="s">
        <v>156</v>
      </c>
      <c r="D43" t="s">
        <v>186</v>
      </c>
      <c r="E43" t="s">
        <v>202</v>
      </c>
      <c r="F43" t="s">
        <v>2269</v>
      </c>
      <c r="G43" s="3" t="str">
        <f t="shared" si="4"/>
        <v>(Izvještaj o finansijskom položaju)</v>
      </c>
      <c r="H43" s="3" t="str">
        <f t="shared" si="2"/>
        <v>Nazivi_bilansa_BS1</v>
      </c>
      <c r="I43" s="3">
        <f t="shared" si="5"/>
        <v>1</v>
      </c>
    </row>
    <row r="44" spans="1:9" x14ac:dyDescent="0.2">
      <c r="A44" t="s">
        <v>110</v>
      </c>
      <c r="B44" t="s">
        <v>255</v>
      </c>
      <c r="C44" t="s">
        <v>17</v>
      </c>
      <c r="D44" t="s">
        <v>118</v>
      </c>
      <c r="E44" t="s">
        <v>15</v>
      </c>
      <c r="F44" t="s">
        <v>2270</v>
      </c>
      <c r="G44" t="str">
        <f t="shared" si="4"/>
        <v>Bilans uspjeha</v>
      </c>
      <c r="H44" t="str">
        <f t="shared" si="2"/>
        <v>Nazivi_bilansa_BUa</v>
      </c>
      <c r="I44">
        <f t="shared" si="5"/>
        <v>1</v>
      </c>
    </row>
    <row r="45" spans="1:9" x14ac:dyDescent="0.2">
      <c r="A45" t="s">
        <v>110</v>
      </c>
      <c r="B45" t="s">
        <v>263</v>
      </c>
      <c r="C45" t="s">
        <v>154</v>
      </c>
      <c r="D45" t="s">
        <v>187</v>
      </c>
      <c r="E45" t="s">
        <v>309</v>
      </c>
      <c r="F45" t="s">
        <v>2271</v>
      </c>
      <c r="G45" s="3" t="str">
        <f t="shared" si="4"/>
        <v>(Izvještaj o ukupnom rezultatu u periodu)</v>
      </c>
      <c r="H45" s="3" t="str">
        <f t="shared" si="2"/>
        <v>Nazivi_bilansa_BUa1</v>
      </c>
      <c r="I45" s="3">
        <f t="shared" si="5"/>
        <v>1</v>
      </c>
    </row>
    <row r="46" spans="1:9" x14ac:dyDescent="0.2">
      <c r="A46" t="s">
        <v>110</v>
      </c>
      <c r="B46" t="s">
        <v>264</v>
      </c>
      <c r="C46" t="s">
        <v>266</v>
      </c>
      <c r="D46" t="s">
        <v>275</v>
      </c>
      <c r="E46" t="s">
        <v>310</v>
      </c>
      <c r="F46" t="s">
        <v>2272</v>
      </c>
      <c r="G46" s="3" t="str">
        <f t="shared" si="4"/>
        <v>Izvještaj</v>
      </c>
      <c r="H46" s="3" t="str">
        <f>SUBSTITUTE(A46&amp;"_"&amp;B46," ","_")</f>
        <v>Nazivi_bilansa_BUb</v>
      </c>
      <c r="I46" s="3">
        <f t="shared" si="5"/>
        <v>1</v>
      </c>
    </row>
    <row r="47" spans="1:9" x14ac:dyDescent="0.2">
      <c r="A47" t="s">
        <v>110</v>
      </c>
      <c r="B47" t="s">
        <v>265</v>
      </c>
      <c r="C47" t="s">
        <v>2360</v>
      </c>
      <c r="D47" t="s">
        <v>2361</v>
      </c>
      <c r="E47" t="s">
        <v>342</v>
      </c>
      <c r="F47" t="s">
        <v>2273</v>
      </c>
      <c r="G47" s="3" t="str">
        <f t="shared" si="4"/>
        <v>o ostalom rezultatu u periodu</v>
      </c>
      <c r="H47" s="3" t="str">
        <f>SUBSTITUTE(A47&amp;"_"&amp;B47," ","_")</f>
        <v>Nazivi_bilansa_BUb1</v>
      </c>
      <c r="I47" s="3">
        <f t="shared" si="5"/>
        <v>1</v>
      </c>
    </row>
    <row r="48" spans="1:9" x14ac:dyDescent="0.2">
      <c r="A48" t="s">
        <v>110</v>
      </c>
      <c r="B48" t="s">
        <v>133</v>
      </c>
      <c r="C48" t="s">
        <v>18</v>
      </c>
      <c r="D48" t="s">
        <v>119</v>
      </c>
      <c r="E48" t="s">
        <v>24</v>
      </c>
      <c r="F48" t="s">
        <v>2274</v>
      </c>
      <c r="G48" t="str">
        <f t="shared" si="4"/>
        <v>Bilans tokova gotovine</v>
      </c>
      <c r="H48" t="str">
        <f t="shared" si="2"/>
        <v>Nazivi_bilansa_BTG</v>
      </c>
      <c r="I48">
        <f t="shared" si="5"/>
        <v>1</v>
      </c>
    </row>
    <row r="49" spans="1:9" x14ac:dyDescent="0.2">
      <c r="A49" t="s">
        <v>110</v>
      </c>
      <c r="B49" t="s">
        <v>153</v>
      </c>
      <c r="C49" t="s">
        <v>155</v>
      </c>
      <c r="D49" t="s">
        <v>188</v>
      </c>
      <c r="E49" t="s">
        <v>311</v>
      </c>
      <c r="F49" t="s">
        <v>2275</v>
      </c>
      <c r="G49" s="3" t="str">
        <f t="shared" si="4"/>
        <v>(Izvještaj o tokovima gotovine)</v>
      </c>
      <c r="H49" s="3" t="str">
        <f t="shared" ref="H49:H80" si="6">SUBSTITUTE(A49&amp;"_"&amp;B49," ","_")</f>
        <v>Nazivi_bilansa_BTG1</v>
      </c>
      <c r="I49" s="3">
        <f t="shared" si="5"/>
        <v>1</v>
      </c>
    </row>
    <row r="50" spans="1:9" x14ac:dyDescent="0.2">
      <c r="A50" t="s">
        <v>110</v>
      </c>
      <c r="B50" t="s">
        <v>134</v>
      </c>
      <c r="C50" t="s">
        <v>134</v>
      </c>
      <c r="D50" t="s">
        <v>189</v>
      </c>
      <c r="E50" t="s">
        <v>170</v>
      </c>
      <c r="F50" t="s">
        <v>2276</v>
      </c>
      <c r="G50" t="str">
        <f t="shared" si="4"/>
        <v>Aneks</v>
      </c>
      <c r="H50" t="str">
        <f t="shared" si="6"/>
        <v>Nazivi_bilansa_Aneks</v>
      </c>
      <c r="I50">
        <f t="shared" si="5"/>
        <v>1</v>
      </c>
    </row>
    <row r="51" spans="1:9" x14ac:dyDescent="0.2">
      <c r="A51" t="s">
        <v>110</v>
      </c>
      <c r="B51" t="s">
        <v>152</v>
      </c>
      <c r="C51" t="s">
        <v>151</v>
      </c>
      <c r="D51" t="s">
        <v>158</v>
      </c>
      <c r="E51" t="s">
        <v>157</v>
      </c>
      <c r="F51" t="s">
        <v>2277</v>
      </c>
      <c r="G51" s="3" t="str">
        <f t="shared" si="4"/>
        <v>(Dodatni računovodstveni izvještaj)</v>
      </c>
      <c r="H51" s="3" t="str">
        <f t="shared" si="6"/>
        <v>Nazivi_bilansa_Aneks1</v>
      </c>
      <c r="I51" s="3">
        <f t="shared" si="5"/>
        <v>1</v>
      </c>
    </row>
    <row r="52" spans="1:9" x14ac:dyDescent="0.2">
      <c r="A52" t="s">
        <v>110</v>
      </c>
      <c r="B52" t="s">
        <v>135</v>
      </c>
      <c r="C52" t="s">
        <v>1747</v>
      </c>
      <c r="D52" t="s">
        <v>2362</v>
      </c>
      <c r="E52" t="s">
        <v>28</v>
      </c>
      <c r="F52" t="s">
        <v>2278</v>
      </c>
      <c r="G52" t="str">
        <f t="shared" si="4"/>
        <v>IZVJEŠTAJ O PROMJENAMA NA KAPITALU</v>
      </c>
      <c r="H52" t="str">
        <f t="shared" si="6"/>
        <v>Nazivi_bilansa_BPK</v>
      </c>
      <c r="I52">
        <f t="shared" si="5"/>
        <v>1</v>
      </c>
    </row>
    <row r="53" spans="1:9" x14ac:dyDescent="0.2">
      <c r="A53" t="s">
        <v>260</v>
      </c>
      <c r="B53" t="s">
        <v>147</v>
      </c>
      <c r="C53" s="54" t="str">
        <f>CONCATENATE("na dan ",Datum_Format," godine")</f>
        <v>na dan 31.12.2025. godine</v>
      </c>
      <c r="D53" s="54" t="str">
        <f>CONCATENATE("нa дaн ",Datum_Format," гoдинe")</f>
        <v>нa дaн 31.12.2025. гoдинe</v>
      </c>
      <c r="E53" s="54" t="str">
        <f>CONCATENATE("date ",Datum_Format)</f>
        <v>date 31.12.2025.</v>
      </c>
      <c r="F53" s="54" t="str">
        <f>CONCATENATE("на дату ",Datum_Format," года")</f>
        <v>на дату 31.12.2025. года</v>
      </c>
      <c r="G53" s="3" t="str">
        <f t="shared" si="4"/>
        <v>na dan 31.12.2025. godine</v>
      </c>
      <c r="H53" s="3" t="str">
        <f t="shared" si="6"/>
        <v>Datumi_Datum_BS</v>
      </c>
      <c r="I53" s="3">
        <f t="shared" si="5"/>
        <v>1</v>
      </c>
    </row>
    <row r="54" spans="1:9" x14ac:dyDescent="0.2">
      <c r="A54" t="s">
        <v>260</v>
      </c>
      <c r="B54" t="s">
        <v>148</v>
      </c>
      <c r="C54" s="54" t="str">
        <f>CONCATENATE("za period od 01.01. do ",Datum_Format," godine")</f>
        <v>za period od 01.01. do 31.12.2025. godine</v>
      </c>
      <c r="D54" s="54" t="str">
        <f>CONCATENATE("зa пeриoд oд 01.01. дo ",Datum_Format," гoдинe")</f>
        <v>зa пeриoд oд 01.01. дo 31.12.2025. гoдинe</v>
      </c>
      <c r="E54" s="54" t="str">
        <f>CONCATENATE("from 01.01. to ",Datum_Format)</f>
        <v>from 01.01. to 31.12.2025.</v>
      </c>
      <c r="F54" s="54" t="str">
        <f>CONCATENATE("за период с 01.01. to ",Datum_Format," года")</f>
        <v>за период с 01.01. to 31.12.2025. года</v>
      </c>
      <c r="G54" s="3" t="str">
        <f t="shared" si="4"/>
        <v>za period od 01.01. do 31.12.2025. godine</v>
      </c>
      <c r="H54" s="3" t="str">
        <f t="shared" si="6"/>
        <v>Datumi_Datum_BU</v>
      </c>
      <c r="I54" s="3">
        <f t="shared" si="5"/>
        <v>1</v>
      </c>
    </row>
    <row r="55" spans="1:9" x14ac:dyDescent="0.2">
      <c r="A55" t="s">
        <v>260</v>
      </c>
      <c r="B55" t="s">
        <v>149</v>
      </c>
      <c r="C55" s="54" t="str">
        <f>CONCATENATE("za period od 01.01. do ",Datum_Format," godine")</f>
        <v>za period od 01.01. do 31.12.2025. godine</v>
      </c>
      <c r="D55" s="54" t="str">
        <f>CONCATENATE("зa пeриoд oд 01.01. дo ",Datum_Format," гoдинe")</f>
        <v>зa пeриoд oд 01.01. дo 31.12.2025. гoдинe</v>
      </c>
      <c r="E55" s="54" t="str">
        <f>CONCATENATE("from 01.01. to ",Datum_Format)</f>
        <v>from 01.01. to 31.12.2025.</v>
      </c>
      <c r="F55" s="54" t="str">
        <f>CONCATENATE("за период с 01.01. to ",Datum_Format," года")</f>
        <v>за период с 01.01. to 31.12.2025. года</v>
      </c>
      <c r="G55" s="3" t="str">
        <f t="shared" si="4"/>
        <v>za period od 01.01. do 31.12.2025. godine</v>
      </c>
      <c r="H55" s="3" t="str">
        <f t="shared" si="6"/>
        <v>Datumi_Datum_BTG</v>
      </c>
      <c r="I55" s="3">
        <f t="shared" si="5"/>
        <v>1</v>
      </c>
    </row>
    <row r="56" spans="1:9" x14ac:dyDescent="0.2">
      <c r="A56" t="s">
        <v>260</v>
      </c>
      <c r="B56" t="s">
        <v>159</v>
      </c>
      <c r="C56" s="54" t="str">
        <f>CONCATENATE("od 01.01. do ",Datum_Format," godine")</f>
        <v>od 01.01. do 31.12.2025. godine</v>
      </c>
      <c r="D56" s="54" t="str">
        <f>CONCATENATE("oд 01.01. дo ",Datum_Format," гoдинe")</f>
        <v>oд 01.01. дo 31.12.2025. гoдинe</v>
      </c>
      <c r="E56" s="54" t="str">
        <f>CONCATENATE("from 01.01. to ",Datum_Format)</f>
        <v>from 01.01. to 31.12.2025.</v>
      </c>
      <c r="F56" s="54" t="str">
        <f>CONCATENATE("с 01.01. to ",Datum_Format," года")</f>
        <v>с 01.01. to 31.12.2025. года</v>
      </c>
      <c r="G56" s="3" t="str">
        <f t="shared" si="4"/>
        <v>od 01.01. do 31.12.2025. godine</v>
      </c>
      <c r="H56" s="3" t="str">
        <f t="shared" si="6"/>
        <v>Datumi_Datum_ODGP</v>
      </c>
      <c r="I56" s="3">
        <f t="shared" si="5"/>
        <v>1</v>
      </c>
    </row>
    <row r="57" spans="1:9" x14ac:dyDescent="0.2">
      <c r="A57" t="s">
        <v>260</v>
      </c>
      <c r="B57" t="s">
        <v>160</v>
      </c>
      <c r="C57" s="54" t="str">
        <f>CONCATENATE("za period od 01.01. do ",Datum_Format," godine")</f>
        <v>za period od 01.01. do 31.12.2025. godine</v>
      </c>
      <c r="D57" s="54" t="str">
        <f>CONCATENATE("зa пeриoд oд 01.01. дo ",Datum_Format," гoдинe")</f>
        <v>зa пeриoд oд 01.01. дo 31.12.2025. гoдинe</v>
      </c>
      <c r="E57" s="54" t="str">
        <f>CONCATENATE("from 01.01. to ",Datum_Format)</f>
        <v>from 01.01. to 31.12.2025.</v>
      </c>
      <c r="F57" s="54" t="str">
        <f>CONCATENATE("за период с 01.01. to ",Datum_Format," года")</f>
        <v>за период с 01.01. to 31.12.2025. года</v>
      </c>
      <c r="G57" s="3" t="str">
        <f t="shared" si="4"/>
        <v>za period od 01.01. do 31.12.2025. godine</v>
      </c>
      <c r="H57" s="3" t="str">
        <f t="shared" si="6"/>
        <v>Datumi_Datum_Aneks</v>
      </c>
      <c r="I57" s="3">
        <f t="shared" si="5"/>
        <v>1</v>
      </c>
    </row>
    <row r="58" spans="1:9" x14ac:dyDescent="0.2">
      <c r="A58" t="s">
        <v>260</v>
      </c>
      <c r="B58" t="s">
        <v>173</v>
      </c>
      <c r="C58" s="54" t="str">
        <f>CONCATENATE("za period koji se završava na dan ",Datum_Format," godine")</f>
        <v>za period koji se završava na dan 31.12.2025. godine</v>
      </c>
      <c r="D58" s="54" t="str">
        <f>CONCATENATE("зa пeриoд кojи сe зaвршaвa нa дaн ",Datum_Format," гoдинe")</f>
        <v>зa пeриoд кojи сe зaвршaвa нa дaн 31.12.2025. гoдинe</v>
      </c>
      <c r="E58" s="54" t="str">
        <f>CONCATENATE("for period ending ",Datum_Format)</f>
        <v>for period ending 31.12.2025.</v>
      </c>
      <c r="F58" s="54" t="str">
        <f>CONCATENATE("за период, закончившийся на дату ",Datum_Format," года")</f>
        <v>за период, закончившийся на дату 31.12.2025. года</v>
      </c>
      <c r="G58" s="3" t="str">
        <f t="shared" si="4"/>
        <v>za period koji se završava na dan 31.12.2025. godine</v>
      </c>
      <c r="H58" s="3" t="str">
        <f t="shared" si="6"/>
        <v>Datumi_Datum_BPK</v>
      </c>
      <c r="I58" s="3">
        <f t="shared" si="5"/>
        <v>1</v>
      </c>
    </row>
    <row r="59" spans="1:9" x14ac:dyDescent="0.2">
      <c r="A59" t="s">
        <v>161</v>
      </c>
      <c r="B59" t="s">
        <v>167</v>
      </c>
      <c r="C59" t="s">
        <v>171</v>
      </c>
      <c r="D59" t="s">
        <v>190</v>
      </c>
      <c r="E59" t="s">
        <v>203</v>
      </c>
      <c r="F59" t="s">
        <v>2279</v>
      </c>
      <c r="G59" s="3" t="str">
        <f t="shared" si="4"/>
        <v>Uputstvo za popunjavanje</v>
      </c>
      <c r="H59" s="3" t="str">
        <f t="shared" si="6"/>
        <v>Linkovi_Link_Uputstvo</v>
      </c>
      <c r="I59" s="3">
        <f t="shared" si="5"/>
        <v>1</v>
      </c>
    </row>
    <row r="60" spans="1:9" x14ac:dyDescent="0.2">
      <c r="A60" t="s">
        <v>161</v>
      </c>
      <c r="B60" t="s">
        <v>168</v>
      </c>
      <c r="C60" t="s">
        <v>172</v>
      </c>
      <c r="D60" t="s">
        <v>191</v>
      </c>
      <c r="E60" t="s">
        <v>204</v>
      </c>
      <c r="F60" t="s">
        <v>2280</v>
      </c>
      <c r="G60" s="3" t="str">
        <f t="shared" si="4"/>
        <v>Osnovni podaci</v>
      </c>
      <c r="H60" s="3" t="str">
        <f t="shared" si="6"/>
        <v>Linkovi_Link_Osnovni_podaci</v>
      </c>
      <c r="I60" s="3">
        <f t="shared" si="5"/>
        <v>1</v>
      </c>
    </row>
    <row r="61" spans="1:9" x14ac:dyDescent="0.2">
      <c r="A61" t="s">
        <v>161</v>
      </c>
      <c r="B61" t="s">
        <v>162</v>
      </c>
      <c r="C61" t="s">
        <v>315</v>
      </c>
      <c r="D61" t="s">
        <v>321</v>
      </c>
      <c r="E61" t="s">
        <v>327</v>
      </c>
      <c r="F61" t="s">
        <v>2281</v>
      </c>
      <c r="G61" s="3" t="str">
        <f t="shared" si="4"/>
        <v>01) Bilans stanja</v>
      </c>
      <c r="H61" s="3" t="str">
        <f t="shared" si="6"/>
        <v>Linkovi_Link_BS</v>
      </c>
      <c r="I61" s="3">
        <f t="shared" si="5"/>
        <v>1</v>
      </c>
    </row>
    <row r="62" spans="1:9" x14ac:dyDescent="0.2">
      <c r="A62" t="s">
        <v>161</v>
      </c>
      <c r="B62" t="s">
        <v>163</v>
      </c>
      <c r="C62" t="s">
        <v>316</v>
      </c>
      <c r="D62" t="s">
        <v>322</v>
      </c>
      <c r="E62" t="s">
        <v>328</v>
      </c>
      <c r="F62" t="s">
        <v>2282</v>
      </c>
      <c r="G62" s="3" t="str">
        <f t="shared" si="4"/>
        <v>02a) Bilans uspjeha</v>
      </c>
      <c r="H62" s="3" t="str">
        <f t="shared" si="6"/>
        <v>Linkovi_Link_BU</v>
      </c>
      <c r="I62" s="3">
        <f t="shared" si="5"/>
        <v>1</v>
      </c>
    </row>
    <row r="63" spans="1:9" x14ac:dyDescent="0.2">
      <c r="A63" t="s">
        <v>161</v>
      </c>
      <c r="B63" t="s">
        <v>165</v>
      </c>
      <c r="C63" t="s">
        <v>317</v>
      </c>
      <c r="D63" t="s">
        <v>323</v>
      </c>
      <c r="E63" t="s">
        <v>343</v>
      </c>
      <c r="F63" t="s">
        <v>2283</v>
      </c>
      <c r="G63" s="3" t="str">
        <f t="shared" si="4"/>
        <v>02b) Izvještaj o ostalim dobicima i gubicima u periodu</v>
      </c>
      <c r="H63" s="3" t="str">
        <f t="shared" si="6"/>
        <v>Linkovi_Link_ODGP</v>
      </c>
      <c r="I63" s="3">
        <f t="shared" si="5"/>
        <v>1</v>
      </c>
    </row>
    <row r="64" spans="1:9" x14ac:dyDescent="0.2">
      <c r="A64" t="s">
        <v>161</v>
      </c>
      <c r="B64" t="s">
        <v>164</v>
      </c>
      <c r="C64" t="s">
        <v>318</v>
      </c>
      <c r="D64" t="s">
        <v>324</v>
      </c>
      <c r="E64" t="s">
        <v>329</v>
      </c>
      <c r="F64" t="s">
        <v>2284</v>
      </c>
      <c r="G64" s="3" t="str">
        <f t="shared" si="4"/>
        <v>03) Bilans tokova gotovine</v>
      </c>
      <c r="H64" s="3" t="str">
        <f t="shared" si="6"/>
        <v>Linkovi_Link_BTG</v>
      </c>
      <c r="I64" s="3">
        <f t="shared" si="5"/>
        <v>1</v>
      </c>
    </row>
    <row r="65" spans="1:9" x14ac:dyDescent="0.2">
      <c r="A65" t="s">
        <v>161</v>
      </c>
      <c r="B65" t="s">
        <v>169</v>
      </c>
      <c r="C65" t="s">
        <v>319</v>
      </c>
      <c r="D65" t="s">
        <v>325</v>
      </c>
      <c r="E65" t="s">
        <v>330</v>
      </c>
      <c r="F65" t="s">
        <v>2285</v>
      </c>
      <c r="G65" s="3" t="str">
        <f t="shared" si="4"/>
        <v>04) Aneks</v>
      </c>
      <c r="H65" s="3" t="str">
        <f t="shared" si="6"/>
        <v>Linkovi_Link_Aneks</v>
      </c>
      <c r="I65" s="3">
        <f t="shared" si="5"/>
        <v>1</v>
      </c>
    </row>
    <row r="66" spans="1:9" x14ac:dyDescent="0.2">
      <c r="A66" t="s">
        <v>161</v>
      </c>
      <c r="B66" t="s">
        <v>166</v>
      </c>
      <c r="C66" t="s">
        <v>320</v>
      </c>
      <c r="D66" t="s">
        <v>326</v>
      </c>
      <c r="E66" t="s">
        <v>331</v>
      </c>
      <c r="F66" t="s">
        <v>2286</v>
      </c>
      <c r="G66" s="3" t="str">
        <f t="shared" si="4"/>
        <v>05) Izvještaj o promjenama u kapitalu</v>
      </c>
      <c r="H66" s="3" t="str">
        <f t="shared" si="6"/>
        <v>Linkovi_Link_BPK</v>
      </c>
      <c r="I66" s="3">
        <f t="shared" si="5"/>
        <v>1</v>
      </c>
    </row>
    <row r="67" spans="1:9" x14ac:dyDescent="0.2">
      <c r="A67" t="s">
        <v>262</v>
      </c>
      <c r="B67" t="s">
        <v>137</v>
      </c>
      <c r="C67" t="s">
        <v>68</v>
      </c>
      <c r="D67" t="s">
        <v>192</v>
      </c>
      <c r="E67" t="s">
        <v>19</v>
      </c>
      <c r="F67" t="s">
        <v>2287</v>
      </c>
      <c r="G67" s="3" t="str">
        <f t="shared" ref="G67:G98" si="7">CHOOSE( ID_Jezik, C67, D67, E67,F67)</f>
        <v>Grupa računa, račun</v>
      </c>
      <c r="H67" s="3" t="str">
        <f t="shared" si="6"/>
        <v>Tabele_zaglavlje_Grupa_racuna</v>
      </c>
      <c r="I67">
        <f t="shared" ref="I67:I102" si="8">COUNTIF($B$2:$B$1028,"="&amp;B67)</f>
        <v>1</v>
      </c>
    </row>
    <row r="68" spans="1:9" x14ac:dyDescent="0.2">
      <c r="A68" t="s">
        <v>262</v>
      </c>
      <c r="B68" t="s">
        <v>138</v>
      </c>
      <c r="C68" t="s">
        <v>761</v>
      </c>
      <c r="D68" t="s">
        <v>762</v>
      </c>
      <c r="E68" t="s">
        <v>763</v>
      </c>
      <c r="F68" t="s">
        <v>2288</v>
      </c>
      <c r="G68" s="3" t="str">
        <f t="shared" si="7"/>
        <v>POZICIJA</v>
      </c>
      <c r="H68" s="3" t="str">
        <f t="shared" si="6"/>
        <v>Tabele_zaglavlje_Pozicija</v>
      </c>
      <c r="I68">
        <f t="shared" si="8"/>
        <v>1</v>
      </c>
    </row>
    <row r="69" spans="1:9" x14ac:dyDescent="0.2">
      <c r="A69" t="s">
        <v>262</v>
      </c>
      <c r="B69" t="s">
        <v>1074</v>
      </c>
      <c r="C69" t="s">
        <v>1074</v>
      </c>
      <c r="D69" t="s">
        <v>1075</v>
      </c>
      <c r="E69" t="s">
        <v>1076</v>
      </c>
      <c r="F69" t="s">
        <v>2317</v>
      </c>
      <c r="G69" s="3" t="str">
        <f>CHOOSE( ID_Jezik, C69, D69, E69,F69)</f>
        <v>Napomena</v>
      </c>
      <c r="H69" s="3" t="str">
        <f>SUBSTITUTE(A69&amp;"_"&amp;B69," ","_")</f>
        <v>Tabele_zaglavlje_Napomena</v>
      </c>
      <c r="I69">
        <f t="shared" si="8"/>
        <v>1</v>
      </c>
    </row>
    <row r="70" spans="1:9" x14ac:dyDescent="0.2">
      <c r="A70" t="s">
        <v>262</v>
      </c>
      <c r="B70" t="s">
        <v>139</v>
      </c>
      <c r="C70" t="s">
        <v>56</v>
      </c>
      <c r="D70" t="s">
        <v>193</v>
      </c>
      <c r="E70" t="s">
        <v>74</v>
      </c>
      <c r="F70" t="s">
        <v>2318</v>
      </c>
      <c r="G70" s="3" t="str">
        <f t="shared" si="7"/>
        <v>Oznaka za AOP</v>
      </c>
      <c r="H70" s="3" t="str">
        <f t="shared" si="6"/>
        <v>Tabele_zaglavlje_Oznaka_aop</v>
      </c>
      <c r="I70">
        <f t="shared" si="8"/>
        <v>1</v>
      </c>
    </row>
    <row r="71" spans="1:9" x14ac:dyDescent="0.2">
      <c r="A71" t="s">
        <v>262</v>
      </c>
      <c r="B71" t="s">
        <v>269</v>
      </c>
      <c r="C71" t="s">
        <v>270</v>
      </c>
      <c r="D71" t="s">
        <v>276</v>
      </c>
      <c r="E71" t="s">
        <v>271</v>
      </c>
      <c r="F71" t="s">
        <v>2289</v>
      </c>
      <c r="G71" s="3" t="str">
        <f t="shared" si="7"/>
        <v>Redni broj</v>
      </c>
      <c r="H71" s="3" t="str">
        <f>SUBSTITUTE(A71&amp;"_"&amp;B71," ","_")</f>
        <v>Tabele_zaglavlje_Redni_broj</v>
      </c>
      <c r="I71" s="3">
        <f t="shared" si="8"/>
        <v>1</v>
      </c>
    </row>
    <row r="72" spans="1:9" x14ac:dyDescent="0.2">
      <c r="A72" t="s">
        <v>262</v>
      </c>
      <c r="B72" t="s">
        <v>142</v>
      </c>
      <c r="C72" t="s">
        <v>79</v>
      </c>
      <c r="D72" t="s">
        <v>194</v>
      </c>
      <c r="E72" t="s">
        <v>75</v>
      </c>
      <c r="F72" t="s">
        <v>2290</v>
      </c>
      <c r="G72" s="3" t="str">
        <f t="shared" si="7"/>
        <v>Iznos na dan bilansa tekuće godine</v>
      </c>
      <c r="H72" s="3" t="str">
        <f t="shared" si="6"/>
        <v>Tabele_zaglavlje_BS_iznos_tekuca</v>
      </c>
      <c r="I72">
        <f t="shared" si="8"/>
        <v>1</v>
      </c>
    </row>
    <row r="73" spans="1:9" x14ac:dyDescent="0.2">
      <c r="A73" t="s">
        <v>262</v>
      </c>
      <c r="B73" t="s">
        <v>258</v>
      </c>
      <c r="C73" t="s">
        <v>69</v>
      </c>
      <c r="D73" t="s">
        <v>195</v>
      </c>
      <c r="E73" t="s">
        <v>77</v>
      </c>
      <c r="F73" t="s">
        <v>2291</v>
      </c>
      <c r="G73" s="3" t="str">
        <f t="shared" si="7"/>
        <v>Bruto</v>
      </c>
      <c r="H73" s="3" t="str">
        <f t="shared" si="6"/>
        <v>Tabele_zaglavlje_BS_bruto</v>
      </c>
      <c r="I73">
        <f t="shared" si="8"/>
        <v>1</v>
      </c>
    </row>
    <row r="74" spans="1:9" x14ac:dyDescent="0.2">
      <c r="A74" t="s">
        <v>262</v>
      </c>
      <c r="B74" t="s">
        <v>259</v>
      </c>
      <c r="C74" t="s">
        <v>70</v>
      </c>
      <c r="D74" t="s">
        <v>196</v>
      </c>
      <c r="E74" t="s">
        <v>78</v>
      </c>
      <c r="F74" t="s">
        <v>2292</v>
      </c>
      <c r="G74" s="3" t="str">
        <f t="shared" si="7"/>
        <v>Ispravka vrijednosti</v>
      </c>
      <c r="H74" s="3" t="str">
        <f t="shared" si="6"/>
        <v>Tabele_zaglavlje_BS_ispravka</v>
      </c>
      <c r="I74">
        <f t="shared" si="8"/>
        <v>1</v>
      </c>
    </row>
    <row r="75" spans="1:9" x14ac:dyDescent="0.2">
      <c r="A75" t="s">
        <v>262</v>
      </c>
      <c r="B75" t="s">
        <v>141</v>
      </c>
      <c r="C75" t="s">
        <v>3031</v>
      </c>
      <c r="D75" t="s">
        <v>3028</v>
      </c>
      <c r="E75" t="s">
        <v>3029</v>
      </c>
      <c r="F75" t="s">
        <v>3030</v>
      </c>
      <c r="G75" s="3" t="str">
        <f t="shared" si="7"/>
        <v>Neto (5-6)</v>
      </c>
      <c r="H75" s="3" t="str">
        <f t="shared" si="6"/>
        <v>Tabele_zaglavlje_BS_neto</v>
      </c>
      <c r="I75">
        <f t="shared" si="8"/>
        <v>1</v>
      </c>
    </row>
    <row r="76" spans="1:9" x14ac:dyDescent="0.2">
      <c r="A76" t="s">
        <v>262</v>
      </c>
      <c r="B76" t="s">
        <v>143</v>
      </c>
      <c r="C76" t="s">
        <v>507</v>
      </c>
      <c r="D76" t="s">
        <v>508</v>
      </c>
      <c r="E76" t="s">
        <v>76</v>
      </c>
      <c r="F76" t="s">
        <v>2293</v>
      </c>
      <c r="G76" s="3" t="str">
        <f t="shared" si="7"/>
        <v>Iznos na dan bilansa prethodne godine (PS)</v>
      </c>
      <c r="H76" s="3" t="str">
        <f t="shared" si="6"/>
        <v>Tabele_zaglavlje_BS_iznos_prethodna</v>
      </c>
      <c r="I76">
        <f t="shared" si="8"/>
        <v>1</v>
      </c>
    </row>
    <row r="77" spans="1:9" x14ac:dyDescent="0.2">
      <c r="A77" t="s">
        <v>262</v>
      </c>
      <c r="B77" t="s">
        <v>60</v>
      </c>
      <c r="C77" t="s">
        <v>60</v>
      </c>
      <c r="D77" t="s">
        <v>197</v>
      </c>
      <c r="E77" t="s">
        <v>50</v>
      </c>
      <c r="F77" t="s">
        <v>2294</v>
      </c>
      <c r="G77" s="3" t="str">
        <f t="shared" si="7"/>
        <v>Iznos</v>
      </c>
      <c r="H77" s="3" t="str">
        <f t="shared" si="6"/>
        <v>Tabele_zaglavlje_Iznos</v>
      </c>
      <c r="I77" s="3">
        <f t="shared" si="8"/>
        <v>1</v>
      </c>
    </row>
    <row r="78" spans="1:9" x14ac:dyDescent="0.2">
      <c r="A78" t="s">
        <v>262</v>
      </c>
      <c r="B78" t="s">
        <v>145</v>
      </c>
      <c r="C78" t="s">
        <v>61</v>
      </c>
      <c r="D78" t="s">
        <v>198</v>
      </c>
      <c r="E78" t="s">
        <v>51</v>
      </c>
      <c r="F78" t="s">
        <v>2295</v>
      </c>
      <c r="G78" s="3" t="str">
        <f t="shared" si="7"/>
        <v>Tekuća godina</v>
      </c>
      <c r="H78" s="3" t="str">
        <f t="shared" si="6"/>
        <v>Tabele_zaglavlje_Tekuca_godina</v>
      </c>
      <c r="I78">
        <f t="shared" si="8"/>
        <v>1</v>
      </c>
    </row>
    <row r="79" spans="1:9" x14ac:dyDescent="0.2">
      <c r="A79" t="s">
        <v>262</v>
      </c>
      <c r="B79" t="s">
        <v>146</v>
      </c>
      <c r="C79" t="s">
        <v>62</v>
      </c>
      <c r="D79" t="s">
        <v>199</v>
      </c>
      <c r="E79" t="s">
        <v>52</v>
      </c>
      <c r="F79" t="s">
        <v>2296</v>
      </c>
      <c r="G79" s="3" t="str">
        <f t="shared" si="7"/>
        <v>Prethodna godina</v>
      </c>
      <c r="H79" s="3" t="str">
        <f t="shared" si="6"/>
        <v>Tabele_zaglavlje_Prethodna_godina</v>
      </c>
      <c r="I79">
        <f t="shared" si="8"/>
        <v>1</v>
      </c>
    </row>
    <row r="80" spans="1:9" x14ac:dyDescent="0.2">
      <c r="A80" t="s">
        <v>262</v>
      </c>
      <c r="B80" t="s">
        <v>144</v>
      </c>
      <c r="C80" s="4" t="s">
        <v>140</v>
      </c>
      <c r="D80" s="4" t="s">
        <v>200</v>
      </c>
      <c r="E80" s="4" t="s">
        <v>205</v>
      </c>
      <c r="F80" t="s">
        <v>2297</v>
      </c>
      <c r="G80" s="3" t="str">
        <f t="shared" si="7"/>
        <v>- u konvertibilnim markama -</v>
      </c>
      <c r="H80" s="3" t="str">
        <f t="shared" si="6"/>
        <v>Tabele_zaglavlje_Valuta</v>
      </c>
      <c r="I80">
        <f t="shared" si="8"/>
        <v>1</v>
      </c>
    </row>
    <row r="81" spans="1:9" x14ac:dyDescent="0.2">
      <c r="A81" t="s">
        <v>262</v>
      </c>
      <c r="B81" t="s">
        <v>287</v>
      </c>
      <c r="C81" t="s">
        <v>2325</v>
      </c>
      <c r="D81" s="270" t="s">
        <v>2348</v>
      </c>
      <c r="E81" t="s">
        <v>288</v>
      </c>
      <c r="F81" t="s">
        <v>2298</v>
      </c>
      <c r="G81" s="3" t="str">
        <f t="shared" si="7"/>
        <v>KAPITAL KOJI PRIPADA VLASNICIMA MATIČNOG DRUŠTVA</v>
      </c>
      <c r="H81" s="3" t="str">
        <f>SUBSTITUTE(A81&amp;"_"&amp;B81," ","_")</f>
        <v>Tabele_zaglavlje_BPK0</v>
      </c>
      <c r="I81" s="3">
        <f t="shared" si="8"/>
        <v>1</v>
      </c>
    </row>
    <row r="82" spans="1:9" x14ac:dyDescent="0.2">
      <c r="A82" t="s">
        <v>262</v>
      </c>
      <c r="B82" t="s">
        <v>278</v>
      </c>
      <c r="C82" t="s">
        <v>1705</v>
      </c>
      <c r="D82" s="270" t="s">
        <v>2349</v>
      </c>
      <c r="E82" t="s">
        <v>289</v>
      </c>
      <c r="F82" t="s">
        <v>2299</v>
      </c>
      <c r="G82" s="3" t="str">
        <f t="shared" si="7"/>
        <v>VRSTA PROMJENE NA KAPITALU</v>
      </c>
      <c r="H82" s="3" t="str">
        <f t="shared" ref="H82:H92" si="9">SUBSTITUTE(A82&amp;"_"&amp;B82," ","_")</f>
        <v>Tabele_zaglavlje_BPK1</v>
      </c>
      <c r="I82" s="3">
        <f t="shared" si="8"/>
        <v>1</v>
      </c>
    </row>
    <row r="83" spans="1:9" ht="25.5" x14ac:dyDescent="0.2">
      <c r="A83" t="s">
        <v>262</v>
      </c>
      <c r="B83" t="s">
        <v>279</v>
      </c>
      <c r="C83" s="267" t="s">
        <v>1706</v>
      </c>
      <c r="D83" s="269" t="s">
        <v>2350</v>
      </c>
      <c r="E83" t="s">
        <v>290</v>
      </c>
      <c r="F83" t="s">
        <v>2300</v>
      </c>
      <c r="G83" s="3" t="str">
        <f t="shared" si="7"/>
        <v>Akcijski kapital - 
vlasnički udjeli</v>
      </c>
      <c r="H83" s="3" t="str">
        <f t="shared" si="9"/>
        <v>Tabele_zaglavlje_BPK3</v>
      </c>
      <c r="I83" s="3">
        <f t="shared" si="8"/>
        <v>1</v>
      </c>
    </row>
    <row r="84" spans="1:9" x14ac:dyDescent="0.2">
      <c r="A84" t="s">
        <v>262</v>
      </c>
      <c r="B84" t="s">
        <v>280</v>
      </c>
      <c r="C84" s="265" t="s">
        <v>1707</v>
      </c>
      <c r="D84" s="270" t="s">
        <v>2351</v>
      </c>
      <c r="E84" s="265" t="s">
        <v>3023</v>
      </c>
      <c r="F84" t="s">
        <v>2301</v>
      </c>
      <c r="G84" s="3" t="str">
        <f t="shared" ref="G84:G89" si="10">CHOOSE( ID_Jezik, C84, D84, E84,F84)</f>
        <v>Emisiona premija</v>
      </c>
      <c r="H84" s="3" t="str">
        <f t="shared" si="9"/>
        <v>Tabele_zaglavlje_BPK4</v>
      </c>
      <c r="I84" s="3">
        <f t="shared" si="8"/>
        <v>1</v>
      </c>
    </row>
    <row r="85" spans="1:9" x14ac:dyDescent="0.2">
      <c r="A85" t="s">
        <v>262</v>
      </c>
      <c r="B85" t="s">
        <v>281</v>
      </c>
      <c r="C85" s="265" t="s">
        <v>1708</v>
      </c>
      <c r="D85" s="270" t="s">
        <v>2352</v>
      </c>
      <c r="E85" s="265" t="s">
        <v>3022</v>
      </c>
      <c r="F85" t="s">
        <v>2302</v>
      </c>
      <c r="G85" s="3" t="str">
        <f t="shared" si="10"/>
        <v>Rezerve</v>
      </c>
      <c r="H85" s="3" t="str">
        <f t="shared" si="9"/>
        <v>Tabele_zaglavlje_BPK5</v>
      </c>
      <c r="I85" s="3">
        <f t="shared" si="8"/>
        <v>1</v>
      </c>
    </row>
    <row r="86" spans="1:9" ht="60.75" customHeight="1" x14ac:dyDescent="0.2">
      <c r="A86" t="s">
        <v>262</v>
      </c>
      <c r="B86" t="s">
        <v>282</v>
      </c>
      <c r="C86" s="266" t="s">
        <v>1709</v>
      </c>
      <c r="D86" s="271" t="s">
        <v>2353</v>
      </c>
      <c r="E86" s="265" t="s">
        <v>291</v>
      </c>
      <c r="F86" t="s">
        <v>2303</v>
      </c>
      <c r="G86" s="3" t="str">
        <f t="shared" si="10"/>
        <v>Revalorizacione 
rezerve za 
nekretnine, 
postrojenja i opremu</v>
      </c>
      <c r="H86" s="3" t="str">
        <f t="shared" si="9"/>
        <v>Tabele_zaglavlje_BPK6</v>
      </c>
      <c r="I86" s="3">
        <f t="shared" si="8"/>
        <v>1</v>
      </c>
    </row>
    <row r="87" spans="1:9" ht="45" customHeight="1" x14ac:dyDescent="0.2">
      <c r="A87" t="s">
        <v>262</v>
      </c>
      <c r="B87" t="s">
        <v>283</v>
      </c>
      <c r="C87" s="266" t="s">
        <v>1710</v>
      </c>
      <c r="D87" s="271" t="s">
        <v>2354</v>
      </c>
      <c r="E87" s="265" t="s">
        <v>29</v>
      </c>
      <c r="F87" t="s">
        <v>2304</v>
      </c>
      <c r="G87" s="3" t="str">
        <f t="shared" si="10"/>
        <v>Revalorizacione rezerve za finansijska sredstva vrednovana po fer vrijednosti krozu ostali ukupni rezultat</v>
      </c>
      <c r="H87" s="3" t="str">
        <f t="shared" si="9"/>
        <v>Tabele_zaglavlje_BPK7</v>
      </c>
      <c r="I87" s="3">
        <f t="shared" si="8"/>
        <v>1</v>
      </c>
    </row>
    <row r="88" spans="1:9" ht="45" customHeight="1" x14ac:dyDescent="0.2">
      <c r="A88" t="s">
        <v>262</v>
      </c>
      <c r="B88" t="s">
        <v>284</v>
      </c>
      <c r="C88" s="266" t="s">
        <v>1711</v>
      </c>
      <c r="D88" s="271" t="s">
        <v>2355</v>
      </c>
      <c r="E88" s="265" t="s">
        <v>292</v>
      </c>
      <c r="F88" t="s">
        <v>2814</v>
      </c>
      <c r="G88" s="3" t="str">
        <f t="shared" si="10"/>
        <v>Ostale revalorizacione rezerve</v>
      </c>
      <c r="H88" s="3" t="str">
        <f>SUBSTITUTE(A88&amp;"_"&amp;B88," ","_")</f>
        <v>Tabele_zaglavlje_BPK8</v>
      </c>
      <c r="I88" s="3">
        <f t="shared" si="8"/>
        <v>1</v>
      </c>
    </row>
    <row r="89" spans="1:9" ht="45" customHeight="1" x14ac:dyDescent="0.2">
      <c r="A89" t="s">
        <v>262</v>
      </c>
      <c r="B89" t="s">
        <v>285</v>
      </c>
      <c r="C89" s="266" t="s">
        <v>1745</v>
      </c>
      <c r="D89" s="271" t="s">
        <v>2356</v>
      </c>
      <c r="E89" s="265" t="s">
        <v>293</v>
      </c>
      <c r="F89" t="s">
        <v>2815</v>
      </c>
      <c r="G89" s="3" t="str">
        <f t="shared" si="10"/>
        <v>Akumulirana neraspoređena dobit/(nepokriveni gubitak)</v>
      </c>
      <c r="H89" s="3" t="str">
        <f>SUBSTITUTE(A89&amp;"_"&amp;B89," ","_")</f>
        <v>Tabele_zaglavlje_BPK9</v>
      </c>
      <c r="I89" s="3">
        <f t="shared" si="8"/>
        <v>1</v>
      </c>
    </row>
    <row r="90" spans="1:9" ht="35.25" customHeight="1" x14ac:dyDescent="0.2">
      <c r="A90" t="s">
        <v>262</v>
      </c>
      <c r="B90" t="s">
        <v>286</v>
      </c>
      <c r="C90" s="267" t="s">
        <v>2370</v>
      </c>
      <c r="D90" s="269" t="s">
        <v>2369</v>
      </c>
      <c r="E90" s="187" t="s">
        <v>2372</v>
      </c>
      <c r="F90" s="187" t="s">
        <v>2371</v>
      </c>
      <c r="G90" s="3" t="str">
        <f t="shared" si="7"/>
        <v>Ukupno 
(3+4+5+6±7± 8 ± 9)</v>
      </c>
      <c r="H90" s="3" t="str">
        <f t="shared" si="9"/>
        <v>Tabele_zaglavlje_BPK10</v>
      </c>
      <c r="I90" s="3">
        <f t="shared" si="8"/>
        <v>1</v>
      </c>
    </row>
    <row r="91" spans="1:9" x14ac:dyDescent="0.2">
      <c r="A91" t="s">
        <v>262</v>
      </c>
      <c r="B91" t="s">
        <v>1712</v>
      </c>
      <c r="C91" t="s">
        <v>1746</v>
      </c>
      <c r="D91" s="270" t="s">
        <v>2357</v>
      </c>
      <c r="E91" t="s">
        <v>294</v>
      </c>
      <c r="F91" t="s">
        <v>2305</v>
      </c>
      <c r="G91" s="3" t="str">
        <f t="shared" si="7"/>
        <v>UDJELI KOJI NEMAJU KONTROLU (MANJINSKI INTERES)</v>
      </c>
      <c r="H91" s="3" t="str">
        <f t="shared" si="9"/>
        <v>Tabele_zaglavlje_BPK11</v>
      </c>
      <c r="I91" s="3">
        <f t="shared" si="8"/>
        <v>1</v>
      </c>
    </row>
    <row r="92" spans="1:9" ht="25.5" x14ac:dyDescent="0.2">
      <c r="A92" t="s">
        <v>262</v>
      </c>
      <c r="B92" t="s">
        <v>1713</v>
      </c>
      <c r="C92" s="187" t="s">
        <v>1744</v>
      </c>
      <c r="D92" s="269" t="s">
        <v>2358</v>
      </c>
      <c r="E92" t="s">
        <v>295</v>
      </c>
      <c r="F92" t="s">
        <v>2306</v>
      </c>
      <c r="G92" s="3" t="str">
        <f t="shared" si="7"/>
        <v>UKUPNI KAPITAL
(10+11)</v>
      </c>
      <c r="H92" s="3" t="str">
        <f t="shared" si="9"/>
        <v>Tabele_zaglavlje_BPK12</v>
      </c>
      <c r="I92" s="3">
        <f t="shared" si="8"/>
        <v>1</v>
      </c>
    </row>
    <row r="93" spans="1:9" x14ac:dyDescent="0.2">
      <c r="A93" t="s">
        <v>436</v>
      </c>
      <c r="B93" t="s">
        <v>438</v>
      </c>
      <c r="C93" t="s">
        <v>491</v>
      </c>
      <c r="D93" t="s">
        <v>492</v>
      </c>
      <c r="E93" t="s">
        <v>519</v>
      </c>
      <c r="F93" t="s">
        <v>2307</v>
      </c>
      <c r="G93" s="3" t="str">
        <f t="shared" si="7"/>
        <v>Obavezan unos podataka u formi!</v>
      </c>
      <c r="H93" s="3" t="str">
        <f t="shared" ref="H93:H102" si="11">SUBSTITUTE(A93&amp;"_"&amp;B93," ","_")</f>
        <v>Kontrola_Obavezno</v>
      </c>
      <c r="I93" s="3">
        <f t="shared" si="8"/>
        <v>1</v>
      </c>
    </row>
    <row r="94" spans="1:9" x14ac:dyDescent="0.2">
      <c r="A94" t="s">
        <v>436</v>
      </c>
      <c r="B94" t="s">
        <v>439</v>
      </c>
      <c r="C94" t="s">
        <v>437</v>
      </c>
      <c r="D94" t="s">
        <v>440</v>
      </c>
      <c r="E94" t="s">
        <v>441</v>
      </c>
      <c r="F94" t="s">
        <v>2308</v>
      </c>
      <c r="G94" s="3" t="str">
        <f t="shared" si="7"/>
        <v>Neispravan unos podataka!</v>
      </c>
      <c r="H94" s="3" t="str">
        <f t="shared" si="11"/>
        <v>Kontrola_Neispravno</v>
      </c>
      <c r="I94" s="3">
        <f t="shared" si="8"/>
        <v>1</v>
      </c>
    </row>
    <row r="95" spans="1:9" x14ac:dyDescent="0.2">
      <c r="A95" t="s">
        <v>464</v>
      </c>
      <c r="B95" t="s">
        <v>465</v>
      </c>
      <c r="C95" t="s">
        <v>417</v>
      </c>
      <c r="D95" t="s">
        <v>458</v>
      </c>
      <c r="E95" t="s">
        <v>426</v>
      </c>
      <c r="F95" t="s">
        <v>2309</v>
      </c>
      <c r="G95" s="3" t="str">
        <f t="shared" si="7"/>
        <v>Revidiran izvještaj:</v>
      </c>
      <c r="H95" s="3" t="str">
        <f t="shared" si="11"/>
        <v>Revizija_Revidiran_izvjestaj</v>
      </c>
      <c r="I95" s="3">
        <f t="shared" si="8"/>
        <v>1</v>
      </c>
    </row>
    <row r="96" spans="1:9" x14ac:dyDescent="0.2">
      <c r="A96" t="s">
        <v>464</v>
      </c>
      <c r="B96" t="s">
        <v>466</v>
      </c>
      <c r="C96" t="s">
        <v>482</v>
      </c>
      <c r="D96" t="s">
        <v>483</v>
      </c>
      <c r="E96" t="s">
        <v>484</v>
      </c>
      <c r="F96" t="s">
        <v>2310</v>
      </c>
      <c r="G96" s="3" t="str">
        <f t="shared" si="7"/>
        <v>Mišljenje revizora:</v>
      </c>
      <c r="H96" s="3" t="str">
        <f t="shared" si="11"/>
        <v>Revizija_Misljenje</v>
      </c>
      <c r="I96" s="3">
        <f t="shared" si="8"/>
        <v>1</v>
      </c>
    </row>
    <row r="97" spans="1:9" x14ac:dyDescent="0.2">
      <c r="A97" t="s">
        <v>464</v>
      </c>
      <c r="B97" t="s">
        <v>434</v>
      </c>
      <c r="C97" t="s">
        <v>435</v>
      </c>
      <c r="D97" t="s">
        <v>459</v>
      </c>
      <c r="E97" t="s">
        <v>442</v>
      </c>
      <c r="F97" t="s">
        <v>2311</v>
      </c>
      <c r="G97" s="3" t="str">
        <f t="shared" si="7"/>
        <v>Podaci o revizorskoj firmi:</v>
      </c>
      <c r="H97" s="3" t="str">
        <f t="shared" si="11"/>
        <v>Revizija_Podaci_o_revizorskoj_firmi</v>
      </c>
      <c r="I97" s="3">
        <f t="shared" si="8"/>
        <v>1</v>
      </c>
    </row>
    <row r="98" spans="1:9" x14ac:dyDescent="0.2">
      <c r="A98" t="s">
        <v>464</v>
      </c>
      <c r="B98" t="s">
        <v>515</v>
      </c>
      <c r="C98" t="s">
        <v>516</v>
      </c>
      <c r="D98" t="s">
        <v>517</v>
      </c>
      <c r="E98" t="s">
        <v>518</v>
      </c>
      <c r="F98" t="s">
        <v>2312</v>
      </c>
      <c r="G98" s="3" t="str">
        <f t="shared" si="7"/>
        <v>Naziv revizorske firme:</v>
      </c>
      <c r="H98" s="3" t="str">
        <f>SUBSTITUTE(A98&amp;"_"&amp;B98," ","_")</f>
        <v>Revizija_Naziv_revizorske_firme</v>
      </c>
      <c r="I98" s="3">
        <f t="shared" si="8"/>
        <v>1</v>
      </c>
    </row>
    <row r="99" spans="1:9" x14ac:dyDescent="0.2">
      <c r="A99" t="s">
        <v>464</v>
      </c>
      <c r="B99" t="s">
        <v>467</v>
      </c>
      <c r="C99" t="s">
        <v>427</v>
      </c>
      <c r="D99" t="s">
        <v>460</v>
      </c>
      <c r="E99" t="s">
        <v>493</v>
      </c>
      <c r="F99" t="s">
        <v>2313</v>
      </c>
      <c r="G99" s="3" t="str">
        <f t="shared" ref="G99:G102" si="12">CHOOSE( ID_Jezik, C99, D99, E99,F99)</f>
        <v>Pozitivno mišljenje</v>
      </c>
      <c r="H99" s="3" t="str">
        <f t="shared" si="11"/>
        <v>Revizija_Pozitivno</v>
      </c>
      <c r="I99" s="3">
        <f t="shared" si="8"/>
        <v>1</v>
      </c>
    </row>
    <row r="100" spans="1:9" x14ac:dyDescent="0.2">
      <c r="A100" t="s">
        <v>464</v>
      </c>
      <c r="B100" t="s">
        <v>470</v>
      </c>
      <c r="C100" t="s">
        <v>433</v>
      </c>
      <c r="D100" t="s">
        <v>461</v>
      </c>
      <c r="E100" t="s">
        <v>428</v>
      </c>
      <c r="F100" t="s">
        <v>2314</v>
      </c>
      <c r="G100" s="3" t="str">
        <f t="shared" si="12"/>
        <v>Mišljenje sa rezervom</v>
      </c>
      <c r="H100" s="3" t="str">
        <f t="shared" si="11"/>
        <v>Revizija_Sa_rezervom</v>
      </c>
      <c r="I100" s="3">
        <f t="shared" si="8"/>
        <v>1</v>
      </c>
    </row>
    <row r="101" spans="1:9" x14ac:dyDescent="0.2">
      <c r="A101" t="s">
        <v>464</v>
      </c>
      <c r="B101" t="s">
        <v>468</v>
      </c>
      <c r="C101" t="s">
        <v>430</v>
      </c>
      <c r="D101" t="s">
        <v>462</v>
      </c>
      <c r="E101" t="s">
        <v>429</v>
      </c>
      <c r="F101" t="s">
        <v>2315</v>
      </c>
      <c r="G101" s="3" t="str">
        <f t="shared" si="12"/>
        <v>Negativno mišljenje</v>
      </c>
      <c r="H101" s="3" t="str">
        <f t="shared" si="11"/>
        <v>Revizija_Negativno</v>
      </c>
      <c r="I101" s="3">
        <f t="shared" si="8"/>
        <v>1</v>
      </c>
    </row>
    <row r="102" spans="1:9" x14ac:dyDescent="0.2">
      <c r="A102" t="s">
        <v>464</v>
      </c>
      <c r="B102" t="s">
        <v>469</v>
      </c>
      <c r="C102" t="s">
        <v>432</v>
      </c>
      <c r="D102" t="s">
        <v>463</v>
      </c>
      <c r="E102" t="s">
        <v>431</v>
      </c>
      <c r="F102" t="s">
        <v>2316</v>
      </c>
      <c r="G102" s="3" t="str">
        <f t="shared" si="12"/>
        <v>Uzdržavanje od mišljenja</v>
      </c>
      <c r="H102" s="3" t="str">
        <f t="shared" si="11"/>
        <v>Revizija_Uzdrzavanje</v>
      </c>
      <c r="I102" s="3">
        <f t="shared" si="8"/>
        <v>1</v>
      </c>
    </row>
  </sheetData>
  <phoneticPr fontId="27" type="noConversion"/>
  <conditionalFormatting sqref="C101:F102 F71:F87 F90:F102 C70:E83 C84:D85 C86:E100 C2:F69">
    <cfRule type="containsBlanks" dxfId="213" priority="2" stopIfTrue="1">
      <formula>LEN(TRIM(C2))=0</formula>
    </cfRule>
  </conditionalFormatting>
  <pageMargins left="0.7" right="0.7" top="0.75" bottom="0.75" header="0.3" footer="0.3"/>
  <pageSetup orientation="portrait" horizontalDpi="1200" verticalDpi="1200" r:id="rId1"/>
  <ignoredErrors>
    <ignoredError sqref="C56:D56" formula="1"/>
  </ignoredErrors>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05</vt:lpstr>
      <vt:lpstr>Prevod</vt:lpstr>
      <vt:lpstr>Aop</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milan.grahovac</dc:creator>
  <cp:keywords>V2.86</cp:keywords>
  <dc:description>SG RS 62/16_x000d_
SG RS 63/16</dc:description>
  <cp:lastModifiedBy>Slobodan Butulija</cp:lastModifiedBy>
  <cp:lastPrinted>2026-02-26T19:30:07Z</cp:lastPrinted>
  <dcterms:created xsi:type="dcterms:W3CDTF">2007-02-19T09:55:19Z</dcterms:created>
  <dcterms:modified xsi:type="dcterms:W3CDTF">2026-02-27T11:35:50Z</dcterms:modified>
</cp:coreProperties>
</file>