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anja.vasilic\2025\OBRAČUN 2025\OBRAČUN 30.09.2025\"/>
    </mc:Choice>
  </mc:AlternateContent>
  <workbookProtection workbookAlgorithmName="SHA-512" workbookHashValue="UTrV3mcrvu1AINqI6Qdxnicpzz+NK8NUoCuMlE3xXMdabfewgHEDmHYAqQxlC3RgjRw72Cjae110IkRklt6O1w==" workbookSaltValue="jd3GDFCaE4zvOcKIGyQ78A==" workbookSpinCount="100000" lockStructure="1"/>
  <bookViews>
    <workbookView xWindow="2445" yWindow="1515" windowWidth="14610" windowHeight="8325" tabRatio="674" firstSheet="1" activeTab="2"/>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91" i="2" s="1"/>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AB15" i="32" s="1"/>
  <c r="L92" i="2" l="1"/>
  <c r="K92" i="2"/>
  <c r="K91" i="2"/>
  <c r="L106" i="2"/>
  <c r="L119" i="2" s="1"/>
  <c r="L93" i="2"/>
  <c r="L125" i="2" s="1"/>
  <c r="L39" i="2"/>
  <c r="L21" i="2"/>
  <c r="K106" i="2"/>
  <c r="K120" i="2" s="1"/>
  <c r="K93" i="2"/>
  <c r="K125" i="2" s="1"/>
  <c r="K39" i="2"/>
  <c r="K21" i="2"/>
  <c r="N42" i="1"/>
  <c r="N92" i="1"/>
  <c r="M92" i="1"/>
  <c r="AA8" i="33"/>
  <c r="AA14" i="33"/>
  <c r="B67" i="35"/>
  <c r="F67" i="35"/>
  <c r="I67" i="35"/>
  <c r="L120" i="2" l="1"/>
  <c r="L126" i="2"/>
  <c r="K126" i="2"/>
  <c r="K119" i="2"/>
  <c r="K137" i="2"/>
  <c r="K136" i="2"/>
  <c r="K127" i="2"/>
  <c r="K128" i="2"/>
  <c r="K70" i="2"/>
  <c r="K58" i="2"/>
  <c r="K69" i="2"/>
  <c r="K57" i="2"/>
  <c r="L136" i="2"/>
  <c r="L137" i="2"/>
  <c r="L127" i="2"/>
  <c r="L128" i="2"/>
  <c r="L70" i="2"/>
  <c r="L58" i="2"/>
  <c r="L69" i="2"/>
  <c r="L57" i="2"/>
  <c r="AA17" i="33"/>
  <c r="AA11" i="33"/>
  <c r="AA3" i="33"/>
  <c r="P3" i="33" a="1"/>
  <c r="P3" i="33" s="1"/>
  <c r="O3" i="33" a="1"/>
  <c r="O3" i="33" s="1"/>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L29" i="36"/>
  <c r="L36" i="36" s="1"/>
  <c r="K29" i="36"/>
  <c r="K36" i="36" s="1"/>
  <c r="M37" i="1" l="1"/>
  <c r="P29" i="10"/>
  <c r="K45" i="10"/>
  <c r="K45" i="1"/>
  <c r="L45" i="1"/>
  <c r="K50" i="1"/>
  <c r="N81" i="1"/>
  <c r="N64" i="1" s="1"/>
  <c r="N56" i="1" s="1"/>
  <c r="K57" i="1"/>
  <c r="M57" i="1" s="1"/>
  <c r="M45" i="1" l="1"/>
  <c r="K42" i="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83" i="38"/>
  <c r="D75" i="38"/>
  <c r="D70" i="38"/>
  <c r="D85" i="38"/>
  <c r="D82" i="38"/>
  <c r="D97" i="38"/>
  <c r="D90" i="38"/>
  <c r="D99" i="38"/>
  <c r="D92" i="38"/>
  <c r="D98" i="38"/>
  <c r="D84" i="38"/>
  <c r="D74" i="38"/>
  <c r="D69" i="38"/>
  <c r="D95" i="38"/>
  <c r="D77" i="38"/>
  <c r="D100" i="38"/>
  <c r="D89" i="38"/>
  <c r="D93" i="38"/>
  <c r="F200" i="38"/>
  <c r="D94" i="38"/>
  <c r="D79" i="38"/>
  <c r="D72" i="38"/>
  <c r="D78" i="38"/>
  <c r="D86" i="38"/>
  <c r="D73" i="38"/>
  <c r="D91" i="38"/>
  <c r="D76" i="38"/>
  <c r="D88" i="38"/>
  <c r="D81" i="38"/>
  <c r="D96" i="38"/>
  <c r="D80" i="38"/>
  <c r="D87" i="38"/>
  <c r="D71"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Y37" i="32" s="1"/>
  <c r="AA35" i="32"/>
  <c r="AA33" i="32"/>
  <c r="Z33" i="32" s="1"/>
  <c r="AA31" i="32"/>
  <c r="Y31" i="32" s="1"/>
  <c r="AA29" i="32"/>
  <c r="Y29" i="32" s="1"/>
  <c r="AA27" i="32"/>
  <c r="Y27" i="32" s="1"/>
  <c r="H1" i="33"/>
  <c r="H9" i="37" s="1"/>
  <c r="Y1" i="33"/>
  <c r="V3" i="33"/>
  <c r="U3" i="33"/>
  <c r="X1" i="33"/>
  <c r="D62"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B106" i="32"/>
  <c r="B96" i="32"/>
  <c r="B86" i="32"/>
  <c r="B116" i="32"/>
  <c r="B79" i="32"/>
  <c r="B109" i="32"/>
  <c r="B99" i="32"/>
  <c r="B89" i="32"/>
  <c r="B114" i="32"/>
  <c r="B104" i="32"/>
  <c r="B94" i="32"/>
  <c r="B84" i="32"/>
  <c r="B78" i="32"/>
  <c r="B98" i="32"/>
  <c r="B88" i="32"/>
  <c r="B81" i="32"/>
  <c r="B111" i="32"/>
  <c r="B101" i="32"/>
  <c r="B91" i="32"/>
  <c r="J7" i="32"/>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G361" i="35" l="1"/>
  <c r="E57" i="31"/>
  <c r="G352" i="35"/>
  <c r="G319" i="35"/>
  <c r="G338" i="35"/>
  <c r="G337" i="35"/>
  <c r="G277" i="35"/>
  <c r="G206" i="35"/>
  <c r="G145" i="35"/>
  <c r="G78" i="35"/>
  <c r="G13" i="35"/>
  <c r="G276" i="35"/>
  <c r="G213" i="35"/>
  <c r="G152" i="35"/>
  <c r="G89" i="35"/>
  <c r="G20" i="35"/>
  <c r="G271" i="35"/>
  <c r="G193" i="35"/>
  <c r="G124" i="35"/>
  <c r="G55" i="35"/>
  <c r="H10" i="37"/>
  <c r="G256" i="35"/>
  <c r="G188" i="35"/>
  <c r="G115" i="35"/>
  <c r="G50" i="35"/>
  <c r="H5" i="37"/>
  <c r="G358" i="35"/>
  <c r="G356" i="35"/>
  <c r="G339" i="35"/>
  <c r="G353" i="35"/>
  <c r="G310" i="35"/>
  <c r="G309" i="35"/>
  <c r="G243" i="35"/>
  <c r="G180" i="35"/>
  <c r="G114" i="35"/>
  <c r="G49" i="35"/>
  <c r="H4" i="37"/>
  <c r="G252" i="35"/>
  <c r="G186" i="35"/>
  <c r="G125" i="35"/>
  <c r="G56" i="35"/>
  <c r="H11" i="37"/>
  <c r="G245" i="35"/>
  <c r="G166" i="35"/>
  <c r="G96" i="35"/>
  <c r="G27" i="35"/>
  <c r="G292" i="35"/>
  <c r="G228" i="35"/>
  <c r="G150" i="35"/>
  <c r="G87" i="35"/>
  <c r="G22" i="35"/>
  <c r="G363" i="35"/>
  <c r="C62" i="31"/>
  <c r="G345" i="35"/>
  <c r="G335" i="35"/>
  <c r="G340" i="35"/>
  <c r="G349" i="35"/>
  <c r="G307" i="35"/>
  <c r="G239" i="35"/>
  <c r="G177" i="35"/>
  <c r="G110" i="35"/>
  <c r="G45" i="35"/>
  <c r="G306" i="35"/>
  <c r="G246" i="35"/>
  <c r="G182" i="35"/>
  <c r="G121" i="35"/>
  <c r="G52" i="35"/>
  <c r="H7" i="37"/>
  <c r="G241" i="35"/>
  <c r="G160" i="35"/>
  <c r="G92" i="35"/>
  <c r="G23" i="35"/>
  <c r="G289" i="35"/>
  <c r="G225" i="35"/>
  <c r="G146" i="35"/>
  <c r="G83" i="35"/>
  <c r="G18" i="35"/>
  <c r="G360" i="35"/>
  <c r="G355" i="35"/>
  <c r="G323" i="35"/>
  <c r="G343" i="35"/>
  <c r="G341" i="35"/>
  <c r="G280" i="35"/>
  <c r="G210" i="35"/>
  <c r="G149" i="35"/>
  <c r="G82" i="35"/>
  <c r="G17" i="35"/>
  <c r="G279" i="35"/>
  <c r="G217" i="35"/>
  <c r="G156" i="35"/>
  <c r="G93" i="35"/>
  <c r="G24" i="35"/>
  <c r="G282" i="35"/>
  <c r="G198" i="35"/>
  <c r="G128" i="35"/>
  <c r="G59" i="35"/>
  <c r="H14" i="37"/>
  <c r="G260" i="35"/>
  <c r="G192" i="35"/>
  <c r="G119" i="35"/>
  <c r="G54" i="35"/>
  <c r="L21" i="1"/>
  <c r="M21" i="1" s="1"/>
  <c r="M28" i="1"/>
  <c r="Z37" i="32"/>
  <c r="AB37" i="32" s="1"/>
  <c r="Z29" i="32"/>
  <c r="AB29" i="32" s="1"/>
  <c r="D11" i="10" s="1"/>
  <c r="D67" i="35"/>
  <c r="L5" i="2"/>
  <c r="F60" i="31"/>
  <c r="F59" i="31"/>
  <c r="E59" i="31"/>
  <c r="D59" i="31"/>
  <c r="C59" i="31"/>
  <c r="F58" i="31"/>
  <c r="E58" i="31"/>
  <c r="D58" i="31"/>
  <c r="C58" i="31"/>
  <c r="F61" i="31"/>
  <c r="E61" i="31"/>
  <c r="D61" i="31"/>
  <c r="C61" i="31"/>
  <c r="G61" i="31" s="1"/>
  <c r="C16" i="14" s="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AB35" i="32" s="1"/>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L86" i="1" l="1"/>
  <c r="C11" i="14"/>
  <c r="C11" i="8"/>
  <c r="C11" i="36"/>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F238" i="38"/>
  <c r="E328" i="38"/>
  <c r="E374" i="38"/>
  <c r="F267" i="38"/>
  <c r="E398" i="38"/>
  <c r="F277" i="38"/>
  <c r="D124" i="38"/>
  <c r="F224" i="38"/>
  <c r="F263" i="38"/>
  <c r="F251" i="38"/>
  <c r="D111" i="38"/>
  <c r="D101" i="38"/>
  <c r="D39" i="38"/>
  <c r="F253" i="38"/>
  <c r="D22" i="38"/>
  <c r="D53" i="38"/>
  <c r="F270" i="38"/>
  <c r="F213" i="38"/>
  <c r="E336" i="38"/>
  <c r="F252" i="38"/>
  <c r="D28" i="38"/>
  <c r="E393" i="38"/>
  <c r="D113" i="38"/>
  <c r="E334" i="38"/>
  <c r="E312" i="38"/>
  <c r="D66" i="38"/>
  <c r="F247" i="38"/>
  <c r="D55" i="38"/>
  <c r="E332" i="38"/>
  <c r="E306" i="38"/>
  <c r="E300" i="38"/>
  <c r="F250" i="38"/>
  <c r="D44" i="38"/>
  <c r="F289" i="38"/>
  <c r="D62" i="38"/>
  <c r="E340" i="38"/>
  <c r="D68" i="38"/>
  <c r="E360" i="38"/>
  <c r="F300" i="38"/>
  <c r="D115" i="38"/>
  <c r="E400" i="38"/>
  <c r="E352" i="38"/>
  <c r="F206" i="38"/>
  <c r="F228" i="38"/>
  <c r="F275" i="38"/>
  <c r="D23" i="38"/>
  <c r="F268" i="38"/>
  <c r="F282" i="38"/>
  <c r="D121" i="38"/>
  <c r="E358" i="38"/>
  <c r="E329" i="38"/>
  <c r="F276" i="38"/>
  <c r="F271" i="38"/>
  <c r="D32" i="38"/>
  <c r="F264" i="38"/>
  <c r="D50" i="38"/>
  <c r="F202" i="38"/>
  <c r="F207" i="38"/>
  <c r="E323" i="38"/>
  <c r="E322" i="38"/>
  <c r="E375" i="38"/>
  <c r="D29" i="38"/>
  <c r="E389" i="38"/>
  <c r="F227" i="38"/>
  <c r="F218" i="38"/>
  <c r="E315" i="38"/>
  <c r="E386" i="38"/>
  <c r="E318" i="38"/>
  <c r="F242" i="38"/>
  <c r="E364" i="38"/>
  <c r="E304" i="38"/>
  <c r="E330" i="38"/>
  <c r="F226" i="38"/>
  <c r="E380" i="38"/>
  <c r="E396" i="38"/>
  <c r="D54" i="38"/>
  <c r="F219" i="38"/>
  <c r="F295" i="38"/>
  <c r="D110" i="38"/>
  <c r="D103" i="38"/>
  <c r="F266" i="38"/>
  <c r="E338" i="38"/>
  <c r="E325" i="38"/>
  <c r="E357" i="38"/>
  <c r="E391" i="38"/>
  <c r="F212" i="38"/>
  <c r="E387" i="38"/>
  <c r="F279" i="38"/>
  <c r="E311" i="38"/>
  <c r="E361" i="38"/>
  <c r="F299" i="38"/>
  <c r="F234" i="38"/>
  <c r="D41" i="38"/>
  <c r="E390" i="38"/>
  <c r="D116" i="38"/>
  <c r="D47" i="38"/>
  <c r="D135" i="38"/>
  <c r="D64" i="38"/>
  <c r="D35" i="38"/>
  <c r="D67" i="38"/>
  <c r="E367" i="38"/>
  <c r="E365" i="38"/>
  <c r="E392" i="38"/>
  <c r="E333" i="38"/>
  <c r="D117" i="38"/>
  <c r="D131" i="38"/>
  <c r="E316" i="38"/>
  <c r="D34" i="38"/>
  <c r="E339" i="38"/>
  <c r="F280" i="38"/>
  <c r="D109" i="38"/>
  <c r="E369" i="38"/>
  <c r="D61" i="38"/>
  <c r="F245" i="38"/>
  <c r="D132" i="38"/>
  <c r="E359" i="38"/>
  <c r="D123" i="38"/>
  <c r="E335" i="38"/>
  <c r="F243" i="38"/>
  <c r="D119" i="38"/>
  <c r="D108" i="38"/>
  <c r="D107" i="38"/>
  <c r="D45" i="38"/>
  <c r="E351" i="38"/>
  <c r="D112" i="38"/>
  <c r="F286" i="38"/>
  <c r="D58" i="38"/>
  <c r="E394" i="38"/>
  <c r="E317" i="38"/>
  <c r="F240" i="38"/>
  <c r="D133" i="38"/>
  <c r="F284" i="38"/>
  <c r="E327" i="38"/>
  <c r="F261" i="38"/>
  <c r="F296" i="38"/>
  <c r="E379" i="38"/>
  <c r="E382" i="38"/>
  <c r="E383" i="38"/>
  <c r="F259" i="38"/>
  <c r="E363" i="38"/>
  <c r="D38" i="38"/>
  <c r="E326" i="38"/>
  <c r="D26" i="38"/>
  <c r="F256" i="38"/>
  <c r="E337" i="38"/>
  <c r="F273" i="38"/>
  <c r="D59" i="38"/>
  <c r="F257" i="38"/>
  <c r="D137" i="38"/>
  <c r="F217" i="38"/>
  <c r="D42" i="38"/>
  <c r="E373" i="38"/>
  <c r="D37" i="38"/>
  <c r="D63" i="38"/>
  <c r="D134" i="38"/>
  <c r="F222" i="38"/>
  <c r="E349" i="38"/>
  <c r="F205" i="38"/>
  <c r="E341" i="38"/>
  <c r="F254" i="38"/>
  <c r="D24" i="38"/>
  <c r="F262" i="38"/>
  <c r="F203" i="38"/>
  <c r="D118" i="38"/>
  <c r="E348" i="38"/>
  <c r="F232" i="38"/>
  <c r="E301" i="38"/>
  <c r="F208" i="38"/>
  <c r="E385" i="38"/>
  <c r="D128" i="38"/>
  <c r="E313" i="38"/>
  <c r="E308" i="38"/>
  <c r="F272" i="38"/>
  <c r="D60" i="38"/>
  <c r="E345" i="38"/>
  <c r="E302" i="38"/>
  <c r="E378" i="38"/>
  <c r="E310" i="38"/>
  <c r="D104" i="38"/>
  <c r="D27" i="38"/>
  <c r="F244" i="38"/>
  <c r="F294" i="38"/>
  <c r="E309" i="38"/>
  <c r="D51" i="38"/>
  <c r="D48" i="38"/>
  <c r="F210" i="38"/>
  <c r="D129" i="38"/>
  <c r="F260" i="38"/>
  <c r="F201" i="38"/>
  <c r="D130" i="38"/>
  <c r="F239" i="38"/>
  <c r="E344" i="38"/>
  <c r="E388" i="38"/>
  <c r="F241" i="38"/>
  <c r="D46" i="38"/>
  <c r="E384" i="38"/>
  <c r="F265" i="38"/>
  <c r="D33" i="38"/>
  <c r="D30" i="38"/>
  <c r="F258" i="38"/>
  <c r="E372" i="38"/>
  <c r="F278" i="38"/>
  <c r="D57" i="38"/>
  <c r="F269" i="38"/>
  <c r="D56" i="38"/>
  <c r="D25" i="38"/>
  <c r="F216" i="38"/>
  <c r="F292" i="38"/>
  <c r="D36" i="38"/>
  <c r="F230" i="38"/>
  <c r="E371" i="38"/>
  <c r="F233" i="38"/>
  <c r="F297" i="38"/>
  <c r="D127" i="38"/>
  <c r="F221" i="38"/>
  <c r="F291" i="38"/>
  <c r="F229" i="38"/>
  <c r="F225" i="38"/>
  <c r="E346" i="38"/>
  <c r="F255" i="38"/>
  <c r="E324" i="38"/>
  <c r="F211" i="38"/>
  <c r="D114" i="38"/>
  <c r="D138" i="38"/>
  <c r="E320" i="38"/>
  <c r="E356" i="38"/>
  <c r="E395" i="38"/>
  <c r="D126" i="38"/>
  <c r="D120" i="38"/>
  <c r="F215" i="38"/>
  <c r="F214" i="38"/>
  <c r="D122" i="38"/>
  <c r="D106" i="38"/>
  <c r="F293" i="38"/>
  <c r="F204" i="38"/>
  <c r="D40" i="38"/>
  <c r="F246" i="38"/>
  <c r="E370" i="38"/>
  <c r="F235" i="38"/>
  <c r="F249" i="38"/>
  <c r="E321" i="38"/>
  <c r="E307" i="38"/>
  <c r="E376" i="38"/>
  <c r="D136" i="38"/>
  <c r="D52" i="38"/>
  <c r="F231" i="38"/>
  <c r="E368" i="38"/>
  <c r="E355" i="38"/>
  <c r="E303" i="38"/>
  <c r="E343" i="38"/>
  <c r="F248" i="38"/>
  <c r="F236" i="38"/>
  <c r="F274" i="38"/>
  <c r="E377" i="38"/>
  <c r="E319" i="38"/>
  <c r="E362" i="38"/>
  <c r="D105" i="38"/>
  <c r="F298" i="38"/>
  <c r="E331" i="38"/>
  <c r="D125" i="38"/>
  <c r="E399" i="38"/>
  <c r="E354" i="38"/>
  <c r="E397" i="38"/>
  <c r="D65" i="38"/>
  <c r="E353" i="38"/>
  <c r="E314" i="38"/>
  <c r="F281" i="38"/>
  <c r="F223" i="38"/>
  <c r="F237" i="38"/>
  <c r="F220" i="38"/>
  <c r="D102" i="38"/>
  <c r="D21" i="38"/>
  <c r="E347" i="38"/>
  <c r="F209" i="38"/>
  <c r="D43" i="38"/>
  <c r="F285" i="38"/>
  <c r="E350" i="38"/>
  <c r="E366" i="38"/>
  <c r="D31" i="38"/>
  <c r="F288" i="38"/>
  <c r="F287" i="38"/>
  <c r="E381" i="38"/>
  <c r="D49" i="38"/>
  <c r="E342" i="38"/>
  <c r="E305" i="38"/>
  <c r="F283" i="38"/>
  <c r="F290" i="38"/>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M3" i="37"/>
  <c r="J143" i="35"/>
  <c r="F106" i="38"/>
  <c r="N279" i="35"/>
  <c r="G27" i="38"/>
  <c r="J159" i="35"/>
  <c r="F118" i="38"/>
  <c r="F188" i="38"/>
  <c r="J79" i="35"/>
  <c r="E37" i="38"/>
  <c r="M113" i="35"/>
  <c r="H64" i="38"/>
  <c r="F314" i="38"/>
  <c r="M335" i="35"/>
  <c r="J316" i="35"/>
  <c r="F83" i="38"/>
  <c r="M109" i="35"/>
  <c r="J208" i="35"/>
  <c r="E232" i="38"/>
  <c r="N243" i="35"/>
  <c r="N251" i="35"/>
  <c r="K11" i="37"/>
  <c r="H436" i="38"/>
  <c r="D143" i="38"/>
  <c r="J202" i="35"/>
  <c r="J28" i="37"/>
  <c r="I438" i="38"/>
  <c r="F398" i="38"/>
  <c r="J24" i="35"/>
  <c r="N102" i="35"/>
  <c r="F137" i="38"/>
  <c r="M94" i="35"/>
  <c r="J303" i="35"/>
  <c r="N252" i="35"/>
  <c r="D277" i="38"/>
  <c r="D190" i="38"/>
  <c r="M251" i="35"/>
  <c r="F59" i="38"/>
  <c r="L39" i="35"/>
  <c r="D2" i="38"/>
  <c r="N18" i="35"/>
  <c r="M233" i="35"/>
  <c r="J19" i="35"/>
  <c r="F17" i="38"/>
  <c r="J239" i="35"/>
  <c r="D191" i="38"/>
  <c r="H42" i="38"/>
  <c r="J258" i="35"/>
  <c r="N139" i="35"/>
  <c r="M301" i="35"/>
  <c r="J38" i="35"/>
  <c r="K420" i="38"/>
  <c r="E110" i="38"/>
  <c r="K431" i="38"/>
  <c r="E409" i="38"/>
  <c r="L11" i="37"/>
  <c r="J67" i="35"/>
  <c r="D282" i="38"/>
  <c r="J69" i="35"/>
  <c r="J31" i="37"/>
  <c r="D6" i="38"/>
  <c r="E275" i="38"/>
  <c r="J307" i="35"/>
  <c r="E150" i="38"/>
  <c r="E221" i="38"/>
  <c r="E108" i="38"/>
  <c r="M379" i="35"/>
  <c r="E402" i="38"/>
  <c r="S7" i="37"/>
  <c r="J27" i="37"/>
  <c r="M20" i="35"/>
  <c r="N192" i="35"/>
  <c r="M262" i="35"/>
  <c r="N68" i="35"/>
  <c r="F12" i="38"/>
  <c r="M14" i="37"/>
  <c r="M183" i="35"/>
  <c r="N77" i="35"/>
  <c r="G21" i="38"/>
  <c r="D206" i="38"/>
  <c r="J230" i="35"/>
  <c r="N382" i="35"/>
  <c r="E48" i="38"/>
  <c r="J193" i="35"/>
  <c r="N427" i="38"/>
  <c r="E78" i="38"/>
  <c r="J334" i="35"/>
  <c r="G68" i="38"/>
  <c r="M108" i="35"/>
  <c r="J125" i="35"/>
  <c r="N40" i="35"/>
  <c r="E291" i="38"/>
  <c r="H440" i="38"/>
  <c r="J320" i="35"/>
  <c r="E431" i="38"/>
  <c r="N45" i="35"/>
  <c r="S10" i="37"/>
  <c r="N351" i="35"/>
  <c r="E426" i="38"/>
  <c r="N47" i="35"/>
  <c r="O35" i="37"/>
  <c r="M391" i="35"/>
  <c r="F63" i="38"/>
  <c r="N308" i="35"/>
  <c r="M337" i="35"/>
  <c r="N327" i="35"/>
  <c r="N156" i="35"/>
  <c r="M11" i="35"/>
  <c r="G9" i="38"/>
  <c r="E179" i="38"/>
  <c r="M343" i="35"/>
  <c r="F49" i="38"/>
  <c r="M122" i="35"/>
  <c r="E296" i="38"/>
  <c r="H52" i="38"/>
  <c r="M351" i="35"/>
  <c r="N162" i="35"/>
  <c r="M258" i="35"/>
  <c r="J213" i="35"/>
  <c r="E62" i="38"/>
  <c r="J32" i="35"/>
  <c r="D144" i="38"/>
  <c r="F151" i="38"/>
  <c r="J52" i="35"/>
  <c r="K25" i="35"/>
  <c r="N176" i="35"/>
  <c r="N23" i="35"/>
  <c r="J243" i="35"/>
  <c r="F96" i="38"/>
  <c r="H422" i="38"/>
  <c r="N36" i="35"/>
  <c r="M190" i="35"/>
  <c r="E412" i="38"/>
  <c r="E143" i="38"/>
  <c r="N61" i="35"/>
  <c r="M402" i="35"/>
  <c r="F329" i="38"/>
  <c r="M33" i="35"/>
  <c r="E116" i="38"/>
  <c r="N58" i="35"/>
  <c r="N304" i="35"/>
  <c r="D251" i="38"/>
  <c r="J28" i="35"/>
  <c r="F160" i="38"/>
  <c r="K35" i="37"/>
  <c r="N324" i="35"/>
  <c r="J323" i="35"/>
  <c r="J284" i="35"/>
  <c r="J161" i="35"/>
  <c r="I422" i="38"/>
  <c r="J196" i="35"/>
  <c r="N64" i="35"/>
  <c r="M307" i="35"/>
  <c r="D243" i="38"/>
  <c r="N403" i="35"/>
  <c r="M373" i="35"/>
  <c r="F71" i="38"/>
  <c r="J330" i="35"/>
  <c r="J419" i="38"/>
  <c r="G51" i="38"/>
  <c r="M126" i="35"/>
  <c r="Q6" i="37"/>
  <c r="E81" i="38"/>
  <c r="G46" i="38"/>
  <c r="L422" i="38"/>
  <c r="G422" i="38"/>
  <c r="L112" i="35"/>
  <c r="G12" i="38"/>
  <c r="D239" i="38"/>
  <c r="J135" i="35"/>
  <c r="G4" i="38"/>
  <c r="F440" i="38"/>
  <c r="N49" i="35"/>
  <c r="N93" i="35"/>
  <c r="J3" i="37"/>
  <c r="N198" i="35"/>
  <c r="G35" i="38"/>
  <c r="J251" i="35"/>
  <c r="N314" i="35"/>
  <c r="E90" i="38"/>
  <c r="E287" i="38"/>
  <c r="M342" i="35"/>
  <c r="F194" i="38"/>
  <c r="J55" i="35"/>
  <c r="G24" i="38"/>
  <c r="E189" i="38"/>
  <c r="H2" i="38"/>
  <c r="R15" i="37"/>
  <c r="L25" i="35"/>
  <c r="M9" i="37"/>
  <c r="E290" i="38"/>
  <c r="M133" i="35"/>
  <c r="M182" i="35"/>
  <c r="M112" i="35"/>
  <c r="K419" i="38"/>
  <c r="F108" i="38"/>
  <c r="D12" i="38"/>
  <c r="M388" i="35"/>
  <c r="N345" i="35"/>
  <c r="J217" i="35"/>
  <c r="N91" i="35"/>
  <c r="G40" i="38"/>
  <c r="E146" i="38"/>
  <c r="E181" i="38"/>
  <c r="N231" i="35"/>
  <c r="H56" i="38"/>
  <c r="L21" i="37"/>
  <c r="N66" i="35"/>
  <c r="D246" i="38"/>
  <c r="E141" i="38"/>
  <c r="D265" i="38"/>
  <c r="N328" i="35"/>
  <c r="M276" i="35"/>
  <c r="M71" i="35"/>
  <c r="D159" i="38"/>
  <c r="E132" i="38"/>
  <c r="E38" i="38"/>
  <c r="F122" i="38"/>
  <c r="J34" i="35"/>
  <c r="E76" i="38"/>
  <c r="D184" i="38"/>
  <c r="J108" i="35"/>
  <c r="J298" i="35"/>
  <c r="J75" i="35"/>
  <c r="J229" i="35"/>
  <c r="F157" i="38"/>
  <c r="E120" i="38"/>
  <c r="M41" i="35"/>
  <c r="L13" i="37"/>
  <c r="M121" i="35"/>
  <c r="M332" i="35"/>
  <c r="E283" i="38"/>
  <c r="E133" i="38"/>
  <c r="D304" i="38"/>
  <c r="L98" i="35"/>
  <c r="F406" i="38"/>
  <c r="L74" i="35"/>
  <c r="N239" i="35"/>
  <c r="N183" i="35"/>
  <c r="M375" i="35"/>
  <c r="M12" i="35"/>
  <c r="F119" i="38"/>
  <c r="N435" i="38"/>
  <c r="J76" i="35"/>
  <c r="J225" i="35"/>
  <c r="Q3" i="37"/>
  <c r="F308" i="38"/>
  <c r="E51" i="38"/>
  <c r="N285" i="35"/>
  <c r="D343" i="38"/>
  <c r="F53" i="38"/>
  <c r="J81" i="35"/>
  <c r="S16" i="37"/>
  <c r="M54" i="35"/>
  <c r="N405" i="35"/>
  <c r="N129" i="35"/>
  <c r="M426" i="38"/>
  <c r="L436" i="38"/>
  <c r="J309" i="35"/>
  <c r="J66" i="35"/>
  <c r="F64" i="38"/>
  <c r="E198" i="38"/>
  <c r="F407" i="38"/>
  <c r="R17" i="37"/>
  <c r="E403" i="38"/>
  <c r="N99" i="35"/>
  <c r="F427" i="38"/>
  <c r="M369" i="35"/>
  <c r="M212" i="35"/>
  <c r="N301" i="35"/>
  <c r="H54" i="38"/>
  <c r="J10" i="35"/>
  <c r="M279" i="35"/>
  <c r="E136" i="38"/>
  <c r="D207" i="38"/>
  <c r="J160" i="35"/>
  <c r="I423" i="38"/>
  <c r="M310" i="35"/>
  <c r="N10" i="35"/>
  <c r="G41" i="38"/>
  <c r="J266" i="35"/>
  <c r="J181" i="35"/>
  <c r="F2" i="38"/>
  <c r="J425" i="38"/>
  <c r="O10" i="37"/>
  <c r="H59" i="38"/>
  <c r="D178" i="38"/>
  <c r="N38" i="35"/>
  <c r="K432" i="38"/>
  <c r="N15" i="35"/>
  <c r="M371" i="35"/>
  <c r="F109" i="38"/>
  <c r="D324" i="38"/>
  <c r="J82" i="35"/>
  <c r="K29" i="35"/>
  <c r="F92" i="38"/>
  <c r="H13" i="38"/>
  <c r="N131" i="35"/>
  <c r="N60" i="35"/>
  <c r="K66" i="35"/>
  <c r="G22" i="38"/>
  <c r="M308" i="35"/>
  <c r="D249" i="38"/>
  <c r="L27" i="35"/>
  <c r="Q7" i="37"/>
  <c r="E101" i="38"/>
  <c r="K53" i="35"/>
  <c r="D165" i="38"/>
  <c r="J57" i="35"/>
  <c r="D290" i="38"/>
  <c r="N386" i="35"/>
  <c r="N46" i="35"/>
  <c r="H58" i="38"/>
  <c r="K434" i="38"/>
  <c r="N117" i="35"/>
  <c r="J41" i="35"/>
  <c r="F124" i="38"/>
  <c r="F334" i="38"/>
  <c r="E228" i="38"/>
  <c r="M139" i="35"/>
  <c r="M218" i="35"/>
  <c r="N39" i="35"/>
  <c r="J58" i="35"/>
  <c r="M169" i="35"/>
  <c r="M318" i="35"/>
  <c r="K30" i="35"/>
  <c r="F107" i="38"/>
  <c r="N230" i="35"/>
  <c r="N343" i="35"/>
  <c r="J90" i="35"/>
  <c r="E147" i="38"/>
  <c r="D223" i="38"/>
  <c r="G418" i="38"/>
  <c r="M24" i="35"/>
  <c r="N225" i="35"/>
  <c r="N407" i="35"/>
  <c r="E280" i="38"/>
  <c r="J71" i="35"/>
  <c r="E134" i="38"/>
  <c r="N227" i="35"/>
  <c r="F170" i="38"/>
  <c r="M90" i="35"/>
  <c r="J332" i="35"/>
  <c r="E241" i="38"/>
  <c r="N21" i="37"/>
  <c r="M75" i="35"/>
  <c r="F134" i="38"/>
  <c r="N316" i="35"/>
  <c r="D160" i="38"/>
  <c r="J223" i="35"/>
  <c r="L76" i="35"/>
  <c r="N10" i="37"/>
  <c r="F39" i="38"/>
  <c r="J338" i="35"/>
  <c r="L428" i="38"/>
  <c r="F382" i="38"/>
  <c r="N167" i="35"/>
  <c r="D163" i="38"/>
  <c r="N71" i="35"/>
  <c r="J130" i="35"/>
  <c r="Q23" i="37"/>
  <c r="L131" i="35"/>
  <c r="I428" i="38"/>
  <c r="E235" i="38"/>
  <c r="G434" i="38"/>
  <c r="G10" i="38"/>
  <c r="G64" i="38"/>
  <c r="D166" i="38"/>
  <c r="F112" i="38"/>
  <c r="F367" i="38"/>
  <c r="S5" i="37"/>
  <c r="F325" i="38"/>
  <c r="F436" i="38"/>
  <c r="J154" i="35"/>
  <c r="E274" i="38"/>
  <c r="M21" i="37"/>
  <c r="M88" i="35"/>
  <c r="K65" i="35"/>
  <c r="E93" i="38"/>
  <c r="M142" i="35"/>
  <c r="K16" i="37"/>
  <c r="H53" i="38"/>
  <c r="H19" i="38"/>
  <c r="L6" i="37"/>
  <c r="E263" i="38"/>
  <c r="E83" i="38"/>
  <c r="L423" i="38"/>
  <c r="E187" i="38"/>
  <c r="M198" i="35"/>
  <c r="N153" i="35"/>
  <c r="N180" i="35"/>
  <c r="N372" i="35"/>
  <c r="N286" i="35"/>
  <c r="D227" i="38"/>
  <c r="M269" i="35"/>
  <c r="N59" i="35"/>
  <c r="J256" i="35"/>
  <c r="M111" i="35"/>
  <c r="J194" i="35"/>
  <c r="M348" i="35"/>
  <c r="M436" i="38"/>
  <c r="F378" i="38"/>
  <c r="N209" i="35"/>
  <c r="E72" i="38"/>
  <c r="F321" i="38"/>
  <c r="H420" i="38"/>
  <c r="H419" i="38"/>
  <c r="M189" i="35"/>
  <c r="D244" i="38"/>
  <c r="J89" i="35"/>
  <c r="D294" i="38"/>
  <c r="N110" i="35"/>
  <c r="F105" i="38"/>
  <c r="H25" i="38"/>
  <c r="M35" i="35"/>
  <c r="N72" i="35"/>
  <c r="H428" i="38"/>
  <c r="N204" i="35"/>
  <c r="H14" i="38"/>
  <c r="F303" i="38"/>
  <c r="N352" i="35"/>
  <c r="J174" i="35"/>
  <c r="J182" i="35"/>
  <c r="N19" i="35"/>
  <c r="M128" i="35"/>
  <c r="D187" i="38"/>
  <c r="M181" i="35"/>
  <c r="M385" i="35"/>
  <c r="F430" i="38"/>
  <c r="D272" i="38"/>
  <c r="F26" i="38"/>
  <c r="J199" i="35"/>
  <c r="L117" i="35"/>
  <c r="E276" i="38"/>
  <c r="N361" i="35"/>
  <c r="N141" i="35"/>
  <c r="K11" i="35"/>
  <c r="E43" i="38"/>
  <c r="N364" i="35"/>
  <c r="M99" i="35"/>
  <c r="D318" i="38"/>
  <c r="M193" i="35"/>
  <c r="N253" i="35"/>
  <c r="G54" i="38"/>
  <c r="M423" i="38"/>
  <c r="F380" i="38"/>
  <c r="F143" i="38"/>
  <c r="J94" i="35"/>
  <c r="F77" i="38"/>
  <c r="F91" i="38"/>
  <c r="K14" i="37"/>
  <c r="M136" i="35"/>
  <c r="J149" i="35"/>
  <c r="M184" i="35"/>
  <c r="E266" i="38"/>
  <c r="J273" i="35"/>
  <c r="N398" i="35"/>
  <c r="E297" i="38"/>
  <c r="J209" i="35"/>
  <c r="N5" i="37"/>
  <c r="J33" i="37"/>
  <c r="D299" i="38"/>
  <c r="E183" i="38"/>
  <c r="F172" i="38"/>
  <c r="D326" i="38"/>
  <c r="E195" i="38"/>
  <c r="K40" i="35"/>
  <c r="S17" i="37"/>
  <c r="K9" i="35"/>
  <c r="M175" i="35"/>
  <c r="N78" i="35"/>
  <c r="M324" i="35"/>
  <c r="N236" i="35"/>
  <c r="L10" i="35"/>
  <c r="F397" i="38"/>
  <c r="M381" i="35"/>
  <c r="F320" i="38"/>
  <c r="F199" i="38"/>
  <c r="E405" i="38"/>
  <c r="R21" i="37"/>
  <c r="F52" i="38"/>
  <c r="M322" i="35"/>
  <c r="M194" i="35"/>
  <c r="E419" i="38"/>
  <c r="D180" i="38"/>
  <c r="E255" i="38"/>
  <c r="J9" i="37"/>
  <c r="N160" i="35"/>
  <c r="M284" i="35"/>
  <c r="F20" i="38"/>
  <c r="D342" i="38"/>
  <c r="L433" i="38"/>
  <c r="O21" i="37"/>
  <c r="E95" i="38"/>
  <c r="K424" i="38"/>
  <c r="N284" i="35"/>
  <c r="L440" i="38"/>
  <c r="E215" i="38"/>
  <c r="E15" i="38"/>
  <c r="M319" i="35"/>
  <c r="M143" i="35"/>
  <c r="N424" i="38"/>
  <c r="N404" i="35"/>
  <c r="L2" i="35"/>
  <c r="D235" i="38"/>
  <c r="N269" i="35"/>
  <c r="F150" i="38"/>
  <c r="J50" i="35"/>
  <c r="L122" i="35"/>
  <c r="J220" i="35"/>
  <c r="M428" i="38"/>
  <c r="J211" i="35"/>
  <c r="M298" i="35"/>
  <c r="M404" i="35"/>
  <c r="M123" i="35"/>
  <c r="J8" i="35"/>
  <c r="F67" i="38"/>
  <c r="N283" i="35"/>
  <c r="K63" i="35"/>
  <c r="L425" i="38"/>
  <c r="M137" i="35"/>
  <c r="G421" i="38"/>
  <c r="J77" i="35"/>
  <c r="N347" i="35"/>
  <c r="F305" i="38"/>
  <c r="F196" i="38"/>
  <c r="D307" i="38"/>
  <c r="J437" i="38"/>
  <c r="M367" i="35"/>
  <c r="D167" i="38"/>
  <c r="D214" i="38"/>
  <c r="E20" i="38"/>
  <c r="F401" i="38"/>
  <c r="D325" i="38"/>
  <c r="H431" i="38"/>
  <c r="F25" i="38"/>
  <c r="E225" i="38"/>
  <c r="N22" i="35"/>
  <c r="E244" i="38"/>
  <c r="J105" i="35"/>
  <c r="M134" i="35"/>
  <c r="D201" i="38"/>
  <c r="M81" i="35"/>
  <c r="H423" i="38"/>
  <c r="E246" i="38"/>
  <c r="M210" i="35"/>
  <c r="E190" i="38"/>
  <c r="G34" i="38"/>
  <c r="N428" i="38"/>
  <c r="M159" i="35"/>
  <c r="M163" i="35"/>
  <c r="F146" i="38"/>
  <c r="F130" i="38"/>
  <c r="N200" i="35"/>
  <c r="D270" i="38"/>
  <c r="M174" i="35"/>
  <c r="N172" i="35"/>
  <c r="F135" i="38"/>
  <c r="N14" i="37"/>
  <c r="F54" i="38"/>
  <c r="D236" i="38"/>
  <c r="L130" i="35"/>
  <c r="K6" i="37"/>
  <c r="N384" i="35"/>
  <c r="D288" i="38"/>
  <c r="F368" i="38"/>
  <c r="M72" i="35"/>
  <c r="F15" i="38"/>
  <c r="N87" i="35"/>
  <c r="J7" i="35"/>
  <c r="F138" i="38"/>
  <c r="F431" i="38"/>
  <c r="N215" i="35"/>
  <c r="N245" i="35"/>
  <c r="L438" i="38"/>
  <c r="F388" i="38"/>
  <c r="N168" i="35"/>
  <c r="E109" i="38"/>
  <c r="F420" i="38"/>
  <c r="L126" i="35"/>
  <c r="J427" i="38"/>
  <c r="F99" i="38"/>
  <c r="E34" i="38"/>
  <c r="G53" i="38"/>
  <c r="E169" i="38"/>
  <c r="E111" i="38"/>
  <c r="D257" i="38"/>
  <c r="F55" i="38"/>
  <c r="E269" i="38"/>
  <c r="R7" i="37"/>
  <c r="M10" i="37"/>
  <c r="L115" i="35"/>
  <c r="D295" i="38"/>
  <c r="G56" i="38"/>
  <c r="M211" i="35"/>
  <c r="D17" i="38"/>
  <c r="M97" i="35"/>
  <c r="N54" i="35"/>
  <c r="F423" i="38"/>
  <c r="G19" i="38"/>
  <c r="E262" i="38"/>
  <c r="L56" i="35"/>
  <c r="H7" i="38"/>
  <c r="M117" i="35"/>
  <c r="J187" i="35"/>
  <c r="F312" i="38"/>
  <c r="F10" i="38"/>
  <c r="J64" i="35"/>
  <c r="N158" i="35"/>
  <c r="M153" i="35"/>
  <c r="N210" i="35"/>
  <c r="N9" i="37"/>
  <c r="N378" i="35"/>
  <c r="N280" i="35"/>
  <c r="J152" i="35"/>
  <c r="M127" i="35"/>
  <c r="J13" i="37"/>
  <c r="O15" i="37"/>
  <c r="F302" i="38"/>
  <c r="J315" i="35"/>
  <c r="J340" i="35"/>
  <c r="N422" i="38"/>
  <c r="N157" i="35"/>
  <c r="N16" i="35"/>
  <c r="F370" i="38"/>
  <c r="N376" i="35"/>
  <c r="K19" i="35"/>
  <c r="F142" i="38"/>
  <c r="N305" i="35"/>
  <c r="N342" i="35"/>
  <c r="D142" i="38"/>
  <c r="J433" i="38"/>
  <c r="E36" i="38"/>
  <c r="D186" i="38"/>
  <c r="J252" i="35"/>
  <c r="M82" i="35"/>
  <c r="N374" i="35"/>
  <c r="K46" i="35"/>
  <c r="M59" i="35"/>
  <c r="E105" i="38"/>
  <c r="H441" i="38"/>
  <c r="J106" i="35"/>
  <c r="F152" i="38"/>
  <c r="M304" i="35"/>
  <c r="L73" i="35"/>
  <c r="N313" i="35"/>
  <c r="E85" i="38"/>
  <c r="N7" i="37"/>
  <c r="G430" i="38"/>
  <c r="N371" i="35"/>
  <c r="M313" i="35"/>
  <c r="E49" i="38"/>
  <c r="L3" i="35"/>
  <c r="J295" i="35"/>
  <c r="J418" i="38"/>
  <c r="N437" i="38"/>
  <c r="N124" i="35"/>
  <c r="H421" i="38"/>
  <c r="N325" i="35"/>
  <c r="I435" i="38"/>
  <c r="M8" i="35"/>
  <c r="F166" i="38"/>
  <c r="N82" i="35"/>
  <c r="N369" i="35"/>
  <c r="Q10" i="37"/>
  <c r="E248" i="38"/>
  <c r="G432" i="38"/>
  <c r="N354" i="35"/>
  <c r="P5" i="37"/>
  <c r="M228" i="35"/>
  <c r="E413" i="38"/>
  <c r="N368" i="35"/>
  <c r="E55" i="38"/>
  <c r="D179" i="38"/>
  <c r="E429" i="38"/>
  <c r="J132" i="35"/>
  <c r="E227" i="38"/>
  <c r="N337" i="35"/>
  <c r="F101" i="38"/>
  <c r="J34" i="37"/>
  <c r="N258" i="35"/>
  <c r="N432" i="38"/>
  <c r="F110" i="38"/>
  <c r="K58" i="35"/>
  <c r="D195" i="38"/>
  <c r="L44" i="35"/>
  <c r="N322" i="35"/>
  <c r="F65" i="38"/>
  <c r="D218" i="38"/>
  <c r="D219" i="38"/>
  <c r="F97" i="38"/>
  <c r="J227" i="35"/>
  <c r="M405" i="35"/>
  <c r="L100" i="35"/>
  <c r="J216" i="35"/>
  <c r="S35" i="37"/>
  <c r="M377" i="35"/>
  <c r="J269" i="35"/>
  <c r="S6" i="37"/>
  <c r="K13" i="37"/>
  <c r="N159" i="35"/>
  <c r="F307" i="38"/>
  <c r="G17" i="38"/>
  <c r="N246" i="35"/>
  <c r="M158" i="35"/>
  <c r="M167" i="35"/>
  <c r="N166" i="35"/>
  <c r="N147" i="35"/>
  <c r="J228" i="35"/>
  <c r="N221" i="35"/>
  <c r="M398" i="35"/>
  <c r="J7" i="37"/>
  <c r="G47" i="38"/>
  <c r="J21" i="35"/>
  <c r="E433" i="38"/>
  <c r="N423" i="38"/>
  <c r="I432" i="38"/>
  <c r="F104" i="38"/>
  <c r="F147" i="38"/>
  <c r="D196" i="38"/>
  <c r="L105" i="35"/>
  <c r="E260" i="38"/>
  <c r="J175" i="35"/>
  <c r="P23" i="37"/>
  <c r="F127" i="38"/>
  <c r="M119" i="35"/>
  <c r="J326" i="35"/>
  <c r="I426" i="38"/>
  <c r="J128" i="35"/>
  <c r="M7" i="37"/>
  <c r="G45" i="38"/>
  <c r="J101" i="35"/>
  <c r="N330" i="35"/>
  <c r="P16" i="37"/>
  <c r="N30" i="35"/>
  <c r="E188" i="38"/>
  <c r="E25" i="38"/>
  <c r="D215" i="38"/>
  <c r="M202" i="35"/>
  <c r="F413" i="38"/>
  <c r="H28" i="38"/>
  <c r="F34" i="38"/>
  <c r="F19" i="38"/>
  <c r="E267" i="38"/>
  <c r="K34" i="35"/>
  <c r="N418" i="38"/>
  <c r="G60" i="38"/>
  <c r="D232" i="38"/>
  <c r="J99" i="35"/>
  <c r="E436" i="38"/>
  <c r="M341" i="35"/>
  <c r="E112" i="38"/>
  <c r="E123" i="38"/>
  <c r="L108" i="35"/>
  <c r="J292" i="35"/>
  <c r="J100" i="35"/>
  <c r="J163" i="35"/>
  <c r="J169" i="35"/>
  <c r="E223" i="38"/>
  <c r="H60" i="38"/>
  <c r="J203" i="35"/>
  <c r="S3" i="37"/>
  <c r="N274" i="35"/>
  <c r="F304" i="38"/>
  <c r="F9" i="38"/>
  <c r="F45" i="38"/>
  <c r="E222" i="38"/>
  <c r="E200" i="38"/>
  <c r="M227" i="35"/>
  <c r="K7" i="37"/>
  <c r="J235" i="35"/>
  <c r="D161" i="38"/>
  <c r="J296" i="35"/>
  <c r="E12" i="38"/>
  <c r="N152" i="35"/>
  <c r="K13" i="35"/>
  <c r="F7" i="38"/>
  <c r="H43" i="38"/>
  <c r="E86" i="38"/>
  <c r="J17" i="37"/>
  <c r="E139" i="38"/>
  <c r="F128" i="38"/>
  <c r="F98" i="38"/>
  <c r="F373" i="38"/>
  <c r="F309" i="38"/>
  <c r="E230" i="38"/>
  <c r="L28" i="35"/>
  <c r="J237" i="35"/>
  <c r="F35" i="38"/>
  <c r="N11" i="35"/>
  <c r="J317" i="35"/>
  <c r="D226" i="38"/>
  <c r="E4" i="38"/>
  <c r="D320" i="38"/>
  <c r="G59" i="38"/>
  <c r="I436" i="38"/>
  <c r="E432" i="38"/>
  <c r="F73" i="38"/>
  <c r="L426" i="38"/>
  <c r="D3" i="38"/>
  <c r="E154" i="38"/>
  <c r="G419" i="38"/>
  <c r="H20" i="38"/>
  <c r="E103" i="38"/>
  <c r="M100" i="35"/>
  <c r="J151" i="35"/>
  <c r="F86" i="38"/>
  <c r="N67" i="35"/>
  <c r="R11" i="37"/>
  <c r="H67" i="38"/>
  <c r="N90" i="35"/>
  <c r="G31" i="38"/>
  <c r="E204" i="38"/>
  <c r="M300" i="35"/>
  <c r="E71" i="38"/>
  <c r="J244" i="35"/>
  <c r="G49" i="38"/>
  <c r="F322" i="38"/>
  <c r="F424" i="38"/>
  <c r="M326" i="35"/>
  <c r="M265" i="35"/>
  <c r="E79" i="38"/>
  <c r="N401" i="35"/>
  <c r="D308" i="38"/>
  <c r="F434" i="38"/>
  <c r="E292" i="38"/>
  <c r="D298" i="38"/>
  <c r="D217" i="38"/>
  <c r="F360" i="38"/>
  <c r="D139" i="38"/>
  <c r="J236" i="35"/>
  <c r="E39" i="38"/>
  <c r="L125" i="35"/>
  <c r="N238" i="35"/>
  <c r="N187" i="35"/>
  <c r="M278" i="35"/>
  <c r="J5" i="37"/>
  <c r="F120" i="38"/>
  <c r="J185" i="35"/>
  <c r="E239" i="38"/>
  <c r="J241" i="35"/>
  <c r="N13" i="35"/>
  <c r="M172" i="35"/>
  <c r="E236" i="38"/>
  <c r="J233" i="35"/>
  <c r="E135" i="38"/>
  <c r="F432" i="38"/>
  <c r="F18" i="38"/>
  <c r="H8" i="38"/>
  <c r="F441" i="38"/>
  <c r="D321" i="38"/>
  <c r="E73" i="38"/>
  <c r="J329" i="35"/>
  <c r="N154" i="35"/>
  <c r="E42" i="38"/>
  <c r="E418" i="38"/>
  <c r="K441" i="38"/>
  <c r="D310" i="38"/>
  <c r="F102" i="38"/>
  <c r="J129" i="35"/>
  <c r="M408" i="35"/>
  <c r="N97" i="35"/>
  <c r="R5" i="37"/>
  <c r="N217" i="35"/>
  <c r="M215" i="35"/>
  <c r="G38" i="38"/>
  <c r="J293" i="35"/>
  <c r="E210" i="38"/>
  <c r="M314" i="35"/>
  <c r="L110" i="35"/>
  <c r="K16" i="35"/>
  <c r="G23" i="38"/>
  <c r="N169" i="35"/>
  <c r="L66" i="35"/>
  <c r="P14" i="37"/>
  <c r="M166" i="35"/>
  <c r="N312" i="35"/>
  <c r="M250" i="35"/>
  <c r="F310" i="38"/>
  <c r="J260" i="35"/>
  <c r="J141" i="35"/>
  <c r="D340" i="38"/>
  <c r="F350" i="38"/>
  <c r="J276" i="35"/>
  <c r="E441" i="38"/>
  <c r="M92" i="35"/>
  <c r="N388" i="35"/>
  <c r="L59" i="35"/>
  <c r="H45" i="38"/>
  <c r="M421" i="38"/>
  <c r="D262" i="38"/>
  <c r="M145" i="35"/>
  <c r="L57" i="35"/>
  <c r="M238" i="35"/>
  <c r="F129" i="38"/>
  <c r="J291" i="35"/>
  <c r="M424" i="38"/>
  <c r="N205" i="35"/>
  <c r="J259" i="35"/>
  <c r="M358" i="35"/>
  <c r="F167" i="38"/>
  <c r="F381" i="38"/>
  <c r="E119" i="38"/>
  <c r="M10" i="35"/>
  <c r="L109" i="35"/>
  <c r="E435" i="38"/>
  <c r="M254" i="35"/>
  <c r="L67" i="35"/>
  <c r="M18" i="35"/>
  <c r="N74" i="35"/>
  <c r="F178" i="38"/>
  <c r="J339" i="35"/>
  <c r="P9" i="37"/>
  <c r="E151" i="38"/>
  <c r="F358" i="38"/>
  <c r="M101" i="35"/>
  <c r="F179" i="38"/>
  <c r="F158" i="38"/>
  <c r="N218" i="35"/>
  <c r="N115" i="35"/>
  <c r="J257" i="35"/>
  <c r="L63" i="35"/>
  <c r="N393" i="35"/>
  <c r="F348" i="38"/>
  <c r="J170" i="35"/>
  <c r="E196" i="38"/>
  <c r="M57" i="35"/>
  <c r="M21" i="35"/>
  <c r="J173" i="35"/>
  <c r="F43" i="38"/>
  <c r="M95" i="35"/>
  <c r="N6" i="35"/>
  <c r="F191" i="38"/>
  <c r="D319" i="38"/>
  <c r="N44" i="35"/>
  <c r="E214" i="38"/>
  <c r="N14" i="35"/>
  <c r="D312" i="38"/>
  <c r="M345" i="35"/>
  <c r="N320" i="35"/>
  <c r="L33" i="35"/>
  <c r="E414" i="38"/>
  <c r="M386" i="35"/>
  <c r="M188" i="35"/>
  <c r="M362" i="35"/>
  <c r="L43" i="35"/>
  <c r="F359" i="38"/>
  <c r="M131" i="35"/>
  <c r="E158" i="38"/>
  <c r="L78" i="35"/>
  <c r="E256" i="38"/>
  <c r="H66" i="38"/>
  <c r="M274" i="35"/>
  <c r="F186" i="38"/>
  <c r="O19" i="37"/>
  <c r="N373" i="35"/>
  <c r="Q13" i="37"/>
  <c r="F36" i="38"/>
  <c r="F332" i="38"/>
  <c r="D305" i="38"/>
  <c r="J267" i="35"/>
  <c r="F399" i="38"/>
  <c r="K17" i="35"/>
  <c r="D205" i="38"/>
  <c r="M316" i="35"/>
  <c r="L430" i="38"/>
  <c r="D176" i="38"/>
  <c r="M331" i="35"/>
  <c r="E33" i="38"/>
  <c r="E404" i="38"/>
  <c r="L86" i="35"/>
  <c r="M146" i="35"/>
  <c r="J150" i="35"/>
  <c r="M107" i="35"/>
  <c r="G420" i="38"/>
  <c r="N232" i="35"/>
  <c r="L116" i="35"/>
  <c r="N32" i="35"/>
  <c r="E161" i="38"/>
  <c r="F139" i="38"/>
  <c r="F72" i="38"/>
  <c r="R9" i="37"/>
  <c r="N25" i="35"/>
  <c r="N7" i="35"/>
  <c r="D274" i="38"/>
  <c r="E282" i="38"/>
  <c r="M285" i="35"/>
  <c r="M150" i="35"/>
  <c r="D345" i="38"/>
  <c r="F301" i="38"/>
  <c r="D155" i="38"/>
  <c r="J430" i="38"/>
  <c r="N244" i="35"/>
  <c r="M23" i="37"/>
  <c r="N357" i="35"/>
  <c r="D317" i="38"/>
  <c r="G52" i="38"/>
  <c r="J219" i="35"/>
  <c r="N132" i="35"/>
  <c r="M197" i="35"/>
  <c r="M216" i="35"/>
  <c r="K23" i="35"/>
  <c r="F156" i="38"/>
  <c r="J429" i="38"/>
  <c r="J231" i="35"/>
  <c r="G61" i="38"/>
  <c r="L12" i="35"/>
  <c r="N248" i="35"/>
  <c r="N96" i="35"/>
  <c r="N120" i="35"/>
  <c r="D280" i="38"/>
  <c r="N282" i="35"/>
  <c r="F46" i="38"/>
  <c r="M321" i="35"/>
  <c r="L13" i="35"/>
  <c r="H432" i="38"/>
  <c r="R23" i="37"/>
  <c r="N406" i="35"/>
  <c r="F184" i="38"/>
  <c r="J26" i="37"/>
  <c r="M207" i="35"/>
  <c r="H11" i="38"/>
  <c r="D158" i="38"/>
  <c r="M311" i="35"/>
  <c r="K15" i="35"/>
  <c r="D16" i="38"/>
  <c r="N254" i="35"/>
  <c r="M315" i="35"/>
  <c r="M234" i="35"/>
  <c r="E16" i="38"/>
  <c r="E237" i="38"/>
  <c r="G435" i="38"/>
  <c r="L101" i="35"/>
  <c r="L17" i="37"/>
  <c r="N50" i="35"/>
  <c r="H61" i="38"/>
  <c r="F369" i="38"/>
  <c r="D231" i="38"/>
  <c r="L48" i="35"/>
  <c r="L72" i="35"/>
  <c r="N11" i="37"/>
  <c r="F343" i="38"/>
  <c r="J11" i="37"/>
  <c r="N268" i="35"/>
  <c r="E298" i="38"/>
  <c r="M336" i="35"/>
  <c r="J335" i="35"/>
  <c r="N417" i="38"/>
  <c r="F76" i="38"/>
  <c r="J165" i="35"/>
  <c r="D229" i="38"/>
  <c r="F336" i="38"/>
  <c r="J417" i="38"/>
  <c r="J270" i="35"/>
  <c r="K48" i="35"/>
  <c r="G423" i="38"/>
  <c r="K3" i="37"/>
  <c r="L88" i="35"/>
  <c r="N311" i="35"/>
  <c r="E219" i="38"/>
  <c r="M44" i="35"/>
  <c r="D8" i="38"/>
  <c r="F103" i="38"/>
  <c r="S15" i="37"/>
  <c r="F412" i="38"/>
  <c r="N5" i="35"/>
  <c r="M195" i="35"/>
  <c r="G50" i="38"/>
  <c r="N148" i="35"/>
  <c r="N383" i="35"/>
  <c r="N149" i="35"/>
  <c r="M204" i="35"/>
  <c r="M203" i="35"/>
  <c r="M297" i="35"/>
  <c r="N108" i="35"/>
  <c r="E231" i="38"/>
  <c r="E149" i="38"/>
  <c r="M51" i="35"/>
  <c r="J441" i="38"/>
  <c r="J147" i="35"/>
  <c r="M157" i="35"/>
  <c r="E271" i="38"/>
  <c r="N263" i="35"/>
  <c r="F372" i="38"/>
  <c r="J88" i="35"/>
  <c r="M16" i="35"/>
  <c r="L90" i="35"/>
  <c r="M333" i="35"/>
  <c r="N436" i="38"/>
  <c r="F58" i="38"/>
  <c r="M201" i="35"/>
  <c r="K27" i="35"/>
  <c r="H6" i="38"/>
  <c r="J97" i="35"/>
  <c r="J30" i="35"/>
  <c r="L421" i="38"/>
  <c r="J318" i="35"/>
  <c r="N29" i="35"/>
  <c r="D230" i="38"/>
  <c r="H35" i="38"/>
  <c r="J35" i="37"/>
  <c r="J20" i="35"/>
  <c r="G5" i="38"/>
  <c r="H50" i="38"/>
  <c r="E293" i="38"/>
  <c r="E208" i="38"/>
  <c r="M360" i="35"/>
  <c r="N375" i="35"/>
  <c r="K47" i="35"/>
  <c r="J171" i="35"/>
  <c r="J435" i="38"/>
  <c r="F356" i="38"/>
  <c r="E247" i="38"/>
  <c r="M43" i="35"/>
  <c r="K57" i="35"/>
  <c r="G438" i="38"/>
  <c r="M232" i="35"/>
  <c r="N396" i="35"/>
  <c r="N118" i="35"/>
  <c r="M383" i="35"/>
  <c r="R3" i="37"/>
  <c r="M125" i="35"/>
  <c r="J72" i="35"/>
  <c r="N134" i="35"/>
  <c r="D247" i="38"/>
  <c r="N127" i="35"/>
  <c r="J117" i="35"/>
  <c r="E211" i="38"/>
  <c r="K68" i="35"/>
  <c r="E130" i="38"/>
  <c r="D279" i="38"/>
  <c r="N106" i="35"/>
  <c r="J70" i="35"/>
  <c r="E140" i="38"/>
  <c r="K435" i="38"/>
  <c r="G58" i="38"/>
  <c r="D315" i="38"/>
  <c r="J83" i="35"/>
  <c r="N219" i="35"/>
  <c r="E234" i="38"/>
  <c r="D11" i="38"/>
  <c r="N20" i="35"/>
  <c r="E216" i="38"/>
  <c r="E264" i="38"/>
  <c r="F197" i="38"/>
  <c r="F426" i="38"/>
  <c r="N179" i="35"/>
  <c r="M275" i="35"/>
  <c r="M26" i="35"/>
  <c r="M395" i="35"/>
  <c r="L64" i="35"/>
  <c r="J178" i="35"/>
  <c r="K5" i="35"/>
  <c r="M39" i="35"/>
  <c r="M372" i="35"/>
  <c r="M347" i="35"/>
  <c r="H429" i="38"/>
  <c r="E124" i="38"/>
  <c r="E64" i="38"/>
  <c r="N145" i="35"/>
  <c r="M353" i="35"/>
  <c r="J272" i="35"/>
  <c r="J234" i="35"/>
  <c r="M141" i="35"/>
  <c r="D194" i="38"/>
  <c r="G44" i="38"/>
  <c r="D20" i="38"/>
  <c r="D15" i="38"/>
  <c r="D275" i="38"/>
  <c r="J86" i="35"/>
  <c r="M389" i="35"/>
  <c r="N321" i="35"/>
  <c r="N379" i="35"/>
  <c r="J221" i="35"/>
  <c r="G16" i="38"/>
  <c r="N119" i="35"/>
  <c r="K437" i="38"/>
  <c r="N377" i="35"/>
  <c r="N260" i="35"/>
  <c r="F349" i="38"/>
  <c r="N348" i="35"/>
  <c r="E281" i="38"/>
  <c r="J422" i="38"/>
  <c r="F126" i="38"/>
  <c r="G20" i="38"/>
  <c r="M138" i="35"/>
  <c r="R14" i="37"/>
  <c r="L35" i="37"/>
  <c r="J118" i="35"/>
  <c r="L17" i="35"/>
  <c r="J177" i="35"/>
  <c r="J287" i="35"/>
  <c r="E89" i="38"/>
  <c r="N112" i="35"/>
  <c r="N37" i="35"/>
  <c r="M149" i="35"/>
  <c r="E430" i="38"/>
  <c r="E153" i="38"/>
  <c r="J204" i="35"/>
  <c r="D193" i="38"/>
  <c r="K429" i="38"/>
  <c r="J29" i="35"/>
  <c r="J253" i="35"/>
  <c r="J102" i="35"/>
  <c r="J158" i="35"/>
  <c r="I421" i="38"/>
  <c r="F94" i="38"/>
  <c r="L7" i="37"/>
  <c r="D341" i="38"/>
  <c r="E13" i="38"/>
  <c r="M357" i="35"/>
  <c r="H439" i="38"/>
  <c r="F198" i="38"/>
  <c r="N206" i="35"/>
  <c r="M209" i="35"/>
  <c r="F405" i="38"/>
  <c r="M256" i="35"/>
  <c r="M380" i="35"/>
  <c r="D306" i="38"/>
  <c r="M237" i="35"/>
  <c r="E9" i="38"/>
  <c r="D337" i="38"/>
  <c r="M19" i="37"/>
  <c r="F163" i="38"/>
  <c r="E202" i="38"/>
  <c r="S13" i="37"/>
  <c r="F159" i="38"/>
  <c r="J136" i="35"/>
  <c r="F136" i="38"/>
  <c r="F165" i="38"/>
  <c r="F28" i="38"/>
  <c r="J172" i="35"/>
  <c r="M110" i="35"/>
  <c r="M247" i="35"/>
  <c r="J12" i="35"/>
  <c r="R35" i="37"/>
  <c r="M364" i="35"/>
  <c r="K10" i="35"/>
  <c r="F70" i="38"/>
  <c r="G48" i="38"/>
  <c r="D149" i="38"/>
  <c r="E54" i="38"/>
  <c r="J122" i="35"/>
  <c r="J246" i="35"/>
  <c r="J140" i="35"/>
  <c r="M105" i="35"/>
  <c r="F75" i="38"/>
  <c r="F316" i="38"/>
  <c r="L52" i="35"/>
  <c r="N228" i="35"/>
  <c r="N138" i="35"/>
  <c r="E178" i="38"/>
  <c r="N359" i="35"/>
  <c r="F149" i="38"/>
  <c r="E268" i="38"/>
  <c r="N241" i="35"/>
  <c r="M48" i="35"/>
  <c r="J18" i="35"/>
  <c r="K426" i="38"/>
  <c r="D334" i="38"/>
  <c r="F418" i="38"/>
  <c r="L53" i="35"/>
  <c r="M355" i="35"/>
  <c r="F50" i="38"/>
  <c r="D263" i="38"/>
  <c r="G63" i="38"/>
  <c r="J6" i="35"/>
  <c r="J188" i="35"/>
  <c r="N366" i="35"/>
  <c r="M397" i="35"/>
  <c r="J155" i="35"/>
  <c r="M170" i="35"/>
  <c r="J190" i="35"/>
  <c r="F69" i="38"/>
  <c r="J310" i="35"/>
  <c r="M13" i="35"/>
  <c r="N34" i="35"/>
  <c r="E92" i="38"/>
  <c r="H418" i="38"/>
  <c r="O23" i="37"/>
  <c r="Q16" i="37"/>
  <c r="F47" i="38"/>
  <c r="M394" i="35"/>
  <c r="K19" i="37"/>
  <c r="N429" i="38"/>
  <c r="J222" i="35"/>
  <c r="M370" i="35"/>
  <c r="N307" i="35"/>
  <c r="D241" i="38"/>
  <c r="J180" i="35"/>
  <c r="N256" i="35"/>
  <c r="F133" i="38"/>
  <c r="M295" i="35"/>
  <c r="J14" i="35"/>
  <c r="E91" i="38"/>
  <c r="N402" i="35"/>
  <c r="F419" i="38"/>
  <c r="H63" i="38"/>
  <c r="M69" i="35"/>
  <c r="F140" i="38"/>
  <c r="G8" i="38"/>
  <c r="M53" i="35"/>
  <c r="E289" i="38"/>
  <c r="E23" i="38"/>
  <c r="P3" i="37"/>
  <c r="E67" i="38"/>
  <c r="M154" i="35"/>
  <c r="J274" i="35"/>
  <c r="M287" i="35"/>
  <c r="K44" i="35"/>
  <c r="E77" i="38"/>
  <c r="J341" i="35"/>
  <c r="O17" i="37"/>
  <c r="E233" i="38"/>
  <c r="E159" i="38"/>
  <c r="L432" i="38"/>
  <c r="D204" i="38"/>
  <c r="G29" i="38"/>
  <c r="F193" i="38"/>
  <c r="F169" i="38"/>
  <c r="J92" i="35"/>
  <c r="D237" i="38"/>
  <c r="D224" i="38"/>
  <c r="F331" i="38"/>
  <c r="E125" i="38"/>
  <c r="N208" i="35"/>
  <c r="N340" i="35"/>
  <c r="H40" i="38"/>
  <c r="E401" i="38"/>
  <c r="D200" i="38"/>
  <c r="E94" i="38"/>
  <c r="N355" i="35"/>
  <c r="D19" i="38"/>
  <c r="N24" i="35"/>
  <c r="J23" i="37"/>
  <c r="M28" i="35"/>
  <c r="M180" i="35"/>
  <c r="K62" i="35"/>
  <c r="H433" i="38"/>
  <c r="N362" i="35"/>
  <c r="M7" i="35"/>
  <c r="K21" i="37"/>
  <c r="N107" i="35"/>
  <c r="H424" i="38"/>
  <c r="N334" i="35"/>
  <c r="G424" i="38"/>
  <c r="L42" i="35"/>
  <c r="E224" i="38"/>
  <c r="N16" i="37"/>
  <c r="N387" i="35"/>
  <c r="D212" i="38"/>
  <c r="F80" i="38"/>
  <c r="F176" i="38"/>
  <c r="J120" i="35"/>
  <c r="M78" i="35"/>
  <c r="J17" i="35"/>
  <c r="E138" i="38"/>
  <c r="N271" i="35"/>
  <c r="J166" i="35"/>
  <c r="D151" i="38"/>
  <c r="E242" i="38"/>
  <c r="J189" i="35"/>
  <c r="M49" i="35"/>
  <c r="L3" i="37"/>
  <c r="F306" i="38"/>
  <c r="K433" i="38"/>
  <c r="N257" i="35"/>
  <c r="M334" i="35"/>
  <c r="K24" i="35"/>
  <c r="J46" i="35"/>
  <c r="K33" i="35"/>
  <c r="M187" i="35"/>
  <c r="H36" i="38"/>
  <c r="K428" i="38"/>
  <c r="E21" i="38"/>
  <c r="F383" i="38"/>
  <c r="M365" i="35"/>
  <c r="K10" i="37"/>
  <c r="M425" i="38"/>
  <c r="L106" i="35"/>
  <c r="J240" i="35"/>
  <c r="L133" i="35"/>
  <c r="K59" i="35"/>
  <c r="F414" i="38"/>
  <c r="D252" i="38"/>
  <c r="M356" i="35"/>
  <c r="F195" i="38"/>
  <c r="M19" i="35"/>
  <c r="L104" i="35"/>
  <c r="L94" i="35"/>
  <c r="H62" i="38"/>
  <c r="F347" i="38"/>
  <c r="F81" i="38"/>
  <c r="H37" i="38"/>
  <c r="F330" i="38"/>
  <c r="L47" i="35"/>
  <c r="D154" i="38"/>
  <c r="H30" i="38"/>
  <c r="N35" i="35"/>
  <c r="L20" i="35"/>
  <c r="J238" i="35"/>
  <c r="F326" i="38"/>
  <c r="H27" i="38"/>
  <c r="J146" i="35"/>
  <c r="M5" i="37"/>
  <c r="L70" i="35"/>
  <c r="L62" i="35"/>
  <c r="N276" i="35"/>
  <c r="J40" i="35"/>
  <c r="N8" i="35"/>
  <c r="N121" i="35"/>
  <c r="J119" i="35"/>
  <c r="K36" i="35"/>
  <c r="I433" i="38"/>
  <c r="Q5" i="37"/>
  <c r="M390" i="35"/>
  <c r="D258" i="38"/>
  <c r="J44" i="35"/>
  <c r="M289" i="35"/>
  <c r="M30" i="35"/>
  <c r="F437" i="38"/>
  <c r="K64" i="35"/>
  <c r="J116" i="35"/>
  <c r="N191" i="35"/>
  <c r="H34" i="38"/>
  <c r="J426" i="38"/>
  <c r="F60" i="38"/>
  <c r="L51" i="35"/>
  <c r="M344" i="35"/>
  <c r="M438" i="38"/>
  <c r="N288" i="35"/>
  <c r="L65" i="35"/>
  <c r="N296" i="35"/>
  <c r="M87" i="35"/>
  <c r="M229" i="35"/>
  <c r="M271" i="35"/>
  <c r="J32" i="37"/>
  <c r="N303" i="35"/>
  <c r="P19" i="37"/>
  <c r="F433" i="38"/>
  <c r="S19" i="37"/>
  <c r="J43" i="35"/>
  <c r="J264" i="35"/>
  <c r="M306" i="35"/>
  <c r="D285" i="38"/>
  <c r="N84" i="35"/>
  <c r="J304" i="35"/>
  <c r="N370" i="35"/>
  <c r="D322" i="38"/>
  <c r="F408" i="38"/>
  <c r="J110" i="35"/>
  <c r="M325" i="35"/>
  <c r="M255" i="35"/>
  <c r="M349" i="35"/>
  <c r="J16" i="35"/>
  <c r="L128" i="35"/>
  <c r="J299" i="35"/>
  <c r="J197" i="35"/>
  <c r="E41" i="38"/>
  <c r="D4" i="38"/>
  <c r="J290" i="35"/>
  <c r="H46" i="38"/>
  <c r="J91" i="35"/>
  <c r="L60" i="35"/>
  <c r="D261" i="38"/>
  <c r="E121" i="38"/>
  <c r="J6" i="37"/>
  <c r="M253" i="35"/>
  <c r="J191" i="35"/>
  <c r="N275" i="35"/>
  <c r="M303" i="35"/>
  <c r="F390" i="38"/>
  <c r="M249" i="35"/>
  <c r="M135" i="35"/>
  <c r="D311" i="38"/>
  <c r="L437" i="38"/>
  <c r="N333" i="35"/>
  <c r="D192" i="38"/>
  <c r="E11" i="38"/>
  <c r="N101" i="35"/>
  <c r="N137" i="35"/>
  <c r="D281" i="38"/>
  <c r="J47" i="35"/>
  <c r="N130" i="35"/>
  <c r="E174" i="38"/>
  <c r="E186" i="38"/>
  <c r="Q15" i="37"/>
  <c r="D216" i="38"/>
  <c r="L81" i="35"/>
  <c r="E31" i="38"/>
  <c r="N88" i="35"/>
  <c r="N100" i="35"/>
  <c r="D213" i="38"/>
  <c r="G433" i="38"/>
  <c r="J322" i="35"/>
  <c r="N350" i="35"/>
  <c r="N229" i="35"/>
  <c r="D266" i="38"/>
  <c r="J440" i="38"/>
  <c r="N349" i="35"/>
  <c r="D250" i="38"/>
  <c r="N128" i="35"/>
  <c r="E44" i="38"/>
  <c r="E250" i="38"/>
  <c r="J192" i="35"/>
  <c r="F192" i="38"/>
  <c r="J111" i="35"/>
  <c r="M441" i="38"/>
  <c r="F16" i="38"/>
  <c r="N341" i="35"/>
  <c r="N318" i="35"/>
  <c r="J321" i="35"/>
  <c r="L420" i="38"/>
  <c r="I437" i="38"/>
  <c r="F342" i="38"/>
  <c r="N27" i="35"/>
  <c r="L32" i="35"/>
  <c r="N98" i="35"/>
  <c r="N240" i="35"/>
  <c r="M327" i="35"/>
  <c r="N23" i="37"/>
  <c r="M40" i="35"/>
  <c r="D18" i="38"/>
  <c r="F111" i="38"/>
  <c r="N161" i="35"/>
  <c r="E162" i="38"/>
  <c r="D289" i="38"/>
  <c r="O9" i="37"/>
  <c r="F114" i="38"/>
  <c r="M132" i="35"/>
  <c r="N332" i="35"/>
  <c r="N140" i="35"/>
  <c r="M144" i="35"/>
  <c r="N344" i="35"/>
  <c r="D297" i="38"/>
  <c r="E284" i="38"/>
  <c r="M245" i="35"/>
  <c r="N181" i="35"/>
  <c r="G431" i="38"/>
  <c r="E57" i="38"/>
  <c r="G11" i="38"/>
  <c r="M151" i="35"/>
  <c r="J245" i="35"/>
  <c r="J142" i="35"/>
  <c r="F31" i="38"/>
  <c r="D269" i="38"/>
  <c r="F93" i="38"/>
  <c r="F394" i="38"/>
  <c r="Q11" i="37"/>
  <c r="N222" i="35"/>
  <c r="J37" i="35"/>
  <c r="F174" i="38"/>
  <c r="F153" i="38"/>
  <c r="F377" i="38"/>
  <c r="E420" i="38"/>
  <c r="H48" i="38"/>
  <c r="N92" i="35"/>
  <c r="M206" i="35"/>
  <c r="M103" i="35"/>
  <c r="M283" i="35"/>
  <c r="K3" i="35"/>
  <c r="J421" i="38"/>
  <c r="O5" i="37"/>
  <c r="M15" i="35"/>
  <c r="M55" i="35"/>
  <c r="L16" i="37"/>
  <c r="N85" i="35"/>
  <c r="J45" i="35"/>
  <c r="F374" i="38"/>
  <c r="H49" i="38"/>
  <c r="J60" i="35"/>
  <c r="F318" i="38"/>
  <c r="E270" i="38"/>
  <c r="K425" i="38"/>
  <c r="E170" i="38"/>
  <c r="J176" i="35"/>
  <c r="L434" i="38"/>
  <c r="L96" i="35"/>
  <c r="R16" i="37"/>
  <c r="F429" i="38"/>
  <c r="E106" i="38"/>
  <c r="L29" i="35"/>
  <c r="E212" i="38"/>
  <c r="N441" i="38"/>
  <c r="F132" i="38"/>
  <c r="D292" i="38"/>
  <c r="H31" i="38"/>
  <c r="J19" i="37"/>
  <c r="L34" i="35"/>
  <c r="J78" i="35"/>
  <c r="E7" i="38"/>
  <c r="N353" i="35"/>
  <c r="H24" i="38"/>
  <c r="L61" i="35"/>
  <c r="F42" i="38"/>
  <c r="N250" i="35"/>
  <c r="E82" i="38"/>
  <c r="F189" i="38"/>
  <c r="N264" i="35"/>
  <c r="N63" i="35"/>
  <c r="F379" i="38"/>
  <c r="J2" i="35"/>
  <c r="N223" i="35"/>
  <c r="F438" i="38"/>
  <c r="F333" i="38"/>
  <c r="I425" i="38"/>
  <c r="N262" i="35"/>
  <c r="I441" i="38"/>
  <c r="F338" i="38"/>
  <c r="K9" i="37"/>
  <c r="J109" i="35"/>
  <c r="E180" i="38"/>
  <c r="M350" i="35"/>
  <c r="M366" i="35"/>
  <c r="N104" i="35"/>
  <c r="M354" i="35"/>
  <c r="F315" i="38"/>
  <c r="F14" i="38"/>
  <c r="F4" i="38"/>
  <c r="M213" i="35"/>
  <c r="M32" i="35"/>
  <c r="M223" i="35"/>
  <c r="N242" i="35"/>
  <c r="E46" i="38"/>
  <c r="E213" i="38"/>
  <c r="E35" i="38"/>
  <c r="J248" i="35"/>
  <c r="L4" i="35"/>
  <c r="N81" i="35"/>
  <c r="F439" i="38"/>
  <c r="J288" i="35"/>
  <c r="D339" i="38"/>
  <c r="L19" i="35"/>
  <c r="M419" i="38"/>
  <c r="P10" i="37"/>
  <c r="G55" i="38"/>
  <c r="F346" i="38"/>
  <c r="J302" i="35"/>
  <c r="L83" i="35"/>
  <c r="H23" i="38"/>
  <c r="N431" i="38"/>
  <c r="D7" i="38"/>
  <c r="J10" i="37"/>
  <c r="M214" i="35"/>
  <c r="D208" i="38"/>
  <c r="F409" i="38"/>
  <c r="D202" i="38"/>
  <c r="E220" i="38"/>
  <c r="F335" i="38"/>
  <c r="K15" i="37"/>
  <c r="E45" i="38"/>
  <c r="F84" i="38"/>
  <c r="J336" i="35"/>
  <c r="J48" i="35"/>
  <c r="D210" i="38"/>
  <c r="J104" i="35"/>
  <c r="K8" i="35"/>
  <c r="M266" i="35"/>
  <c r="K51" i="35"/>
  <c r="F82" i="38"/>
  <c r="E100" i="38"/>
  <c r="M83" i="35"/>
  <c r="H47" i="38"/>
  <c r="J153" i="35"/>
  <c r="F89" i="38"/>
  <c r="F161" i="38"/>
  <c r="L120" i="35"/>
  <c r="M240" i="35"/>
  <c r="E416" i="38"/>
  <c r="F428" i="38"/>
  <c r="L68" i="35"/>
  <c r="E182" i="38"/>
  <c r="E176" i="38"/>
  <c r="M65" i="35"/>
  <c r="E10" i="38"/>
  <c r="M114" i="35"/>
  <c r="J54" i="35"/>
  <c r="M85" i="35"/>
  <c r="N19" i="37"/>
  <c r="F113" i="38"/>
  <c r="J255" i="35"/>
  <c r="D177" i="38"/>
  <c r="E218" i="38"/>
  <c r="F90" i="38"/>
  <c r="N13" i="37"/>
  <c r="F79" i="38"/>
  <c r="F187" i="38"/>
  <c r="E273" i="38"/>
  <c r="N389" i="35"/>
  <c r="F168" i="38"/>
  <c r="N233" i="35"/>
  <c r="D145" i="38"/>
  <c r="M17" i="37"/>
  <c r="E22" i="38"/>
  <c r="M323" i="35"/>
  <c r="F131" i="38"/>
  <c r="M340" i="35"/>
  <c r="F88" i="38"/>
  <c r="M178" i="35"/>
  <c r="K37" i="35"/>
  <c r="N212" i="35"/>
  <c r="E18" i="38"/>
  <c r="M359" i="35"/>
  <c r="H15" i="38"/>
  <c r="L99" i="35"/>
  <c r="G65" i="38"/>
  <c r="M352" i="35"/>
  <c r="K42" i="35"/>
  <c r="F327" i="38"/>
  <c r="M104" i="35"/>
  <c r="L121" i="35"/>
  <c r="F371" i="38"/>
  <c r="N329" i="35"/>
  <c r="F22" i="38"/>
  <c r="J139" i="35"/>
  <c r="N31" i="35"/>
  <c r="M246" i="35"/>
  <c r="E251" i="38"/>
  <c r="N56" i="35"/>
  <c r="F175" i="38"/>
  <c r="N281" i="35"/>
  <c r="N399" i="35"/>
  <c r="J434" i="38"/>
  <c r="E50" i="38"/>
  <c r="J15" i="37"/>
  <c r="N185" i="35"/>
  <c r="J131" i="35"/>
  <c r="E68" i="38"/>
  <c r="L118" i="35"/>
  <c r="E28" i="38"/>
  <c r="K31" i="35"/>
  <c r="M192" i="35"/>
  <c r="J63" i="35"/>
  <c r="E65" i="38"/>
  <c r="M302" i="35"/>
  <c r="K440" i="38"/>
  <c r="L41" i="35"/>
  <c r="D328" i="38"/>
  <c r="N175" i="35"/>
  <c r="L23" i="37"/>
  <c r="N224" i="35"/>
  <c r="F355" i="38"/>
  <c r="J56" i="35"/>
  <c r="N196" i="35"/>
  <c r="E164" i="38"/>
  <c r="N43" i="35"/>
  <c r="N438" i="38"/>
  <c r="E185" i="38"/>
  <c r="M440" i="38"/>
  <c r="J124" i="35"/>
  <c r="J112" i="35"/>
  <c r="H44" i="38"/>
  <c r="G43" i="38"/>
  <c r="J15" i="35"/>
  <c r="Q21" i="37"/>
  <c r="N292" i="35"/>
  <c r="E177" i="38"/>
  <c r="N235" i="35"/>
  <c r="L111" i="35"/>
  <c r="M62" i="35"/>
  <c r="F345" i="38"/>
  <c r="J84" i="35"/>
  <c r="D171" i="38"/>
  <c r="M363" i="35"/>
  <c r="M164" i="35"/>
  <c r="N290" i="35"/>
  <c r="N426" i="38"/>
  <c r="M60" i="35"/>
  <c r="N178" i="35"/>
  <c r="N326" i="35"/>
  <c r="E245" i="38"/>
  <c r="E58" i="38"/>
  <c r="E6" i="38"/>
  <c r="M260" i="35"/>
  <c r="H5" i="38"/>
  <c r="M361" i="35"/>
  <c r="F391" i="38"/>
  <c r="M429" i="38"/>
  <c r="M330" i="35"/>
  <c r="J212" i="35"/>
  <c r="M259" i="35"/>
  <c r="E126" i="38"/>
  <c r="N69" i="35"/>
  <c r="E107" i="38"/>
  <c r="M433" i="38"/>
  <c r="D174" i="38"/>
  <c r="E428" i="38"/>
  <c r="E152" i="38"/>
  <c r="N213" i="35"/>
  <c r="O7" i="37"/>
  <c r="M147" i="35"/>
  <c r="M5" i="35"/>
  <c r="M231" i="35"/>
  <c r="R6" i="37"/>
  <c r="H39" i="38"/>
  <c r="L54" i="35"/>
  <c r="M102" i="35"/>
  <c r="F422" i="38"/>
  <c r="N122" i="35"/>
  <c r="J195" i="35"/>
  <c r="N35" i="37"/>
  <c r="H17" i="38"/>
  <c r="S14" i="37"/>
  <c r="D5" i="38"/>
  <c r="H41" i="38"/>
  <c r="E87" i="38"/>
  <c r="M64" i="35"/>
  <c r="M199" i="35"/>
  <c r="N65" i="35"/>
  <c r="E148" i="38"/>
  <c r="D331" i="38"/>
  <c r="J424" i="38"/>
  <c r="D313" i="38"/>
  <c r="F375" i="38"/>
  <c r="L55" i="35"/>
  <c r="E240" i="38"/>
  <c r="M2" i="35"/>
  <c r="F44" i="38"/>
  <c r="D276" i="38"/>
  <c r="M432" i="38"/>
  <c r="N298" i="35"/>
  <c r="M224" i="35"/>
  <c r="E155" i="38"/>
  <c r="L95" i="35"/>
  <c r="S11" i="37"/>
  <c r="J306" i="35"/>
  <c r="N164" i="35"/>
  <c r="J80" i="35"/>
  <c r="M407" i="35"/>
  <c r="N57" i="35"/>
  <c r="F33" i="38"/>
  <c r="L38" i="35"/>
  <c r="L127" i="35"/>
  <c r="M4" i="35"/>
  <c r="L134" i="35"/>
  <c r="D303" i="38"/>
  <c r="D197" i="38"/>
  <c r="F337" i="38"/>
  <c r="M45" i="35"/>
  <c r="N144" i="35"/>
  <c r="D222" i="38"/>
  <c r="F177" i="38"/>
  <c r="D140" i="38"/>
  <c r="H9" i="38"/>
  <c r="E285" i="38"/>
  <c r="F6" i="38"/>
  <c r="F435" i="38"/>
  <c r="D323" i="38"/>
  <c r="F141" i="38"/>
  <c r="D267" i="38"/>
  <c r="G30" i="38"/>
  <c r="J53" i="35"/>
  <c r="F182" i="38"/>
  <c r="F353" i="38"/>
  <c r="E197" i="38"/>
  <c r="D211" i="38"/>
  <c r="E217" i="38"/>
  <c r="F78" i="38"/>
  <c r="N297" i="35"/>
  <c r="D314" i="38"/>
  <c r="J22" i="35"/>
  <c r="N75" i="35"/>
  <c r="H32" i="38"/>
  <c r="M42" i="35"/>
  <c r="L429" i="38"/>
  <c r="M191" i="35"/>
  <c r="J319" i="35"/>
  <c r="P6" i="37"/>
  <c r="M47" i="35"/>
  <c r="N28" i="35"/>
  <c r="N163" i="35"/>
  <c r="H57" i="38"/>
  <c r="L22" i="35"/>
  <c r="D349" i="38"/>
  <c r="E277" i="38"/>
  <c r="L19" i="37"/>
  <c r="M27" i="35"/>
  <c r="M35" i="37"/>
  <c r="F411" i="38"/>
  <c r="J36" i="35"/>
  <c r="F29" i="38"/>
  <c r="G39" i="38"/>
  <c r="E172" i="38"/>
  <c r="H16" i="38"/>
  <c r="E56" i="38"/>
  <c r="J168" i="35"/>
  <c r="J337" i="35"/>
  <c r="I430" i="38"/>
  <c r="M129" i="35"/>
  <c r="M243" i="35"/>
  <c r="M3" i="35"/>
  <c r="F23" i="38"/>
  <c r="N146" i="35"/>
  <c r="F340" i="38"/>
  <c r="F51" i="38"/>
  <c r="F324" i="38"/>
  <c r="N188" i="35"/>
  <c r="D302" i="38"/>
  <c r="M422" i="38"/>
  <c r="E40" i="38"/>
  <c r="L24" i="35"/>
  <c r="M317" i="35"/>
  <c r="L97" i="35"/>
  <c r="E52" i="38"/>
  <c r="N136" i="35"/>
  <c r="F148" i="38"/>
  <c r="E201" i="38"/>
  <c r="N331" i="35"/>
  <c r="G437" i="38"/>
  <c r="E53" i="38"/>
  <c r="M261" i="35"/>
  <c r="N15" i="37"/>
  <c r="E167" i="38"/>
  <c r="L439" i="38"/>
  <c r="F317" i="38"/>
  <c r="L15" i="35"/>
  <c r="M156" i="35"/>
  <c r="I418" i="38"/>
  <c r="F57" i="38"/>
  <c r="E207" i="38"/>
  <c r="L5" i="35"/>
  <c r="N259" i="35"/>
  <c r="M56" i="35"/>
  <c r="F85" i="38"/>
  <c r="N363" i="35"/>
  <c r="E115" i="38"/>
  <c r="H427" i="38"/>
  <c r="J423" i="38"/>
  <c r="N346" i="35"/>
  <c r="F74" i="38"/>
  <c r="E191" i="38"/>
  <c r="E439" i="38"/>
  <c r="N2" i="35"/>
  <c r="J308" i="35"/>
  <c r="D182" i="38"/>
  <c r="J156" i="35"/>
  <c r="H430" i="38"/>
  <c r="L424" i="38"/>
  <c r="H68" i="38"/>
  <c r="K436" i="38"/>
  <c r="M264" i="35"/>
  <c r="J123" i="35"/>
  <c r="N53" i="35"/>
  <c r="E144" i="38"/>
  <c r="L84" i="35"/>
  <c r="N440" i="38"/>
  <c r="E226" i="38"/>
  <c r="N270" i="35"/>
  <c r="F385" i="38"/>
  <c r="K422" i="38"/>
  <c r="H22" i="38"/>
  <c r="E24" i="38"/>
  <c r="D260" i="38"/>
  <c r="L427" i="38"/>
  <c r="E286" i="38"/>
  <c r="N391" i="35"/>
  <c r="J127" i="35"/>
  <c r="J283" i="35"/>
  <c r="M399" i="35"/>
  <c r="F181" i="38"/>
  <c r="E175" i="38"/>
  <c r="L103" i="35"/>
  <c r="E415" i="38"/>
  <c r="L82" i="35"/>
  <c r="M273" i="35"/>
  <c r="K38" i="35"/>
  <c r="G7" i="38"/>
  <c r="F357" i="38"/>
  <c r="J198" i="35"/>
  <c r="P17" i="37"/>
  <c r="F421" i="38"/>
  <c r="N266" i="35"/>
  <c r="N171" i="35"/>
  <c r="M338" i="35"/>
  <c r="N165" i="35"/>
  <c r="L77" i="35"/>
  <c r="H425" i="38"/>
  <c r="E160" i="38"/>
  <c r="L419" i="38"/>
  <c r="F183" i="38"/>
  <c r="M16" i="37"/>
  <c r="O3" i="37"/>
  <c r="E421" i="38"/>
  <c r="E104" i="38"/>
  <c r="D283" i="38"/>
  <c r="P11" i="37"/>
  <c r="M70" i="35"/>
  <c r="E193" i="38"/>
  <c r="N360" i="35"/>
  <c r="L6" i="35"/>
  <c r="J439" i="38"/>
  <c r="M46" i="35"/>
  <c r="J157" i="35"/>
  <c r="G417" i="38"/>
  <c r="M435" i="38"/>
  <c r="E70" i="38"/>
  <c r="N3" i="35"/>
  <c r="D225" i="38"/>
  <c r="L135" i="35"/>
  <c r="M406" i="35"/>
  <c r="J3" i="35"/>
  <c r="M376" i="35"/>
  <c r="N306" i="35"/>
  <c r="F313" i="38"/>
  <c r="J312" i="35"/>
  <c r="D172" i="38"/>
  <c r="M23" i="35"/>
  <c r="N189" i="35"/>
  <c r="S9" i="37"/>
  <c r="M6" i="35"/>
  <c r="N111" i="35"/>
  <c r="D13" i="38"/>
  <c r="K43" i="35"/>
  <c r="I417" i="38"/>
  <c r="D259" i="38"/>
  <c r="E173" i="38"/>
  <c r="G42" i="38"/>
  <c r="E165" i="38"/>
  <c r="E272" i="38"/>
  <c r="O14" i="37"/>
  <c r="M431" i="38"/>
  <c r="J103" i="35"/>
  <c r="K23" i="37"/>
  <c r="D153" i="38"/>
  <c r="E163" i="38"/>
  <c r="M74" i="35"/>
  <c r="N6" i="37"/>
  <c r="E206" i="38"/>
  <c r="J214" i="35"/>
  <c r="E8" i="38"/>
  <c r="D14" i="38"/>
  <c r="E209" i="38"/>
  <c r="O11" i="37"/>
  <c r="E84" i="38"/>
  <c r="J65" i="35"/>
  <c r="I440" i="38"/>
  <c r="M165" i="35"/>
  <c r="H29" i="38"/>
  <c r="D183" i="38"/>
  <c r="F416" i="38"/>
  <c r="N174" i="35"/>
  <c r="J313" i="35"/>
  <c r="N380" i="35"/>
  <c r="F171" i="38"/>
  <c r="L36" i="35"/>
  <c r="N392" i="35"/>
  <c r="H10" i="38"/>
  <c r="J113" i="35"/>
  <c r="J261" i="35"/>
  <c r="J5" i="35"/>
  <c r="F393" i="38"/>
  <c r="M124" i="35"/>
  <c r="D296" i="38"/>
  <c r="G26" i="38"/>
  <c r="E229" i="38"/>
  <c r="E166" i="38"/>
  <c r="L69" i="35"/>
  <c r="F339" i="38"/>
  <c r="J59" i="35"/>
  <c r="D332" i="38"/>
  <c r="N182" i="35"/>
  <c r="N186" i="35"/>
  <c r="M25" i="35"/>
  <c r="J325" i="35"/>
  <c r="E288" i="38"/>
  <c r="D327" i="38"/>
  <c r="R19" i="37"/>
  <c r="L11" i="35"/>
  <c r="J31" i="35"/>
  <c r="F354" i="38"/>
  <c r="L113" i="35"/>
  <c r="N79" i="35"/>
  <c r="F328" i="38"/>
  <c r="E238" i="38"/>
  <c r="J29" i="37"/>
  <c r="N358" i="35"/>
  <c r="J114" i="35"/>
  <c r="F185" i="38"/>
  <c r="E203" i="38"/>
  <c r="N434" i="38"/>
  <c r="K56" i="35"/>
  <c r="H55" i="38"/>
  <c r="N265" i="35"/>
  <c r="N94" i="35"/>
  <c r="N201" i="35"/>
  <c r="L107" i="35"/>
  <c r="J215" i="35"/>
  <c r="J327" i="35"/>
  <c r="D254" i="38"/>
  <c r="J42" i="35"/>
  <c r="E168" i="38"/>
  <c r="S21" i="37"/>
  <c r="L5" i="37"/>
  <c r="M168" i="35"/>
  <c r="R13" i="37"/>
  <c r="I427" i="38"/>
  <c r="M196" i="35"/>
  <c r="F384" i="38"/>
  <c r="J148" i="35"/>
  <c r="G66" i="38"/>
  <c r="J263" i="35"/>
  <c r="N287" i="35"/>
  <c r="D168" i="38"/>
  <c r="J249" i="35"/>
  <c r="K52" i="35"/>
  <c r="E145" i="38"/>
  <c r="E17" i="38"/>
  <c r="K61" i="35"/>
  <c r="M374" i="35"/>
  <c r="E425" i="38"/>
  <c r="K60" i="35"/>
  <c r="N315" i="35"/>
  <c r="L102" i="35"/>
  <c r="N21" i="35"/>
  <c r="G14" i="38"/>
  <c r="N207" i="35"/>
  <c r="D346" i="38"/>
  <c r="H435" i="38"/>
  <c r="M61" i="35"/>
  <c r="N83" i="35"/>
  <c r="N367" i="35"/>
  <c r="L30" i="35"/>
  <c r="L89" i="35"/>
  <c r="F40" i="38"/>
  <c r="M15" i="37"/>
  <c r="E278" i="38"/>
  <c r="M79" i="35"/>
  <c r="K39" i="35"/>
  <c r="E294" i="38"/>
  <c r="N319" i="35"/>
  <c r="L80" i="35"/>
  <c r="M186" i="35"/>
  <c r="N41" i="35"/>
  <c r="G37" i="38"/>
  <c r="L35" i="35"/>
  <c r="M93" i="35"/>
  <c r="E257" i="38"/>
  <c r="H21" i="38"/>
  <c r="J16" i="37"/>
  <c r="E437" i="38"/>
  <c r="E434" i="38"/>
  <c r="M427" i="38"/>
  <c r="M152" i="35"/>
  <c r="N193" i="35"/>
  <c r="F5" i="38"/>
  <c r="M221" i="35"/>
  <c r="D316" i="38"/>
  <c r="M401" i="35"/>
  <c r="E410" i="38"/>
  <c r="J25" i="35"/>
  <c r="J205" i="35"/>
  <c r="D170" i="38"/>
  <c r="N195" i="35"/>
  <c r="F363" i="38"/>
  <c r="N33" i="35"/>
  <c r="E243" i="38"/>
  <c r="J280" i="35"/>
  <c r="P7" i="37"/>
  <c r="J265" i="35"/>
  <c r="F402" i="38"/>
  <c r="D10" i="38"/>
  <c r="N335" i="35"/>
  <c r="D242" i="38"/>
  <c r="M58" i="35"/>
  <c r="M106" i="35"/>
  <c r="F13" i="38"/>
  <c r="N267" i="35"/>
  <c r="D271" i="38"/>
  <c r="M263" i="35"/>
  <c r="M312" i="35"/>
  <c r="J62" i="35"/>
  <c r="M36" i="35"/>
  <c r="J278" i="35"/>
  <c r="D162" i="38"/>
  <c r="N309" i="35"/>
  <c r="L40" i="35"/>
  <c r="F362" i="38"/>
  <c r="E406" i="38"/>
  <c r="E427" i="38"/>
  <c r="M66" i="35"/>
  <c r="L15" i="37"/>
  <c r="E440" i="38"/>
  <c r="M208" i="35"/>
  <c r="J186" i="35"/>
  <c r="J73" i="35"/>
  <c r="M68" i="35"/>
  <c r="N150" i="35"/>
  <c r="L21" i="35"/>
  <c r="K35" i="35"/>
  <c r="J286" i="35"/>
  <c r="M309" i="35"/>
  <c r="M6" i="37"/>
  <c r="M268" i="35"/>
  <c r="E26" i="38"/>
  <c r="F37" i="38"/>
  <c r="F154" i="38"/>
  <c r="D291" i="38"/>
  <c r="N202" i="35"/>
  <c r="E279" i="38"/>
  <c r="D309" i="38"/>
  <c r="N109" i="35"/>
  <c r="D148" i="38"/>
  <c r="D173" i="38"/>
  <c r="M220" i="35"/>
  <c r="E5" i="38"/>
  <c r="H51" i="38"/>
  <c r="D141" i="38"/>
  <c r="M387" i="35"/>
  <c r="O6" i="37"/>
  <c r="G28" i="38"/>
  <c r="H12" i="38"/>
  <c r="K2" i="35"/>
  <c r="N273" i="35"/>
  <c r="M280" i="35"/>
  <c r="H26" i="38"/>
  <c r="E96" i="38"/>
  <c r="M14" i="35"/>
  <c r="K430" i="38"/>
  <c r="D300" i="38"/>
  <c r="E129" i="38"/>
  <c r="K49" i="35"/>
  <c r="G427" i="38"/>
  <c r="H437" i="38"/>
  <c r="D253" i="38"/>
  <c r="F415" i="38"/>
  <c r="F364" i="38"/>
  <c r="J277" i="35"/>
  <c r="N336" i="35"/>
  <c r="G439" i="38"/>
  <c r="I420" i="38"/>
  <c r="E59" i="38"/>
  <c r="K54" i="35"/>
  <c r="M52" i="35"/>
  <c r="N51" i="35"/>
  <c r="M288" i="35"/>
  <c r="N278" i="35"/>
  <c r="M225" i="35"/>
  <c r="K427" i="38"/>
  <c r="N293" i="35"/>
  <c r="L8" i="35"/>
  <c r="N419" i="38"/>
  <c r="M267" i="35"/>
  <c r="M38" i="35"/>
  <c r="L7" i="35"/>
  <c r="N105" i="35"/>
  <c r="K438" i="38"/>
  <c r="N247" i="35"/>
  <c r="J137" i="35"/>
  <c r="J138" i="35"/>
  <c r="K6" i="35"/>
  <c r="F56" i="38"/>
  <c r="F27" i="38"/>
  <c r="N73" i="35"/>
  <c r="M226" i="35"/>
  <c r="J26" i="35"/>
  <c r="J206" i="35"/>
  <c r="J183" i="35"/>
  <c r="N277" i="35"/>
  <c r="E75" i="38"/>
  <c r="D146" i="38"/>
  <c r="J35" i="35"/>
  <c r="N80" i="35"/>
  <c r="M9" i="35"/>
  <c r="N381" i="35"/>
  <c r="E29" i="38"/>
  <c r="N439" i="38"/>
  <c r="N317" i="35"/>
  <c r="F162" i="38"/>
  <c r="M292" i="35"/>
  <c r="N261" i="35"/>
  <c r="L114" i="35"/>
  <c r="E192" i="38"/>
  <c r="E423" i="38"/>
  <c r="L124" i="35"/>
  <c r="D245" i="38"/>
  <c r="M77" i="35"/>
  <c r="F319" i="38"/>
  <c r="F351" i="38"/>
  <c r="L417" i="38"/>
  <c r="G425" i="38"/>
  <c r="N126" i="35"/>
  <c r="M235" i="35"/>
  <c r="F344" i="38"/>
  <c r="M63" i="35"/>
  <c r="N433" i="38"/>
  <c r="J420" i="38"/>
  <c r="M393" i="35"/>
  <c r="F425" i="38"/>
  <c r="Q9" i="37"/>
  <c r="N289" i="35"/>
  <c r="F11" i="38"/>
  <c r="E142" i="38"/>
  <c r="J27" i="35"/>
  <c r="G36" i="38"/>
  <c r="M76" i="35"/>
  <c r="D181" i="38"/>
  <c r="M176" i="35"/>
  <c r="G62" i="38"/>
  <c r="N295" i="35"/>
  <c r="F365" i="38"/>
  <c r="Q35" i="37"/>
  <c r="D188" i="38"/>
  <c r="J167" i="35"/>
  <c r="J436" i="38"/>
  <c r="N216" i="35"/>
  <c r="D333" i="38"/>
  <c r="E3" i="38"/>
  <c r="M160" i="35"/>
  <c r="N133" i="35"/>
  <c r="D228" i="38"/>
  <c r="G426" i="38"/>
  <c r="N255" i="35"/>
  <c r="M434" i="38"/>
  <c r="N234" i="35"/>
  <c r="M277" i="35"/>
  <c r="N365" i="35"/>
  <c r="F403" i="38"/>
  <c r="F341" i="38"/>
  <c r="E61" i="38"/>
  <c r="J201" i="35"/>
  <c r="D150" i="38"/>
  <c r="F32" i="38"/>
  <c r="F38" i="38"/>
  <c r="F180" i="38"/>
  <c r="L92" i="35"/>
  <c r="N184" i="35"/>
  <c r="F396" i="38"/>
  <c r="N408" i="35"/>
  <c r="F61" i="38"/>
  <c r="F392" i="38"/>
  <c r="E258" i="38"/>
  <c r="D293" i="38"/>
  <c r="N302" i="35"/>
  <c r="D248" i="38"/>
  <c r="E118" i="38"/>
  <c r="M272" i="35"/>
  <c r="N116" i="35"/>
  <c r="F144" i="38"/>
  <c r="M270" i="35"/>
  <c r="K55" i="35"/>
  <c r="N12" i="35"/>
  <c r="N214" i="35"/>
  <c r="N95" i="35"/>
  <c r="D256" i="38"/>
  <c r="N3" i="37"/>
  <c r="L14" i="37"/>
  <c r="K26" i="35"/>
  <c r="K423" i="38"/>
  <c r="M400" i="35"/>
  <c r="N173" i="35"/>
  <c r="L18" i="35"/>
  <c r="G57" i="38"/>
  <c r="M31" i="35"/>
  <c r="I439" i="38"/>
  <c r="E97" i="38"/>
  <c r="N323" i="35"/>
  <c r="D255" i="38"/>
  <c r="N237" i="35"/>
  <c r="F21" i="38"/>
  <c r="I429" i="38"/>
  <c r="D273" i="38"/>
  <c r="M185" i="35"/>
  <c r="D175" i="38"/>
  <c r="E99" i="38"/>
  <c r="J250" i="35"/>
  <c r="E127" i="38"/>
  <c r="M91" i="35"/>
  <c r="M217" i="35"/>
  <c r="N103" i="35"/>
  <c r="J14" i="37"/>
  <c r="N194" i="35"/>
  <c r="D286" i="38"/>
  <c r="M205" i="35"/>
  <c r="N395" i="35"/>
  <c r="F123" i="38"/>
  <c r="D284" i="38"/>
  <c r="M116" i="35"/>
  <c r="J85" i="35"/>
  <c r="M291" i="35"/>
  <c r="E249" i="38"/>
  <c r="D169" i="38"/>
  <c r="J39" i="35"/>
  <c r="J11" i="35"/>
  <c r="F387" i="38"/>
  <c r="F389" i="38"/>
  <c r="E252" i="38"/>
  <c r="N299" i="35"/>
  <c r="D189" i="38"/>
  <c r="E113" i="38"/>
  <c r="M329" i="35"/>
  <c r="F155" i="38"/>
  <c r="L441" i="38"/>
  <c r="M96" i="35"/>
  <c r="M171" i="35"/>
  <c r="N155" i="35"/>
  <c r="M84" i="35"/>
  <c r="N135" i="35"/>
  <c r="D264" i="38"/>
  <c r="J49" i="35"/>
  <c r="E19" i="38"/>
  <c r="K41" i="35"/>
  <c r="M118" i="35"/>
  <c r="J207" i="35"/>
  <c r="K17" i="37"/>
  <c r="D278" i="38"/>
  <c r="M305" i="35"/>
  <c r="J93" i="35"/>
  <c r="N310" i="35"/>
  <c r="H18" i="38"/>
  <c r="F3" i="38"/>
  <c r="Q17" i="37"/>
  <c r="E261" i="38"/>
  <c r="J297" i="35"/>
  <c r="N420" i="38"/>
  <c r="H65" i="38"/>
  <c r="L93" i="35"/>
  <c r="G441" i="38"/>
  <c r="D147" i="38"/>
  <c r="P13" i="37"/>
  <c r="K22" i="35"/>
  <c r="M281" i="35"/>
  <c r="N42" i="35"/>
  <c r="M219" i="35"/>
  <c r="D234" i="38"/>
  <c r="F311" i="38"/>
  <c r="J13" i="35"/>
  <c r="H3" i="38"/>
  <c r="J162" i="35"/>
  <c r="F41" i="38"/>
  <c r="G429" i="38"/>
  <c r="F115" i="38"/>
  <c r="D287" i="38"/>
  <c r="J271" i="35"/>
  <c r="J428" i="38"/>
  <c r="D348" i="38"/>
  <c r="K20" i="35"/>
  <c r="J305" i="35"/>
  <c r="M89" i="35"/>
  <c r="D240" i="38"/>
  <c r="N89" i="35"/>
  <c r="F323" i="38"/>
  <c r="D268" i="38"/>
  <c r="G33" i="38"/>
  <c r="N142" i="35"/>
  <c r="N339" i="35"/>
  <c r="L71" i="35"/>
  <c r="J184" i="35"/>
  <c r="J431" i="38"/>
  <c r="D156" i="38"/>
  <c r="I419" i="38"/>
  <c r="H38" i="38"/>
  <c r="M396" i="35"/>
  <c r="M418" i="38"/>
  <c r="E171" i="38"/>
  <c r="D199" i="38"/>
  <c r="O13" i="37"/>
  <c r="L50" i="35"/>
  <c r="F100" i="38"/>
  <c r="G6" i="38"/>
  <c r="M155" i="35"/>
  <c r="E131" i="38"/>
  <c r="J438" i="38"/>
  <c r="L16" i="35"/>
  <c r="G3" i="38"/>
  <c r="O16" i="37"/>
  <c r="F400" i="38"/>
  <c r="L435" i="38"/>
  <c r="E194" i="38"/>
  <c r="F8" i="38"/>
  <c r="E122" i="38"/>
  <c r="N190" i="35"/>
  <c r="D344" i="38"/>
  <c r="F404" i="38"/>
  <c r="J254" i="35"/>
  <c r="F361" i="38"/>
  <c r="S23" i="37"/>
  <c r="I434" i="38"/>
  <c r="M50" i="35"/>
  <c r="Q14" i="37"/>
  <c r="H438" i="38"/>
  <c r="K32" i="35"/>
  <c r="L23" i="35"/>
  <c r="M294" i="35"/>
  <c r="N397" i="35"/>
  <c r="M67" i="35"/>
  <c r="M241" i="35"/>
  <c r="D301" i="38"/>
  <c r="M257" i="35"/>
  <c r="J294" i="35"/>
  <c r="J232" i="35"/>
  <c r="N55" i="35"/>
  <c r="M252" i="35"/>
  <c r="K50" i="35"/>
  <c r="J432" i="38"/>
  <c r="G13" i="38"/>
  <c r="D152" i="38"/>
  <c r="J289" i="35"/>
  <c r="M130" i="35"/>
  <c r="N390" i="35"/>
  <c r="M34" i="35"/>
  <c r="M420" i="38"/>
  <c r="H434" i="38"/>
  <c r="M242" i="35"/>
  <c r="J145" i="35"/>
  <c r="D198" i="38"/>
  <c r="J262" i="35"/>
  <c r="J4" i="35"/>
  <c r="M86" i="35"/>
  <c r="M179" i="35"/>
  <c r="D330" i="38"/>
  <c r="E47" i="38"/>
  <c r="N294" i="35"/>
  <c r="L119" i="35"/>
  <c r="N291" i="35"/>
  <c r="D336" i="38"/>
  <c r="H426" i="38"/>
  <c r="N151" i="35"/>
  <c r="E295" i="38"/>
  <c r="P15" i="37"/>
  <c r="M437" i="38"/>
  <c r="N4" i="35"/>
  <c r="E408" i="38"/>
  <c r="M392" i="35"/>
  <c r="F62" i="38"/>
  <c r="E299" i="38"/>
  <c r="N48" i="35"/>
  <c r="N394" i="35"/>
  <c r="G428" i="38"/>
  <c r="F121" i="38"/>
  <c r="E128" i="38"/>
  <c r="M17" i="35"/>
  <c r="J9" i="35"/>
  <c r="J275" i="35"/>
  <c r="E253" i="38"/>
  <c r="E32" i="38"/>
  <c r="N272" i="35"/>
  <c r="M148" i="35"/>
  <c r="E117" i="38"/>
  <c r="M290" i="35"/>
  <c r="J25" i="37"/>
  <c r="G67" i="38"/>
  <c r="N76" i="35"/>
  <c r="M173" i="35"/>
  <c r="N123" i="35"/>
  <c r="J282" i="35"/>
  <c r="F24" i="38"/>
  <c r="K28" i="35"/>
  <c r="L26" i="35"/>
  <c r="J311" i="35"/>
  <c r="E417" i="38"/>
  <c r="J300" i="35"/>
  <c r="E80" i="38"/>
  <c r="P35" i="37"/>
  <c r="J324" i="35"/>
  <c r="M282" i="35"/>
  <c r="E259" i="38"/>
  <c r="N62" i="35"/>
  <c r="J301" i="35"/>
  <c r="M73" i="35"/>
  <c r="E411" i="38"/>
  <c r="N114" i="35"/>
  <c r="G436" i="38"/>
  <c r="D233" i="38"/>
  <c r="K14" i="35"/>
  <c r="J96" i="35"/>
  <c r="M37" i="35"/>
  <c r="M11" i="37"/>
  <c r="N385" i="35"/>
  <c r="M115" i="35"/>
  <c r="N9" i="35"/>
  <c r="E98" i="38"/>
  <c r="J331" i="35"/>
  <c r="F164" i="38"/>
  <c r="J333" i="35"/>
  <c r="K421" i="38"/>
  <c r="N170" i="35"/>
  <c r="J224" i="35"/>
  <c r="L49" i="35"/>
  <c r="Q19" i="37"/>
  <c r="J33" i="35"/>
  <c r="E424" i="38"/>
  <c r="L87" i="35"/>
  <c r="F30" i="38"/>
  <c r="D329" i="38"/>
  <c r="N86" i="35"/>
  <c r="J68" i="35"/>
  <c r="E102" i="38"/>
  <c r="D157" i="38"/>
  <c r="M177" i="35"/>
  <c r="N430" i="38"/>
  <c r="F386" i="38"/>
  <c r="F125" i="38"/>
  <c r="J74" i="35"/>
  <c r="K21" i="35"/>
  <c r="J133" i="35"/>
  <c r="F68" i="38"/>
  <c r="G18" i="38"/>
  <c r="L9" i="35"/>
  <c r="J281" i="35"/>
  <c r="M13" i="37"/>
  <c r="E199" i="38"/>
  <c r="L132" i="35"/>
  <c r="M320" i="35"/>
  <c r="G15" i="38"/>
  <c r="F366" i="38"/>
  <c r="J87" i="35"/>
  <c r="J200" i="35"/>
  <c r="F376" i="38"/>
  <c r="M162" i="35"/>
  <c r="M296" i="35"/>
  <c r="K4" i="35"/>
  <c r="L45" i="35"/>
  <c r="K67" i="35"/>
  <c r="M98" i="35"/>
  <c r="F87" i="38"/>
  <c r="E422" i="38"/>
  <c r="D209" i="38"/>
  <c r="F116" i="38"/>
  <c r="N52" i="35"/>
  <c r="G2" i="38"/>
  <c r="J226" i="35"/>
  <c r="N17" i="37"/>
  <c r="I431" i="38"/>
  <c r="E407" i="38"/>
  <c r="J95" i="35"/>
  <c r="N197" i="35"/>
  <c r="N125" i="35"/>
  <c r="M378" i="35"/>
  <c r="L14" i="35"/>
  <c r="M299" i="35"/>
  <c r="D335" i="38"/>
  <c r="N400" i="35"/>
  <c r="E157" i="38"/>
  <c r="N26" i="35"/>
  <c r="E63" i="38"/>
  <c r="J126" i="35"/>
  <c r="G25" i="38"/>
  <c r="G440" i="38"/>
  <c r="E254" i="38"/>
  <c r="J314" i="35"/>
  <c r="H4" i="38"/>
  <c r="M161" i="35"/>
  <c r="M293" i="35"/>
  <c r="L9" i="37"/>
  <c r="E66" i="38"/>
  <c r="M286" i="35"/>
  <c r="E114" i="38"/>
  <c r="K5" i="37"/>
  <c r="L129" i="35"/>
  <c r="J51" i="35"/>
  <c r="M120" i="35"/>
  <c r="N70" i="35"/>
  <c r="D221" i="38"/>
  <c r="E30" i="38"/>
  <c r="E2" i="38"/>
  <c r="E184" i="38"/>
  <c r="E14" i="38"/>
  <c r="M22" i="35"/>
  <c r="E69" i="38"/>
  <c r="D203" i="38"/>
  <c r="K45" i="35"/>
  <c r="E137" i="38"/>
  <c r="D164" i="38"/>
  <c r="M403" i="35"/>
  <c r="J30" i="37"/>
  <c r="F352" i="38"/>
  <c r="F95" i="38"/>
  <c r="L58" i="35"/>
  <c r="F117" i="38"/>
  <c r="N113" i="35"/>
  <c r="D185" i="38"/>
  <c r="L31" i="35"/>
  <c r="J115" i="35"/>
  <c r="M222" i="35"/>
  <c r="R10" i="37"/>
  <c r="E60" i="38"/>
  <c r="F190" i="38"/>
  <c r="M29" i="35"/>
  <c r="E205" i="38"/>
  <c r="E74" i="38"/>
  <c r="N338" i="35"/>
  <c r="M140" i="35"/>
  <c r="J164" i="35"/>
  <c r="M384" i="35"/>
  <c r="J247" i="35"/>
  <c r="P21" i="37"/>
  <c r="L418" i="38"/>
  <c r="M248" i="35"/>
  <c r="N249" i="35"/>
  <c r="D220" i="38"/>
  <c r="N177" i="35"/>
  <c r="N203" i="35"/>
  <c r="L431" i="38"/>
  <c r="M80" i="35"/>
  <c r="J242" i="35"/>
  <c r="H33" i="38"/>
  <c r="D338" i="38"/>
  <c r="L37" i="35"/>
  <c r="F66" i="38"/>
  <c r="N425" i="38"/>
  <c r="M430" i="38"/>
  <c r="K418" i="38"/>
  <c r="N356" i="35"/>
  <c r="F48" i="38"/>
  <c r="M368" i="35"/>
  <c r="K18" i="35"/>
  <c r="M200" i="35"/>
  <c r="I424" i="38"/>
  <c r="J134" i="35"/>
  <c r="N199" i="35"/>
  <c r="J107" i="35"/>
  <c r="K7" i="35"/>
  <c r="F173" i="38"/>
  <c r="M236" i="35"/>
  <c r="E27" i="38"/>
  <c r="E156" i="38"/>
  <c r="L79" i="35"/>
  <c r="F145" i="38"/>
  <c r="J121" i="35"/>
  <c r="E88" i="38"/>
  <c r="M239" i="35"/>
  <c r="J21" i="37"/>
  <c r="N211" i="35"/>
  <c r="K417" i="38"/>
  <c r="J179" i="35"/>
  <c r="J144" i="35"/>
  <c r="M439" i="38"/>
  <c r="D9" i="38"/>
  <c r="N421" i="38"/>
  <c r="J279" i="35"/>
  <c r="J328" i="35"/>
  <c r="F395" i="38"/>
  <c r="N143" i="35"/>
  <c r="L10" i="37"/>
  <c r="E265" i="38"/>
  <c r="M328" i="35"/>
  <c r="L91" i="35"/>
  <c r="H417" i="38"/>
  <c r="M230" i="35"/>
  <c r="M382" i="35"/>
  <c r="N17" i="35"/>
  <c r="J285" i="35"/>
  <c r="J268" i="35"/>
  <c r="M346" i="35"/>
  <c r="D238" i="38"/>
  <c r="J23" i="35"/>
  <c r="J210" i="35"/>
  <c r="L75" i="35"/>
  <c r="N220" i="35"/>
  <c r="K12" i="35"/>
  <c r="L123" i="35"/>
  <c r="J98" i="35"/>
  <c r="N300" i="35"/>
  <c r="E438" i="38"/>
  <c r="K439" i="38"/>
  <c r="N226" i="35"/>
  <c r="L85" i="35"/>
  <c r="M339" i="35"/>
  <c r="J218" i="35"/>
  <c r="J61" i="35"/>
  <c r="L46" i="35"/>
  <c r="F410" i="38"/>
  <c r="M244" i="35"/>
  <c r="G32" i="38"/>
  <c r="M417" i="38"/>
  <c r="D347" i="38"/>
  <c r="F417"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<sst xmlns="http://schemas.openxmlformats.org/spreadsheetml/2006/main" count="4800" uniqueCount="3083">
  <si>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</si>
  <si>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</si>
  <si>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</si>
  <si>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</si>
  <si>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</si>
  <si>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</si>
  <si>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</si>
  <si>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</si>
  <si>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</si>
  <si>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</si>
  <si>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</si>
  <si>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</si>
  <si>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</si>
  <si>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</si>
  <si>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</si>
  <si>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</si>
  <si>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</si>
  <si>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</si>
  <si>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</si>
  <si>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</si>
  <si>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</si>
  <si>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</si>
  <si>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</si>
  <si>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</si>
  <si>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</si>
  <si>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</si>
  <si>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</si>
  <si>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</si>
  <si>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</si>
  <si>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</si>
  <si>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</si>
  <si>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</si>
  <si>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</si>
  <si>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</si>
  <si>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</si>
  <si>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</si>
  <si>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</si>
  <si>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</si>
  <si>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</si>
  <si>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</si>
  <si>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</si>
  <si>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</si>
  <si>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</si>
  <si>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</si>
  <si>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</si>
  <si>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</si>
  <si>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</si>
  <si>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</si>
  <si>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</si>
  <si>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</si>
  <si>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</si>
  <si>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</si>
  <si>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</si>
  <si>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</si>
  <si>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</si>
  <si>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</si>
  <si>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</si>
  <si>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</si>
  <si>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</si>
  <si>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</si>
  <si>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</si>
  <si>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</si>
  <si>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</si>
  <si>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</si>
  <si>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</si>
  <si>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</si>
  <si>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</si>
  <si>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</si>
  <si>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</si>
  <si>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</si>
  <si>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</si>
  <si>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</si>
  <si>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</si>
  <si>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</si>
  <si>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</si>
  <si>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</si>
  <si>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</si>
  <si>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</si>
  <si>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</si>
  <si>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</si>
  <si>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</si>
  <si>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</si>
  <si>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</si>
  <si>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</si>
  <si>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</si>
  <si>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</si>
  <si>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</si>
  <si>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</si>
  <si>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</si>
  <si>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</si>
  <si>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</si>
  <si>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</si>
  <si>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</si>
  <si>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</si>
  <si>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</si>
  <si>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</si>
  <si>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</si>
  <si>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</si>
  <si>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</si>
  <si>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</si>
  <si>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</si>
  <si>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</si>
  <si>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</si>
  <si>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</si>
  <si>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</si>
  <si>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</si>
  <si>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</si>
  <si>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</si>
  <si>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</si>
  <si>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</si>
  <si>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</si>
  <si>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</si>
  <si>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</si>
  <si>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</si>
  <si>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</si>
  <si>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</si>
  <si>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</si>
  <si>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</si>
  <si>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</si>
  <si>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</si>
  <si>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</si>
  <si>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</si>
  <si>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</si>
  <si>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</si>
  <si>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</si>
  <si>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</si>
  <si>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</si>
  <si>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</si>
  <si>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</si>
  <si>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</si>
  <si>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</si>
  <si>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</si>
  <si>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</si>
  <si>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</si>
  <si>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</si>
  <si>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</si>
  <si>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</si>
  <si>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</si>
  <si>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</si>
  <si>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</si>
  <si>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</si>
  <si>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</si>
  <si>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</si>
  <si>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</si>
  <si>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</si>
  <si>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</si>
  <si>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</si>
  <si>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</si>
  <si>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</si>
  <si>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</si>
  <si>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</si>
  <si>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</si>
  <si>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</si>
  <si>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</si>
  <si>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</si>
  <si>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</si>
  <si>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</si>
  <si>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</si>
  <si>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</si>
  <si>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</si>
  <si>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</si>
  <si>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</si>
  <si>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</si>
  <si>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</si>
  <si>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</si>
  <si>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</si>
  <si>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</si>
  <si>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</si>
  <si>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</si>
  <si>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</si>
  <si>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</si>
  <si>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</si>
  <si>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</si>
  <si>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</si>
  <si>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</si>
  <si>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</si>
  <si>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</si>
  <si>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</si>
  <si>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</si>
  <si>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</si>
  <si>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</si>
  <si>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</si>
  <si>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</si>
  <si>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</si>
  <si>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</si>
  <si>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</si>
  <si>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</si>
  <si>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</si>
  <si>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</si>
  <si>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</si>
  <si>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</si>
  <si>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</si>
  <si>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</si>
  <si>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</si>
  <si>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</si>
  <si>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</si>
  <si>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</si>
  <si>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</si>
  <si>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</si>
  <si>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</si>
  <si>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</si>
  <si>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</si>
  <si>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</si>
  <si>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</si>
  <si>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</si>
  <si>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</si>
  <si>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</si>
  <si>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</si>
  <si>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</si>
  <si>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</si>
  <si>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</si>
  <si>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</si>
  <si>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</si>
  <si>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</si>
  <si>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</si>
  <si>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</si>
  <si>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</si>
  <si>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</si>
  <si>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</si>
  <si>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</si>
  <si>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</si>
  <si>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</si>
  <si>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</si>
  <si>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</si>
  <si>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</si>
  <si>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</si>
  <si>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</si>
  <si>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</si>
  <si>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</si>
  <si>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</si>
  <si>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</si>
  <si>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</si>
  <si>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</si>
  <si>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</si>
  <si>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</si>
  <si>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</si>
  <si>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</si>
  <si>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</si>
  <si>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</si>
  <si>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</si>
  <si>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</si>
  <si>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</si>
  <si>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</si>
  <si>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</si>
  <si>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</si>
  <si>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</si>
  <si>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</si>
  <si>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</si>
  <si>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</si>
  <si>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</si>
  <si>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</si>
  <si>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</si>
  <si>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</si>
  <si>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</si>
  <si>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</si>
  <si>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</si>
  <si>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</si>
  <si>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</si>
  <si>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</si>
  <si>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</si>
  <si>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</si>
  <si>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</si>
  <si>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</si>
  <si>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</si>
  <si>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</si>
  <si>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</si>
  <si>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</si>
  <si>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</si>
  <si>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</si>
  <si>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</si>
  <si>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</si>
  <si>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</si>
  <si>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</si>
  <si>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</si>
  <si>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</si>
  <si>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</si>
  <si>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</si>
  <si>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</si>
  <si>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</si>
  <si>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</si>
  <si>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</si>
  <si>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</si>
  <si>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</si>
  <si>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</si>
  <si>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</si>
  <si>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</si>
  <si>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</si>
  <si>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</si>
  <si>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</si>
  <si>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</si>
  <si>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</si>
  <si>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</si>
  <si>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</si>
  <si>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</si>
  <si>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</si>
  <si>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</si>
  <si>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</si>
  <si>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</si>
  <si>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</si>
  <si>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</si>
  <si>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</si>
  <si>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</si>
  <si>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</si>
  <si>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</si>
  <si>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</si>
  <si>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</si>
  <si>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</si>
  <si>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</si>
  <si>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</si>
  <si>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</si>
  <si>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</si>
  <si>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</si>
  <si>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</si>
  <si>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</si>
  <si>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</si>
  <si>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</si>
  <si>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</si>
  <si>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</si>
  <si>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</si>
  <si>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</si>
  <si>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</si>
  <si>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</si>
  <si>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</si>
  <si>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</si>
  <si>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</si>
  <si>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</si>
  <si>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</si>
  <si>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</si>
  <si>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</si>
  <si>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</si>
  <si>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</si>
  <si>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</si>
  <si>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</si>
  <si>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</si>
  <si>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</si>
  <si>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</si>
  <si>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</si>
  <si>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</si>
  <si>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</si>
  <si>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</si>
  <si>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</si>
  <si>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</si>
  <si>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</si>
  <si>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</si>
  <si>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</si>
  <si>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</si>
  <si>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</si>
  <si>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</si>
  <si>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</si>
  <si>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</si>
  <si>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</si>
  <si>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</si>
  <si>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</si>
  <si>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</si>
  <si>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</si>
  <si>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</si>
  <si>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</si>
  <si>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</si>
  <si>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</si>
  <si>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</si>
  <si>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</si>
  <si>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</si>
  <si>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</si>
  <si>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</si>
  <si>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</si>
  <si>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</si>
  <si>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</si>
  <si>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</si>
  <si>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</si>
  <si>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</si>
  <si>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</si>
  <si>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</si>
  <si>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</si>
  <si>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</si>
  <si>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</si>
  <si>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</si>
  <si>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</si>
  <si>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</si>
  <si>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</si>
  <si>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</si>
  <si>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</si>
  <si>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</si>
  <si>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</si>
  <si>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</si>
  <si>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</si>
  <si>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</si>
  <si>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</si>
  <si>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</si>
  <si>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</si>
  <si>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</si>
  <si>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</si>
  <si>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</si>
  <si>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</si>
  <si>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</si>
  <si>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</si>
  <si>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</si>
  <si>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</si>
  <si>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</si>
  <si>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</si>
  <si>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</si>
  <si>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</si>
  <si>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</si>
  <si>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</si>
  <si>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</si>
  <si>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</si>
  <si>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</si>
  <si>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</si>
  <si>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</si>
  <si>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</si>
  <si>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</si>
  <si>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</si>
  <si>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</si>
  <si>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</si>
  <si>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</si>
  <si>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</si>
  <si>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</si>
  <si>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</si>
  <si>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</si>
  <si>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</si>
  <si>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</si>
  <si>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</si>
  <si>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</si>
  <si>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</si>
  <si>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</si>
  <si>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</si>
  <si>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</si>
  <si>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</si>
  <si>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</si>
  <si>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</si>
  <si>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</si>
  <si>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</si>
  <si>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</si>
  <si>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</si>
  <si>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</si>
  <si>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</si>
  <si>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</si>
  <si>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</si>
  <si>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</si>
  <si>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</si>
  <si>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</si>
  <si>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</si>
  <si>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</si>
  <si>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</si>
  <si>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</si>
  <si>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</si>
  <si>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</si>
  <si>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</si>
  <si>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</si>
  <si>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</si>
  <si>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</si>
  <si>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</si>
  <si>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</si>
  <si>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</si>
  <si>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</si>
  <si>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</si>
  <si>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</si>
  <si>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</si>
  <si>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</si>
  <si>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</si>
  <si>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</si>
  <si>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</si>
  <si>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</si>
  <si>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</si>
  <si>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</si>
  <si>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</si>
  <si>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</si>
  <si>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</si>
  <si>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</si>
  <si>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</si>
  <si>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</si>
  <si>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</si>
  <si>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</si>
  <si>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</si>
  <si>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</si>
  <si>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</si>
  <si>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</si>
  <si>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</si>
  <si>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</si>
  <si>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</si>
  <si>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</si>
  <si>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</si>
  <si>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</si>
  <si>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</si>
  <si>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</si>
  <si>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</si>
  <si>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</si>
  <si>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</si>
  <si>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</si>
  <si>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</si>
  <si>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</si>
  <si>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</si>
  <si>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</si>
  <si>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</si>
  <si>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</si>
  <si>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</si>
  <si>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</si>
  <si>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</si>
  <si>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</si>
  <si>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</si>
  <si>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</si>
  <si>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</si>
  <si>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</si>
  <si>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</si>
  <si>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</si>
  <si>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</si>
  <si>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</si>
  <si>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</si>
  <si>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</si>
  <si>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</si>
  <si>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</si>
  <si>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</si>
  <si>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</si>
  <si>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</si>
  <si>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</si>
  <si>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</si>
  <si>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</si>
  <si>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</si>
  <si>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</si>
  <si>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</si>
  <si>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</si>
  <si>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</si>
  <si>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</si>
  <si>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</si>
  <si>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</si>
  <si>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</si>
  <si>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</si>
  <si>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</si>
  <si>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</si>
  <si>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</si>
  <si>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</si>
  <si>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</si>
  <si>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</si>
  <si>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</si>
  <si>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</si>
  <si>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</si>
  <si>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</si>
  <si>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</si>
  <si>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</si>
  <si>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</si>
  <si>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</si>
  <si>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</si>
  <si>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</si>
  <si>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</si>
  <si>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</si>
  <si>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</si>
  <si>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</si>
  <si>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</si>
  <si>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</si>
  <si>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</si>
  <si>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</si>
  <si>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</si>
  <si>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</si>
  <si>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</si>
  <si>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</si>
  <si>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</si>
  <si>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</si>
  <si>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</si>
  <si>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</si>
  <si>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</si>
  <si>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</si>
  <si>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</si>
  <si>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</si>
  <si>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</si>
  <si>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</si>
  <si>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</si>
  <si>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</si>
  <si>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</si>
  <si>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</si>
  <si>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</si>
  <si>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</si>
  <si>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</si>
  <si>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</si>
  <si>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</si>
  <si>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</si>
  <si>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</si>
  <si>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</si>
  <si>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</si>
  <si>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</si>
  <si>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</si>
  <si>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</si>
  <si>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</si>
  <si>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</si>
  <si>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</si>
  <si>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</si>
  <si>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</si>
  <si>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</si>
  <si>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</si>
  <si>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</si>
  <si>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</si>
  <si>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</si>
  <si>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</si>
  <si>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</si>
  <si>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</si>
  <si>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</si>
  <si>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</si>
  <si>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</si>
  <si>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</si>
  <si>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</si>
  <si>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</si>
  <si>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</si>
  <si>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</si>
  <si>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</si>
  <si>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</si>
  <si>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</si>
  <si>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</si>
  <si>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</si>
  <si>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</si>
  <si>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</si>
  <si>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</si>
  <si>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</si>
  <si>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</si>
  <si>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</si>
  <si>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</si>
  <si>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</si>
  <si>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</si>
  <si>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</si>
  <si>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</si>
  <si>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</si>
  <si>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</si>
  <si>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</si>
  <si>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</si>
  <si>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</si>
  <si>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</si>
  <si>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</si>
  <si>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</si>
  <si>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</si>
  <si>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</si>
  <si>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</si>
  <si>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</si>
  <si>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</si>
  <si>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</si>
  <si>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</si>
  <si>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</si>
  <si>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</si>
  <si>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</si>
  <si>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</si>
  <si>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</si>
  <si>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</si>
  <si>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</si>
  <si>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</si>
  <si>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</si>
  <si>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</si>
  <si>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</si>
  <si>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</si>
  <si>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</si>
  <si>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</si>
  <si>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</si>
  <si>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</si>
  <si>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</si>
  <si>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</si>
  <si>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</si>
  <si>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</si>
  <si>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</si>
  <si>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</si>
  <si>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</si>
  <si>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</si>
  <si>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</si>
  <si>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</si>
  <si>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</si>
  <si>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</si>
  <si>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</si>
  <si>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</si>
  <si>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</si>
  <si>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</si>
  <si>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</si>
  <si>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</si>
  <si>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</si>
  <si>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</si>
  <si>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</si>
  <si>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</si>
  <si>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</si>
  <si>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</si>
  <si>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</si>
  <si>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</si>
  <si>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</si>
  <si>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</si>
  <si>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</si>
  <si>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</si>
  <si>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</si>
  <si>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</si>
  <si>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</si>
  <si>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</si>
  <si>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</si>
  <si>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</si>
  <si>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</si>
  <si>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</si>
  <si>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</si>
  <si>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</si>
  <si>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</si>
  <si>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</si>
  <si>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</si>
  <si>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</si>
  <si>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</si>
  <si>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</si>
  <si>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</si>
  <si>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</si>
  <si>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</si>
  <si>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</si>
  <si>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</si>
  <si>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</si>
  <si>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</si>
  <si>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</si>
  <si>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</si>
  <si>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</si>
  <si>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</si>
  <si>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</si>
  <si>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</si>
  <si>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</si>
  <si>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</si>
  <si>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</si>
  <si>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</si>
  <si>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</si>
  <si>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</si>
  <si>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</si>
  <si>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</si>
  <si>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</si>
  <si>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</si>
  <si>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</si>
  <si>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</si>
  <si>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</si>
  <si>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</si>
  <si>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</si>
  <si>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</si>
  <si>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</si>
  <si>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</si>
  <si>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</si>
  <si>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</si>
  <si>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</si>
  <si>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</si>
  <si>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</si>
  <si>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</si>
  <si>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</si>
  <si>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</si>
  <si>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</si>
  <si>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</si>
  <si>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</si>
  <si>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</si>
  <si>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</si>
  <si>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</si>
  <si>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</si>
  <si>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</si>
  <si>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</si>
  <si>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</si>
  <si>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</si>
  <si>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</si>
  <si>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</si>
  <si>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</si>
  <si>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</si>
  <si>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</si>
  <si>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</si>
  <si>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</si>
  <si>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</si>
  <si>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</si>
  <si>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</si>
  <si>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</si>
  <si>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</si>
  <si>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</si>
  <si>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</si>
  <si>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</si>
  <si>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</si>
  <si>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</si>
  <si>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</si>
  <si>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</si>
  <si>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</si>
  <si>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</si>
  <si>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</si>
  <si>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</si>
  <si>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</si>
  <si>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</si>
  <si>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</si>
  <si>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</si>
  <si>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</si>
  <si>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</si>
  <si>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</si>
  <si>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</si>
  <si>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</si>
  <si>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</si>
  <si>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</si>
  <si>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</si>
  <si>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</si>
  <si>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</si>
  <si>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</si>
  <si>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</si>
  <si>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</si>
  <si>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</si>
  <si>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</si>
  <si>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</si>
  <si>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</si>
  <si>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</si>
  <si>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</si>
  <si>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</si>
  <si>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</si>
  <si>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</si>
  <si>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</si>
  <si>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</si>
  <si>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</si>
  <si>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</si>
  <si>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</si>
  <si>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</si>
  <si>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</si>
  <si>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</si>
  <si>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</si>
  <si>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</si>
  <si>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</si>
  <si>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</si>
  <si>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</si>
  <si>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</si>
  <si>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</si>
  <si>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</si>
  <si>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</si>
  <si>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</si>
  <si>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</si>
  <si>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</si>
  <si>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</si>
  <si>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</si>
  <si>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</si>
  <si>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</si>
  <si>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</si>
  <si>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</si>
  <si>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</si>
  <si>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</si>
  <si>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</si>
  <si>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</si>
  <si>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</si>
  <si>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</si>
  <si>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</si>
  <si>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</si>
  <si>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</si>
  <si>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</si>
  <si>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</si>
  <si>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</si>
  <si>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</si>
  <si>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</si>
  <si>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</si>
  <si>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</si>
  <si>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</si>
  <si>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</si>
  <si>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</si>
  <si>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</si>
  <si>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</si>
  <si>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</si>
  <si>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</si>
  <si>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</si>
  <si>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</si>
  <si>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</si>
  <si>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</si>
  <si>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</si>
  <si>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</si>
  <si>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</si>
  <si>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</si>
  <si>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</si>
  <si>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</si>
  <si>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</si>
  <si>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</si>
  <si>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</si>
  <si>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</si>
  <si>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</si>
  <si>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</si>
  <si>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</si>
  <si>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</si>
  <si>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</si>
  <si>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</si>
  <si>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</si>
  <si>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</si>
  <si>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</si>
  <si>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</si>
  <si>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</si>
  <si>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</si>
  <si>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</si>
  <si>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</si>
  <si>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</si>
  <si>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</si>
  <si>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</si>
  <si>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</si>
  <si>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</si>
  <si>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</si>
  <si>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</si>
  <si>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</si>
  <si>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</si>
  <si>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</si>
  <si>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</si>
  <si>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</si>
  <si>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</si>
  <si>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</si>
  <si>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</si>
  <si>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</si>
  <si>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</si>
  <si>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</si>
  <si>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</si>
  <si>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</si>
  <si>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</si>
  <si>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</si>
  <si>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</si>
  <si>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</si>
  <si>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</si>
  <si>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</si>
  <si>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</si>
  <si>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</si>
  <si>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</si>
  <si>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</si>
  <si>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</si>
  <si>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</si>
  <si>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</si>
  <si>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</si>
  <si>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</si>
  <si>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</si>
  <si>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</si>
  <si>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</si>
  <si>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</si>
  <si>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</si>
  <si>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</si>
  <si>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</si>
  <si>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</si>
  <si>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</si>
  <si>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</si>
  <si>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</si>
  <si>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</si>
  <si>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</si>
  <si>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</si>
  <si>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</si>
  <si>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</si>
  <si>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</si>
  <si>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</si>
  <si>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</si>
  <si>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</si>
  <si>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</si>
  <si>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</si>
  <si>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</si>
  <si>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</si>
  <si>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</si>
  <si>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</si>
  <si>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</si>
  <si>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</si>
  <si>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</si>
  <si>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</si>
  <si>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</si>
  <si>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</si>
  <si>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</si>
  <si>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</si>
  <si>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</si>
  <si>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</si>
  <si>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</si>
  <si>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</si>
  <si>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</si>
  <si>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</si>
  <si>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</si>
  <si>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</si>
  <si>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</si>
  <si>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</si>
  <si>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</si>
  <si>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</si>
  <si>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</si>
  <si>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</si>
  <si>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</si>
  <si>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</si>
  <si>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</si>
  <si>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</si>
  <si>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</si>
  <si>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</si>
  <si>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</si>
  <si>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</si>
  <si>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</si>
  <si>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</si>
  <si>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</si>
  <si>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</si>
  <si>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</si>
  <si>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</si>
  <si>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</si>
  <si>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</si>
  <si>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</si>
  <si>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</si>
  <si>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</si>
  <si>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</si>
  <si>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</si>
  <si>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</si>
  <si>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</si>
  <si>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</si>
  <si>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</si>
  <si>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</si>
  <si>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</si>
  <si>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</si>
  <si>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</si>
  <si>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</si>
  <si>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</si>
  <si>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</si>
  <si>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</si>
  <si>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</si>
  <si>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</si>
  <si>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</si>
  <si>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</si>
  <si>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</si>
  <si>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</si>
  <si>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</si>
  <si>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</si>
  <si>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</si>
  <si>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</si>
  <si>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</si>
  <si>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</si>
  <si>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</si>
  <si>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</si>
  <si>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</si>
  <si>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</si>
  <si>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</si>
  <si>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</si>
  <si>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</si>
  <si>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</si>
  <si>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</si>
  <si>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</si>
  <si>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</si>
  <si>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</si>
  <si>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</si>
  <si>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</si>
  <si>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</si>
  <si>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</si>
  <si>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</si>
  <si>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</si>
  <si>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</si>
  <si>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</si>
  <si>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</si>
  <si>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</si>
  <si>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</si>
  <si>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</si>
  <si>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</si>
  <si>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</si>
  <si>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</si>
  <si>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</si>
  <si>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</si>
  <si>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</si>
  <si>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</si>
  <si>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</si>
  <si>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</si>
  <si>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</si>
  <si>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</si>
  <si>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</si>
  <si>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</si>
  <si>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</si>
  <si>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</si>
  <si>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</si>
  <si>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</si>
  <si>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</si>
  <si>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</si>
  <si>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</si>
  <si>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</si>
  <si>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</si>
  <si>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</si>
  <si>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</si>
  <si>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</si>
  <si>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</si>
  <si>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</si>
  <si>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</si>
  <si>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</si>
  <si>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</si>
  <si>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</si>
  <si>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</si>
  <si>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</si>
  <si>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</si>
  <si>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</si>
  <si>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</si>
  <si>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</si>
  <si>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</si>
  <si>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</si>
  <si>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</si>
  <si>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</si>
  <si>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</si>
  <si>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</si>
  <si>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</si>
  <si>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</si>
  <si>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</si>
  <si>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</si>
  <si>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</si>
  <si>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</si>
  <si>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</si>
  <si>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</si>
  <si>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</si>
  <si>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</si>
  <si>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</si>
  <si>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</si>
  <si>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</si>
  <si>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</si>
  <si>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</si>
  <si>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</si>
  <si>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</si>
  <si>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</si>
  <si>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</si>
  <si>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</si>
  <si>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</si>
  <si>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</si>
  <si>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</si>
  <si>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</si>
  <si>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</si>
  <si>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</si>
  <si>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</si>
  <si>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</si>
  <si>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</si>
  <si>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</si>
  <si>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</si>
  <si>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</si>
  <si>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</si>
  <si>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</si>
  <si>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</si>
  <si>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</si>
  <si>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</si>
  <si>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</si>
  <si>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</si>
  <si>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</si>
  <si>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</si>
  <si>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</si>
  <si>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</si>
  <si>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</si>
  <si>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</si>
  <si>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</si>
  <si>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</si>
  <si>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</si>
  <si>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</si>
  <si>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</si>
  <si>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</si>
  <si>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</si>
  <si>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</si>
  <si>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</si>
  <si>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</si>
  <si>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</si>
  <si>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</si>
  <si>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</si>
  <si>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</si>
  <si>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</si>
  <si>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</si>
  <si>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</si>
  <si>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</si>
  <si>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</si>
  <si>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</si>
  <si>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</si>
  <si>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</si>
  <si>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</si>
  <si>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</si>
  <si>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</si>
  <si>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</si>
  <si>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</si>
  <si>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</si>
  <si>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</si>
  <si>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</si>
  <si>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</si>
  <si>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</si>
  <si>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</si>
  <si>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</si>
  <si>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</si>
  <si>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</si>
  <si>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</si>
  <si>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</si>
  <si>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</si>
  <si>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</si>
  <si>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</si>
  <si>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</si>
  <si>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</si>
  <si>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</si>
  <si>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</si>
  <si>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</si>
  <si>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</si>
  <si>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</si>
  <si>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</si>
  <si>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</si>
  <si>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</si>
  <si>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</si>
  <si>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</si>
  <si>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</si>
  <si>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</si>
  <si>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</si>
  <si>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</si>
  <si>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</si>
  <si>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</si>
  <si>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</si>
  <si>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</si>
  <si>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</si>
  <si>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</si>
  <si>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</si>
  <si>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</si>
  <si>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</si>
  <si>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</si>
  <si>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</si>
  <si>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</si>
  <si>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</si>
  <si>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</si>
  <si>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</si>
  <si>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</si>
  <si>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</si>
  <si>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</si>
  <si>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</si>
  <si>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</si>
  <si>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</si>
  <si>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</si>
  <si>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</si>
  <si>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</si>
  <si>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</si>
  <si>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</si>
  <si>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</si>
  <si>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</si>
  <si>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</si>
  <si>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</si>
  <si>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</si>
  <si>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</si>
  <si>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</si>
  <si>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</si>
  <si>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</si>
  <si>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</si>
  <si>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</si>
  <si>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</si>
  <si>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</si>
  <si>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</si>
  <si>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</si>
  <si>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</si>
  <si>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</si>
  <si>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</si>
  <si>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</si>
  <si>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</si>
  <si>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</si>
  <si>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</si>
  <si>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</si>
  <si>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</si>
  <si>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</si>
  <si>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</si>
  <si>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</si>
  <si>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</si>
  <si>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</si>
  <si>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</si>
  <si>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</si>
  <si>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</si>
  <si>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</si>
  <si>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</si>
  <si>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</si>
  <si>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</si>
  <si>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</si>
  <si>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</si>
  <si>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</si>
  <si>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</si>
  <si>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</si>
  <si>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</si>
  <si>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</si>
  <si>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</si>
  <si>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</si>
  <si>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</si>
  <si>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</si>
  <si>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</si>
  <si>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</si>
  <si>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</si>
  <si>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</si>
  <si>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</si>
  <si>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</si>
  <si>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</si>
  <si>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</si>
  <si>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</si>
  <si>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</si>
  <si>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</si>
  <si>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</si>
  <si>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</si>
  <si>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</si>
  <si>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</si>
  <si>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</si>
  <si>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</si>
  <si>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</si>
  <si>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</si>
  <si>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</si>
  <si>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</si>
  <si>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</si>
  <si>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</si>
  <si>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</si>
  <si>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</si>
  <si>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</si>
  <si>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</si>
  <si>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</si>
  <si>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</si>
  <si>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</si>
  <si>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</si>
  <si>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</si>
  <si>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</si>
  <si>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</si>
  <si>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</si>
  <si>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</si>
  <si>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</si>
  <si>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</si>
  <si>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</si>
  <si>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</si>
  <si>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</si>
  <si>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</si>
  <si>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</si>
  <si>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</si>
  <si>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</si>
  <si>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</si>
  <si>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</si>
  <si>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</si>
  <si>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</si>
  <si>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</si>
  <si>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</si>
  <si>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</si>
  <si>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</si>
  <si>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</si>
  <si>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</si>
  <si>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</si>
  <si>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</si>
  <si>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</si>
  <si>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</si>
  <si>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</si>
  <si>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</si>
  <si>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</si>
  <si>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</si>
  <si>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</si>
  <si>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</si>
  <si>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</si>
  <si>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</si>
  <si>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</si>
  <si>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</si>
  <si>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</si>
  <si>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</si>
  <si>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</si>
  <si>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</si>
  <si>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</si>
  <si>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</si>
  <si>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</si>
  <si>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</si>
  <si>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</si>
  <si>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</si>
  <si>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</si>
  <si>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</si>
  <si>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</si>
  <si>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</si>
  <si>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</si>
  <si>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</si>
  <si>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</si>
  <si>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</si>
  <si>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</si>
  <si>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</si>
  <si>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</si>
  <si>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</si>
  <si>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</si>
  <si>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</si>
  <si>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</si>
  <si>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</si>
  <si>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</si>
  <si>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</si>
  <si>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</si>
  <si>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</si>
  <si>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</si>
  <si>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</si>
  <si>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</si>
  <si>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</si>
  <si>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</si>
  <si>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</si>
  <si>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</si>
  <si>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</si>
  <si>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</si>
  <si>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</si>
  <si>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</si>
  <si>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</si>
  <si>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</si>
  <si>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</si>
  <si>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</si>
  <si>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</si>
  <si>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</si>
  <si>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</si>
  <si>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</si>
  <si>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</si>
  <si>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</si>
  <si>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</si>
  <si>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</si>
  <si>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</si>
  <si>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</si>
  <si>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</si>
  <si>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</si>
  <si>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</si>
  <si>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</si>
  <si>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</si>
  <si>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</si>
  <si>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</si>
  <si>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</si>
  <si>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</si>
  <si>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</si>
  <si>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</si>
  <si>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</si>
  <si>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</si>
  <si>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</si>
  <si>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</si>
  <si>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</si>
  <si>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</si>
  <si>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</si>
  <si>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</si>
  <si>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</si>
  <si>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</si>
  <si>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</si>
  <si>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</si>
  <si>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</si>
  <si>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</si>
  <si>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</si>
  <si>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</si>
  <si>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</si>
  <si>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</si>
  <si>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</si>
  <si>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</si>
  <si>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</si>
  <si>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</si>
  <si>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</si>
  <si>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</si>
  <si>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</si>
  <si>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</si>
  <si>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</si>
  <si>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</si>
  <si>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</si>
  <si>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</si>
  <si>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</si>
  <si>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</si>
  <si>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</si>
  <si>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</si>
  <si>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</si>
  <si>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</si>
  <si>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</si>
  <si>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</si>
  <si>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</si>
  <si>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</si>
  <si>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</si>
  <si>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</si>
  <si>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</si>
  <si>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</si>
  <si>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</si>
  <si>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</si>
  <si>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</si>
  <si>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</si>
  <si>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</si>
  <si>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</si>
  <si>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</si>
  <si>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</si>
  <si>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</si>
  <si>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</si>
  <si>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</si>
  <si>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</si>
  <si>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</si>
  <si>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</si>
  <si>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</si>
  <si>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</si>
  <si>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</si>
  <si>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</si>
  <si>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</si>
  <si>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</si>
  <si>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</si>
  <si>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</si>
  <si>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</si>
  <si>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</si>
  <si>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</si>
  <si>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</si>
  <si>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</si>
  <si>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</si>
  <si>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</si>
  <si>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</si>
  <si>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</si>
  <si>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</si>
  <si>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</si>
  <si>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</si>
  <si>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</si>
  <si>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</si>
  <si>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</si>
  <si>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</si>
  <si>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</si>
  <si>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</si>
  <si>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</si>
  <si>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</si>
  <si>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</si>
  <si>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</si>
  <si>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</si>
  <si>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</si>
  <si>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</si>
  <si>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</si>
  <si>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</si>
  <si>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</si>
  <si>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</si>
  <si>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</si>
  <si>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</si>
  <si>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</si>
  <si>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</si>
  <si>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</si>
  <si>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</si>
  <si>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</si>
  <si>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</si>
  <si>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</si>
  <si>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</si>
  <si>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</si>
  <si>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</si>
  <si>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</si>
  <si>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</si>
  <si>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</si>
  <si>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</si>
  <si>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</si>
  <si>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</si>
  <si>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</si>
  <si>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</si>
  <si>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</si>
  <si>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</si>
  <si>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</si>
  <si>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</si>
  <si>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</si>
  <si>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</si>
  <si>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</si>
  <si>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</si>
  <si>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</si>
  <si>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</si>
  <si>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</si>
  <si>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</si>
  <si>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</si>
  <si>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</si>
  <si>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</si>
  <si>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</si>
  <si>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</si>
  <si>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</si>
  <si>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</si>
  <si>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</si>
  <si>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</si>
  <si>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</si>
  <si>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</si>
  <si>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</si>
  <si>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</si>
  <si>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</si>
  <si>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</si>
  <si>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</si>
  <si>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</si>
  <si>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</si>
  <si>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</si>
  <si>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</si>
  <si>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</si>
  <si>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</si>
  <si>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</si>
  <si>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</si>
  <si>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</si>
  <si>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</si>
  <si>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</si>
  <si>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</si>
  <si>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</si>
  <si>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</si>
  <si>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</si>
  <si>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</si>
  <si>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</si>
  <si>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</si>
  <si>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</si>
  <si>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</si>
  <si>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</si>
  <si>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</si>
  <si>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</si>
  <si>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</si>
  <si>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</si>
  <si>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</si>
  <si>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</si>
  <si>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</si>
  <si>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</si>
  <si>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</si>
  <si>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</si>
  <si>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</si>
  <si>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</si>
  <si>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</si>
  <si>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</si>
  <si>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</si>
  <si>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</si>
  <si>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</si>
  <si>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</si>
  <si>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</si>
  <si>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</si>
  <si>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</si>
  <si>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</si>
  <si>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</si>
  <si>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</si>
  <si>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</si>
  <si>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</si>
  <si>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</si>
  <si>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</si>
  <si>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</si>
  <si>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</si>
  <si>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</si>
  <si>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</si>
  <si>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</si>
  <si>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</si>
  <si>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</si>
  <si>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</si>
  <si>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</si>
  <si>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</si>
  <si>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</si>
  <si>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</si>
  <si>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</si>
  <si>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</si>
  <si>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</si>
  <si>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</si>
  <si>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</si>
  <si>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</si>
  <si>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</si>
  <si>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</si>
  <si>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</si>
  <si>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</si>
  <si>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</si>
  <si>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</si>
  <si>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</si>
  <si>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</si>
  <si>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</si>
  <si>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</si>
  <si>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</si>
  <si>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</si>
  <si>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</si>
  <si>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</si>
  <si>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</si>
  <si>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</si>
  <si>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</si>
  <si>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</si>
  <si>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</si>
  <si>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</si>
  <si>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</si>
  <si>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</si>
  <si>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</si>
  <si>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</si>
  <si>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</si>
  <si>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</si>
  <si>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</si>
  <si>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</si>
  <si>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</si>
  <si>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</si>
  <si>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</si>
  <si>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</si>
  <si>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</si>
  <si>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</si>
  <si>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</si>
  <si>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</si>
  <si>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</si>
  <si>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</si>
  <si>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</si>
  <si>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</si>
  <si>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</si>
  <si>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</si>
  <si>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</si>
  <si>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</si>
  <si>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</si>
  <si>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</si>
  <si>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</si>
  <si>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</si>
  <si>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</si>
  <si>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</si>
  <si>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</si>
  <si>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</si>
  <si>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</si>
  <si>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</si>
  <si>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</si>
  <si>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</si>
  <si>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</si>
  <si>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</si>
  <si>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</si>
  <si>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</si>
  <si>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</si>
  <si>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</si>
  <si>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</si>
  <si>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</si>
  <si>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</si>
  <si>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</si>
  <si>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</si>
  <si>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</si>
  <si>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</si>
  <si>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</si>
  <si>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</si>
  <si>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</si>
  <si>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</si>
  <si>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</si>
  <si>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</si>
  <si>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</si>
  <si>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</si>
  <si>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</si>
  <si>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</si>
  <si>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</si>
  <si>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</si>
  <si>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</si>
  <si>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</si>
  <si>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</si>
  <si>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</si>
  <si>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</si>
  <si>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</si>
  <si>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</si>
  <si>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</si>
  <si>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</si>
  <si>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</si>
  <si>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</si>
  <si>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</si>
  <si>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</si>
  <si>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</si>
  <si>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</si>
  <si>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</si>
  <si>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</si>
  <si>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</si>
  <si>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</si>
  <si>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</si>
  <si>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</si>
  <si>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</si>
  <si>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</si>
  <si>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</si>
  <si>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</si>
  <si>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</si>
  <si>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</si>
  <si>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</si>
  <si>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</si>
  <si>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</si>
  <si>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</si>
  <si>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</si>
  <si>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</si>
  <si>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</si>
  <si>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</si>
  <si>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</si>
  <si>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</si>
  <si>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</si>
  <si>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</si>
  <si>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</si>
  <si>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</si>
  <si>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</si>
  <si>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</si>
  <si>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</si>
  <si>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</si>
  <si>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</si>
  <si>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</si>
  <si>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</si>
  <si>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</si>
  <si>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</si>
  <si>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</si>
  <si>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</si>
  <si>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</si>
  <si>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</si>
  <si>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</si>
  <si>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</si>
  <si>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</si>
  <si>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</si>
  <si>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</si>
  <si>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</si>
  <si>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</si>
  <si>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</si>
  <si>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</si>
  <si>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</si>
  <si>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</si>
  <si>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</si>
  <si>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</si>
  <si>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</si>
  <si>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</si>
  <si>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</si>
  <si>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</si>
  <si>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</si>
  <si>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</si>
  <si>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</si>
  <si>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</si>
  <si>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</si>
  <si>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</si>
  <si>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</si>
  <si>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</si>
  <si>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</si>
  <si>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</si>
  <si>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</si>
  <si>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</si>
  <si>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</si>
  <si>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</si>
  <si>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</si>
  <si>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</si>
  <si>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</si>
  <si>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</si>
  <si>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</si>
  <si>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</si>
  <si>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</si>
  <si>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</si>
  <si>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</si>
  <si>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</si>
  <si>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</si>
  <si>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</si>
  <si>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</si>
  <si>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</si>
  <si>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</si>
  <si>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</si>
  <si>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</si>
  <si>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</si>
  <si>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</si>
  <si>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</si>
  <si>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</si>
  <si>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</si>
  <si>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</si>
  <si>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</si>
  <si>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</si>
  <si>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</si>
  <si>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</si>
  <si>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</si>
  <si>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</si>
  <si>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</si>
  <si>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</si>
  <si>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</si>
  <si>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</si>
  <si>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</si>
  <si>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</si>
  <si>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</si>
  <si>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</si>
  <si>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</si>
  <si>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</si>
  <si>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</si>
  <si>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</si>
  <si>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</si>
  <si>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</si>
  <si>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</si>
  <si>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</si>
  <si>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</si>
  <si>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</si>
  <si>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</si>
  <si>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</si>
  <si>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</si>
  <si>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</si>
  <si>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</si>
  <si>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</si>
  <si>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</si>
  <si>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</si>
  <si>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</si>
  <si>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</si>
  <si>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</si>
  <si>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</si>
  <si>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</si>
  <si>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</si>
  <si>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</si>
  <si>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</si>
  <si>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</si>
  <si>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</si>
  <si>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</si>
  <si>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</si>
  <si>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</si>
  <si>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</si>
  <si>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</si>
  <si>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</si>
  <si>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</si>
  <si>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</si>
  <si>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</si>
  <si>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</si>
  <si>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</si>
  <si>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</si>
  <si>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</si>
  <si>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</si>
  <si>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</si>
  <si>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</si>
  <si>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</si>
  <si>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</si>
  <si>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</si>
  <si>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</si>
  <si>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</si>
  <si>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</si>
  <si>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</si>
  <si>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</si>
  <si>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</si>
  <si>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</si>
  <si>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</si>
  <si>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</si>
  <si>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</si>
  <si>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</si>
  <si>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</si>
  <si>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</si>
  <si>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</si>
  <si>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</si>
  <si>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</si>
  <si>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</si>
  <si>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</si>
  <si>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</si>
  <si>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</si>
  <si>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</si>
  <si>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</si>
  <si>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</si>
  <si>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</si>
  <si>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</si>
  <si>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</si>
  <si>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</si>
  <si>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</si>
  <si>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</si>
  <si>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</si>
  <si>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</si>
  <si>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</si>
  <si>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</si>
  <si>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</si>
  <si>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</si>
  <si>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</si>
  <si>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</si>
  <si>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</si>
  <si>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</si>
  <si>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</si>
  <si>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</si>
  <si>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</si>
  <si>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</si>
  <si>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</si>
  <si>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</si>
  <si>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</si>
  <si>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</si>
  <si>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</si>
  <si>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</si>
  <si>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</si>
  <si>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</si>
  <si>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</si>
  <si>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</si>
  <si>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</si>
  <si>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</si>
  <si>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</si>
  <si>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</si>
  <si>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</si>
  <si>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</si>
  <si>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</si>
  <si>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</si>
  <si>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</si>
  <si>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</si>
  <si>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</si>
  <si>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</si>
  <si>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</si>
  <si>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</si>
  <si>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</si>
  <si>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</si>
  <si>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</si>
  <si>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</si>
  <si>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</si>
  <si>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</si>
  <si>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</si>
  <si>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</si>
  <si>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</si>
  <si>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</si>
  <si>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</si>
  <si>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</si>
  <si>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</si>
  <si>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</si>
  <si>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</si>
  <si>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</si>
  <si>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</si>
  <si>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</si>
  <si>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</si>
  <si>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</si>
  <si>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</si>
  <si>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</si>
  <si>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</si>
  <si>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</si>
  <si>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</si>
  <si>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</si>
  <si>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</si>
  <si>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</si>
  <si>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</si>
  <si>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</si>
  <si>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</si>
  <si>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</si>
  <si>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</si>
  <si>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</si>
  <si>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</si>
  <si>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</si>
  <si>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</si>
  <si>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</si>
  <si>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</si>
  <si>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</si>
  <si>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</si>
  <si>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</si>
  <si>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</si>
  <si>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</si>
  <si>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</si>
  <si>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</si>
  <si>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</si>
  <si>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</si>
  <si>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</si>
  <si>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</si>
  <si>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</si>
  <si>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</si>
  <si>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</si>
  <si>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</si>
  <si>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</si>
  <si>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</si>
  <si>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</si>
  <si>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</si>
  <si>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</si>
  <si>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</si>
  <si>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</si>
  <si>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</si>
  <si>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</si>
  <si>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</si>
  <si>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</si>
  <si>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</si>
  <si>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</si>
  <si>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</si>
  <si>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</si>
  <si>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</si>
  <si>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</si>
  <si>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</si>
  <si>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</si>
  <si>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</si>
  <si>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</si>
  <si>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</si>
  <si>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</si>
  <si>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</si>
  <si>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</si>
  <si>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</si>
  <si>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</si>
  <si>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</si>
  <si>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</si>
  <si>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</si>
  <si>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</si>
  <si>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</si>
  <si>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</si>
  <si>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</si>
  <si>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</si>
  <si>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</si>
  <si>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</si>
  <si>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</si>
  <si>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</si>
  <si>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</si>
  <si>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</si>
  <si>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</si>
  <si>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</si>
  <si>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</si>
  <si>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</si>
  <si>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</si>
  <si>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</si>
  <si>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</si>
  <si>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</si>
  <si>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</si>
  <si>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</si>
  <si>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</si>
  <si>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</si>
  <si>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</si>
  <si>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</si>
  <si>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</si>
  <si>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</si>
  <si>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</si>
  <si>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</si>
  <si>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</si>
  <si>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</si>
  <si>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</si>
  <si>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</si>
  <si>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</si>
  <si>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</si>
  <si>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</si>
  <si>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</si>
  <si>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</si>
  <si>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</si>
  <si>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</si>
  <si>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</si>
  <si>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</si>
  <si>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</si>
  <si>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</si>
  <si>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</si>
  <si>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</si>
  <si>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</si>
  <si>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</si>
  <si>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</si>
  <si>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</si>
  <si>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</si>
  <si>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</si>
  <si>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</si>
  <si>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</si>
  <si>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</si>
  <si>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</si>
  <si>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</si>
  <si>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</si>
  <si>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</si>
  <si>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</si>
  <si>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</si>
  <si>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</si>
  <si>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</si>
  <si>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</si>
  <si>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</si>
  <si>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</si>
  <si>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</si>
  <si>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</si>
  <si>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</si>
  <si>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</si>
  <si>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</si>
  <si>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</si>
  <si>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</si>
  <si>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</si>
  <si>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</si>
  <si>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</si>
  <si>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</si>
  <si>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</si>
  <si>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</si>
  <si>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</si>
  <si>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</si>
  <si>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</si>
  <si>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</si>
  <si>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</si>
  <si>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</si>
  <si>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</si>
  <si>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</si>
  <si>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</si>
  <si>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</si>
  <si>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</si>
  <si>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</si>
  <si>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</si>
  <si>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</si>
  <si>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</si>
  <si>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</si>
  <si>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</si>
  <si>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</si>
  <si>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</si>
  <si>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</si>
  <si>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</si>
  <si>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</si>
  <si>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</si>
  <si>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</si>
  <si>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</si>
  <si>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</si>
  <si>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</si>
  <si>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</si>
  <si>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</si>
  <si>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</si>
  <si>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</si>
  <si>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</si>
  <si>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</si>
  <si>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</si>
  <si>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</si>
  <si>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</si>
  <si>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</si>
  <si>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</si>
  <si>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</si>
  <si>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</si>
  <si>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</si>
  <si>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</si>
  <si>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</si>
  <si>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</si>
  <si>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</si>
  <si>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</si>
  <si>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</si>
  <si>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</si>
  <si>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</si>
  <si>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</si>
  <si>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</si>
  <si>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</si>
  <si>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</si>
  <si>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</si>
  <si>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</si>
  <si>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</si>
  <si>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</si>
  <si>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</si>
  <si>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</si>
  <si>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</si>
  <si>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</si>
  <si>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</si>
  <si>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</si>
  <si>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</si>
  <si>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</si>
  <si>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</si>
  <si>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</si>
  <si>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</si>
  <si>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</si>
  <si>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</si>
  <si>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</si>
  <si>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</si>
  <si>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</si>
  <si>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</si>
  <si>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</si>
  <si>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</si>
  <si>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</si>
  <si>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</si>
  <si>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</si>
  <si>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</si>
  <si>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</si>
  <si>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</si>
  <si>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</si>
  <si>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</si>
  <si>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</si>
  <si>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</si>
  <si>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</si>
  <si>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</si>
  <si>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</si>
  <si>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</si>
  <si>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</si>
  <si>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</si>
  <si>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</si>
  <si>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</si>
  <si>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</si>
  <si>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</si>
  <si>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</si>
  <si>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</si>
  <si>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</si>
  <si>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</si>
  <si>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</si>
  <si>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</si>
  <si>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</si>
  <si>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</si>
  <si>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</si>
  <si>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</si>
  <si>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</si>
  <si>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</si>
  <si>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</si>
  <si>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</si>
  <si>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</si>
  <si>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</si>
  <si>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</si>
  <si>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</si>
  <si>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</si>
  <si>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</si>
  <si>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</si>
  <si>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</si>
  <si>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</si>
  <si>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</si>
  <si>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</si>
  <si>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</si>
  <si>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</si>
  <si>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</si>
  <si>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</si>
  <si>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</si>
  <si>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</si>
  <si>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</si>
  <si>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</si>
  <si>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</si>
  <si>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</si>
  <si>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</si>
  <si>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</si>
  <si>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</si>
  <si>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</si>
  <si>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</si>
  <si>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</si>
  <si>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</si>
  <si>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</si>
  <si>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</si>
  <si>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</si>
  <si>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</si>
  <si>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</si>
  <si>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</si>
  <si>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</si>
  <si>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</si>
  <si>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</si>
  <si>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</si>
  <si>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</si>
  <si>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</si>
  <si>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</si>
  <si>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</si>
  <si>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</si>
  <si>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</si>
  <si>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</si>
  <si>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</si>
  <si>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</si>
  <si>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</si>
  <si>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</si>
  <si>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</si>
  <si>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</si>
  <si>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</si>
  <si>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</si>
  <si>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</si>
  <si>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</si>
  <si>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</si>
  <si>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</si>
  <si>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</si>
  <si>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</si>
  <si>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</si>
  <si>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</si>
  <si>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</si>
  <si>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</si>
  <si>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</si>
  <si>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</si>
  <si>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</si>
  <si>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</si>
  <si>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</si>
  <si>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</si>
  <si>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</si>
  <si>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</si>
  <si>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</si>
  <si>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</si>
  <si>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</si>
  <si>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</si>
  <si>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</si>
  <si>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</si>
  <si>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</si>
  <si>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</si>
  <si>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</si>
  <si>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</si>
  <si>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</si>
  <si>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</si>
  <si>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</si>
  <si>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</si>
  <si>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</si>
  <si>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</si>
  <si>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</si>
  <si>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</si>
  <si>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</si>
  <si>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</si>
  <si>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</si>
  <si>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</si>
  <si>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</si>
  <si>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</si>
  <si>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</si>
  <si>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</si>
  <si>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</si>
  <si>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</si>
  <si>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</si>
  <si>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</si>
  <si>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</si>
  <si>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</si>
  <si>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</si>
  <si>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</si>
  <si>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</si>
  <si>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</si>
  <si>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</si>
  <si>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</si>
  <si>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</si>
  <si>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</si>
  <si>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</si>
  <si>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</si>
  <si>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</si>
  <si>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</si>
  <si>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</si>
  <si>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</si>
  <si>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</si>
  <si>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</si>
  <si>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</si>
  <si>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</si>
  <si>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</si>
  <si>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</si>
  <si>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</si>
  <si>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</si>
  <si>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</si>
  <si>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</si>
  <si>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</si>
  <si>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</si>
  <si>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</si>
  <si>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</si>
  <si>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</si>
  <si>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</si>
  <si>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</si>
  <si>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</si>
  <si>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</si>
  <si>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</si>
  <si>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</si>
  <si>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</si>
  <si>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</si>
  <si>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</si>
  <si>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</si>
  <si>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</si>
  <si>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</si>
  <si>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</si>
  <si>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</si>
  <si>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</si>
  <si>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</si>
  <si>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</si>
  <si>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</si>
  <si>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</si>
  <si>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</si>
  <si>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</si>
  <si>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</si>
  <si>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</si>
  <si>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</si>
  <si>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</si>
  <si>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</si>
  <si>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</si>
  <si>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</si>
  <si>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</si>
  <si>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</si>
  <si>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</si>
  <si>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</si>
  <si>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</si>
  <si>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</si>
  <si>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</si>
  <si>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</si>
  <si>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</si>
  <si>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</si>
  <si>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</si>
  <si>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</si>
  <si>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</si>
  <si>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</si>
  <si>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</si>
  <si>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</si>
  <si>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</si>
  <si>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</si>
  <si>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</si>
  <si>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</si>
  <si>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</si>
  <si>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</si>
  <si>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</si>
  <si>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</si>
  <si>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</si>
  <si>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</si>
  <si>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</si>
  <si>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</si>
  <si>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</si>
  <si>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</si>
  <si>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</si>
  <si>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</si>
  <si>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</si>
  <si>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</si>
  <si>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</si>
  <si>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</si>
  <si>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</si>
  <si>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</si>
  <si>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</si>
  <si>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</si>
  <si>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</si>
  <si>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</si>
  <si>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</si>
  <si>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</si>
  <si>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</si>
  <si>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</si>
  <si>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</si>
  <si>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</si>
  <si>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</si>
  <si>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</si>
  <si>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</si>
  <si>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</si>
  <si>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</si>
  <si>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</si>
  <si>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</si>
  <si>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</si>
  <si>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</si>
  <si>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</si>
  <si>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</si>
  <si>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</si>
  <si>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</si>
  <si>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</si>
  <si>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</si>
  <si>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</si>
  <si>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</si>
  <si>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</si>
  <si>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</si>
  <si>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</si>
  <si>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</si>
  <si>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</si>
  <si>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</si>
  <si>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</si>
  <si>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</si>
  <si>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</si>
  <si>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</si>
  <si>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</si>
  <si>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</si>
  <si>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</si>
  <si>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</si>
  <si>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</si>
  <si>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</si>
  <si>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</si>
  <si>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</si>
  <si>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</si>
  <si>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</si>
  <si>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</si>
  <si>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</si>
  <si>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</si>
  <si>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</si>
  <si>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</si>
  <si>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</si>
  <si>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</si>
  <si>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</si>
  <si>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</si>
  <si>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</si>
  <si>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</si>
  <si>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</si>
  <si>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</si>
  <si>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</si>
  <si>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</si>
  <si>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</si>
  <si>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</si>
  <si>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</si>
  <si>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</si>
  <si>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</si>
  <si>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</si>
  <si>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</si>
  <si>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</si>
  <si>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</si>
  <si>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</si>
  <si>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</si>
  <si>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</si>
  <si>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</si>
  <si>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</si>
  <si>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</si>
  <si>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</si>
  <si>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</si>
  <si>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</si>
  <si>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</si>
  <si>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</si>
  <si>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</si>
  <si>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</si>
  <si>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</si>
  <si>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</si>
  <si>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</si>
  <si>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</si>
  <si>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</si>
  <si>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</si>
  <si>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</si>
  <si>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</si>
  <si>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</si>
  <si>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</si>
  <si>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</si>
  <si>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</si>
  <si>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</si>
  <si>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</si>
  <si>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</si>
  <si>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</si>
  <si>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</si>
  <si>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</si>
  <si>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</si>
  <si>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</si>
  <si>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</si>
  <si>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</si>
  <si>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</si>
  <si>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</si>
  <si>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</si>
  <si>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</si>
  <si>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</si>
  <si>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</si>
  <si>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</si>
  <si>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</si>
  <si>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</si>
  <si>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</si>
  <si>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</si>
  <si>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</si>
  <si>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</si>
  <si>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</si>
  <si>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</si>
  <si>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</si>
  <si>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</si>
  <si>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</si>
  <si>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</si>
  <si>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</si>
  <si>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</si>
  <si>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</si>
  <si>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</si>
  <si>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</si>
  <si>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</si>
  <si>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</si>
  <si>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</si>
  <si>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</si>
  <si>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</si>
  <si>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</si>
  <si>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</si>
  <si>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</si>
  <si>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</si>
  <si>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</si>
  <si>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</si>
  <si>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</si>
  <si>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</si>
  <si>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</si>
  <si>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</si>
  <si>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</si>
  <si>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</si>
  <si>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</si>
  <si>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</si>
  <si>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</si>
  <si>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</si>
  <si>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</si>
  <si>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</si>
  <si>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</si>
  <si>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</si>
  <si>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</si>
  <si>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</si>
  <si>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</si>
  <si>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</si>
  <si>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</si>
  <si>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</si>
  <si>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</si>
  <si>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</si>
  <si>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</si>
  <si>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</si>
  <si>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</si>
  <si>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</si>
  <si>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</si>
  <si>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</si>
  <si>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</si>
  <si>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</si>
  <si>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</si>
  <si>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</si>
  <si>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</si>
  <si>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</si>
  <si>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</si>
  <si>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</si>
  <si>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</si>
  <si>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</si>
  <si>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</si>
  <si>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</si>
  <si>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</si>
  <si>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</si>
  <si>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</si>
  <si>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</si>
  <si>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</si>
  <si>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</si>
  <si>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</si>
  <si>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</si>
  <si>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</si>
  <si>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</si>
  <si>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</si>
  <si>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</si>
  <si>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</si>
  <si>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</si>
  <si>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</si>
  <si>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</si>
  <si>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</si>
  <si>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</si>
  <si>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</si>
  <si>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</si>
  <si>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</si>
  <si>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</si>
  <si>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</si>
  <si>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</si>
  <si>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</si>
  <si>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</si>
  <si>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</si>
  <si>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</si>
  <si>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</si>
  <si>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</si>
  <si>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</si>
  <si>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</si>
  <si>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</si>
  <si>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</si>
  <si>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</si>
  <si>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</si>
  <si>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</si>
  <si>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</si>
  <si>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</si>
  <si>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</si>
  <si>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</si>
  <si>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</si>
  <si>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</si>
  <si>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</si>
  <si>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</si>
  <si>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</si>
  <si>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</si>
  <si>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</si>
  <si>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</si>
  <si>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</si>
  <si>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</si>
  <si>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</si>
  <si>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</si>
  <si>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</si>
  <si>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</si>
  <si>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</si>
  <si>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</si>
  <si>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</si>
  <si>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</si>
  <si>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</si>
  <si>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</si>
  <si>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</si>
  <si>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</si>
  <si>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</si>
  <si>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</si>
  <si>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</si>
  <si>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</si>
  <si>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</si>
  <si>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</si>
  <si>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</si>
  <si>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</si>
  <si>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</si>
  <si>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</si>
  <si>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</si>
  <si>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</si>
  <si>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</si>
  <si>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</si>
  <si>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</si>
  <si>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</si>
  <si>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</si>
  <si>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</si>
  <si>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</si>
  <si>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</si>
  <si>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</si>
  <si>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</si>
  <si>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</si>
  <si>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</si>
  <si>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</si>
  <si>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</si>
  <si>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</si>
  <si>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</si>
  <si>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</si>
  <si>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</si>
  <si>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</si>
  <si>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</si>
  <si>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</si>
  <si>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</si>
  <si>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</si>
  <si>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</si>
  <si>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</si>
  <si>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</si>
  <si>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</si>
  <si>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</si>
  <si>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</si>
  <si>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</si>
  <si>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</si>
  <si>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</si>
  <si>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</si>
  <si>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</si>
  <si>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</si>
  <si>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</si>
  <si>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</si>
  <si>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</si>
  <si>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</si>
  <si>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</si>
  <si>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</si>
  <si>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</si>
  <si>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</si>
  <si>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</si>
  <si>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</si>
  <si>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</si>
  <si>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</si>
  <si>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</si>
  <si>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</si>
  <si>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</si>
  <si>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</si>
  <si>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</si>
  <si>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</si>
  <si>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</si>
  <si>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</si>
  <si>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</si>
  <si>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</si>
  <si>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</si>
  <si>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</si>
  <si>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</si>
  <si>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</si>
  <si>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</si>
  <si>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</si>
  <si>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</si>
  <si>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</si>
  <si>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</si>
  <si>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</si>
  <si>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</si>
  <si>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</si>
  <si>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</si>
  <si>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</si>
  <si>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</si>
  <si>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</si>
  <si>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</si>
  <si>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</si>
  <si>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</si>
  <si>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</si>
  <si>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</si>
  <si>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</si>
  <si>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</si>
  <si>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</si>
  <si>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</si>
  <si>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</si>
  <si>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</si>
  <si>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</si>
  <si>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</si>
  <si>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</si>
  <si>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</si>
  <si>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</si>
  <si>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</si>
  <si>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</si>
  <si>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</si>
  <si>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</si>
  <si>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</si>
  <si>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</si>
  <si>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</si>
  <si>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</si>
  <si>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</si>
  <si>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</si>
  <si>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</si>
  <si>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</si>
  <si>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</si>
  <si>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</si>
  <si>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</si>
  <si>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</si>
  <si>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</si>
  <si>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</si>
  <si>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</si>
  <si>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</si>
  <si>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</si>
  <si>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</si>
  <si>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</si>
  <si>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</si>
  <si>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</si>
  <si>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</si>
  <si>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</si>
  <si>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</si>
  <si>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</si>
  <si>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</si>
  <si>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</si>
  <si>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</si>
  <si>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</si>
  <si>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</si>
  <si>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</si>
  <si>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</si>
  <si>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</si>
  <si>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</si>
  <si>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</si>
  <si>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</si>
  <si>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</si>
  <si>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</si>
  <si>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</si>
  <si>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</si>
  <si>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</si>
  <si>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</si>
  <si>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</si>
  <si>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</si>
  <si>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</si>
  <si>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</si>
  <si>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</si>
  <si>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</si>
  <si>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</si>
  <si>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</si>
  <si>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</si>
  <si>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</si>
  <si>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</si>
  <si>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</si>
  <si>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</si>
  <si>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</si>
  <si>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</si>
  <si>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</si>
  <si>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</si>
  <si>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</si>
  <si>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</si>
  <si>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</si>
  <si>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</si>
  <si>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</si>
  <si>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</si>
  <si>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</si>
  <si>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</si>
  <si>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</si>
  <si>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</si>
  <si>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</si>
  <si>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</si>
  <si>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</si>
  <si>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</si>
  <si>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</si>
  <si>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</si>
  <si>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</si>
  <si>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</si>
  <si>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</si>
  <si>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</si>
  <si>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</si>
  <si>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</si>
  <si>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</si>
  <si>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</si>
  <si>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</si>
  <si>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</si>
  <si>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</si>
  <si>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</si>
  <si>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</si>
  <si>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</si>
  <si>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</si>
  <si>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</si>
  <si>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</si>
  <si>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</si>
  <si>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</si>
  <si>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</si>
  <si>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</si>
  <si>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</si>
  <si>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</si>
  <si>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</si>
  <si>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</si>
  <si>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</si>
  <si>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</si>
  <si>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</si>
  <si>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</si>
  <si>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</si>
  <si>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</si>
  <si>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</si>
  <si>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</si>
  <si>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</si>
  <si>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</si>
  <si>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</si>
  <si>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</si>
  <si>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</si>
  <si>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</si>
  <si>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</si>
  <si>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</si>
  <si>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</si>
  <si>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</si>
  <si>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</si>
  <si>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</si>
  <si>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</si>
  <si>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</si>
  <si>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</si>
  <si>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</si>
  <si>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</si>
  <si>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</si>
  <si>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</si>
  <si>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</si>
  <si>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</si>
  <si>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</si>
  <si>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</si>
  <si>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</si>
  <si>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</si>
  <si>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</si>
  <si>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</si>
  <si>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</si>
  <si>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</si>
  <si>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</si>
  <si>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</si>
  <si>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</si>
  <si>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</si>
  <si>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</si>
  <si>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</si>
  <si>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</si>
  <si>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</si>
  <si>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</si>
  <si>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</si>
  <si>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</si>
  <si>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</si>
  <si>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</si>
  <si>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</si>
  <si>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</si>
  <si>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</si>
  <si>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</si>
  <si>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</si>
  <si>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</si>
  <si>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</si>
  <si>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</si>
  <si>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</si>
  <si>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</si>
  <si>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</si>
  <si>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</si>
  <si>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</si>
  <si>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</si>
  <si>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</si>
  <si>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</si>
  <si>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</si>
  <si>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</si>
  <si>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</si>
  <si>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</si>
  <si>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</si>
  <si>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</si>
  <si>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</si>
  <si>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</si>
  <si>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</si>
  <si>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</si>
  <si>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</si>
  <si>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</si>
  <si>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</si>
  <si>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</si>
  <si>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</si>
  <si>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</si>
  <si>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</si>
  <si>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</si>
  <si>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</si>
  <si>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</si>
  <si>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</si>
  <si>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</si>
  <si>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</si>
  <si>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</si>
  <si>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</si>
  <si>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</si>
  <si>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</si>
  <si>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</si>
  <si>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</si>
  <si>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</si>
  <si>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</si>
  <si>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</si>
  <si>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</si>
  <si>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</si>
  <si>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</si>
  <si>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</si>
  <si>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</si>
  <si>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</si>
  <si>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</si>
  <si>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</si>
  <si>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</si>
  <si>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</si>
  <si>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</si>
  <si>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</si>
  <si>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</si>
  <si>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</si>
  <si>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</si>
  <si>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</si>
  <si>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</si>
  <si>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</si>
  <si>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</si>
  <si>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</si>
  <si>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</si>
  <si>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</si>
  <si>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</si>
  <si>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</si>
  <si>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</si>
  <si>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</si>
  <si>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</si>
  <si>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</si>
  <si>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</si>
  <si>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</si>
  <si>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</si>
  <si>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</si>
  <si>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</si>
  <si>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</si>
  <si>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</si>
  <si>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</si>
  <si>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</si>
  <si>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</si>
  <si>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</si>
  <si>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</si>
  <si>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</si>
  <si>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</si>
  <si>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</si>
  <si>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</si>
  <si>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</si>
  <si>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</si>
  <si>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</si>
  <si>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</si>
  <si>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</si>
  <si>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</si>
  <si>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</si>
  <si>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</si>
  <si>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</si>
  <si>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</si>
  <si>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</si>
  <si>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</si>
  <si>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</si>
  <si>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</si>
  <si>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</si>
  <si>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</si>
  <si>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</si>
  <si>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</si>
  <si>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</si>
  <si>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</si>
  <si>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</si>
  <si>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</si>
  <si>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</si>
  <si>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</si>
  <si>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</si>
  <si>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</si>
  <si>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</si>
  <si>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</si>
  <si>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</si>
  <si>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</si>
  <si>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</si>
  <si>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</si>
  <si>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</si>
  <si>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</si>
  <si>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</si>
  <si>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</si>
  <si>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</si>
  <si>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</si>
  <si>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</si>
  <si>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</si>
  <si>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</si>
  <si>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</si>
  <si>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</si>
  <si>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</si>
  <si>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</si>
  <si>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</si>
  <si>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</si>
  <si>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</si>
  <si>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</si>
  <si>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</si>
  <si>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</si>
  <si>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</si>
  <si>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</si>
  <si>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</si>
  <si>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</si>
  <si>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</si>
  <si>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</si>
  <si>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</si>
  <si>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</si>
  <si>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</si>
  <si>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</si>
  <si>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</si>
  <si>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</si>
  <si>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</si>
  <si>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</si>
  <si>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</si>
  <si>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</si>
  <si>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</si>
  <si>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</si>
  <si>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</si>
  <si>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</si>
  <si>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</si>
  <si>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</si>
  <si>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</si>
  <si>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</si>
  <si>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</si>
  <si>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</si>
  <si>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</si>
  <si>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</si>
  <si>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</si>
  <si>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</si>
  <si>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</si>
  <si>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</si>
  <si>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</si>
  <si>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</si>
  <si>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</si>
  <si>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</si>
  <si>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</si>
  <si>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</si>
  <si>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</si>
  <si>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</si>
  <si>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</si>
  <si>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</si>
  <si>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</si>
  <si>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</si>
  <si>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</si>
  <si>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</si>
  <si>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</si>
  <si>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</si>
  <si>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</si>
  <si>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</si>
  <si>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</si>
  <si>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</si>
  <si>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</si>
  <si>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</si>
  <si>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</si>
  <si>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</si>
  <si>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</si>
  <si>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</si>
  <si>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</si>
  <si>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ODS Elektrokrajina a.d. Banja Luka</t>
  </si>
  <si>
    <t>Kralja Petra I Karađorđevića 95 Banja Luka</t>
  </si>
  <si>
    <t>Banja Luci</t>
  </si>
  <si>
    <t>Nikola Pilipović</t>
  </si>
  <si>
    <t>SR-1401/25</t>
  </si>
  <si>
    <t>V.D. Direktor, Saša Popović, dipl.inž.el.</t>
  </si>
  <si>
    <t>Kralja Petra I Karađorđevića 95</t>
  </si>
  <si>
    <t>www.elektrokrajina.com</t>
  </si>
  <si>
    <t>direkcija@elektrokrajina.com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</si>
</sst>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2"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802">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7" fillId="0" borderId="1" xfId="1" applyFill="1" applyBorder="1">
      <alignment horizontal="center" vertical="center"/>
      <protection hidden="1"/>
    </xf>
    <xf numFmtId="167"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lignment horizontal="center" vertical="center"/>
      <protection hidden="1"/>
    </xf>
    <xf numFmtId="167" fontId="7" fillId="4" borderId="61" xfId="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7" fontId="7" fillId="0" borderId="66" xfId="1" applyBorder="1">
      <alignment horizontal="center" vertical="center"/>
      <protection hidden="1"/>
    </xf>
    <xf numFmtId="169"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5" fillId="0" borderId="57" xfId="4" applyFont="1" applyFill="1" applyBorder="1">
      <alignment horizontal="center" vertical="center" wrapText="1"/>
      <protection hidden="1"/>
    </xf>
    <xf numFmtId="0" fontId="33" fillId="3" borderId="62" xfId="0" applyFont="1" applyFill="1" applyBorder="1" applyAlignment="1" applyProtection="1">
      <alignment horizontal="center"/>
      <protection hidden="1"/>
    </xf>
    <xf numFmtId="169"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6" fillId="14" borderId="22" xfId="4" quotePrefix="1" applyFont="1" applyFill="1" applyBorder="1" applyAlignment="1">
      <alignment horizontal="left" vertical="center" wrapText="1"/>
      <protection hidden="1"/>
    </xf>
    <xf numFmtId="0" fontId="29"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1"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7" fillId="11" borderId="57" xfId="4" applyFill="1" applyBorder="1">
      <alignment horizontal="center" vertical="center" wrapText="1"/>
      <protection hidden="1"/>
    </xf>
    <xf numFmtId="0" fontId="0" fillId="11" borderId="0" xfId="0" applyFill="1" applyBorder="1" applyAlignment="1">
      <alignment horizontal="left" vertical="center"/>
    </xf>
    <xf numFmtId="169" fontId="7" fillId="0" borderId="60" xfId="4" applyBorder="1">
      <alignment horizontal="center" vertical="center" wrapText="1"/>
      <protection hidden="1"/>
    </xf>
    <xf numFmtId="167"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6" fillId="11" borderId="0" xfId="0" applyFont="1" applyFill="1" applyAlignment="1">
      <alignment horizontal="left"/>
    </xf>
    <xf numFmtId="0" fontId="6" fillId="11" borderId="0" xfId="0" applyFont="1" applyFill="1" applyAlignment="1">
      <alignment horizontal="left" vertical="center"/>
    </xf>
    <xf numFmtId="0" fontId="6" fillId="11" borderId="0" xfId="0" applyFont="1" applyFill="1" applyBorder="1" applyAlignment="1">
      <alignment horizontal="left"/>
    </xf>
    <xf numFmtId="0" fontId="6" fillId="11" borderId="0" xfId="0" applyFont="1" applyFill="1" applyBorder="1" applyAlignment="1">
      <alignment horizontal="left" vertical="center"/>
    </xf>
    <xf numFmtId="0" fontId="0" fillId="15" borderId="0" xfId="0" applyFill="1" applyAlignment="1">
      <alignment horizontal="left" vertical="center"/>
    </xf>
    <xf numFmtId="0" fontId="39"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6" fillId="15" borderId="0" xfId="0" applyFont="1" applyFill="1" applyBorder="1" applyAlignment="1">
      <alignment horizontal="left" vertical="center"/>
    </xf>
    <xf numFmtId="0" fontId="41" fillId="15" borderId="0" xfId="0" applyFont="1" applyFill="1" applyBorder="1" applyAlignment="1" applyProtection="1">
      <alignment vertical="center" wrapText="1"/>
      <protection hidden="1"/>
    </xf>
    <xf numFmtId="3" fontId="6"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7"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7"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7" fillId="0" borderId="0" xfId="9" applyNumberFormat="1" applyBorder="1" applyAlignment="1">
      <alignment horizontal="right" vertical="center"/>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16" fillId="8" borderId="2" xfId="6" applyProtection="1">
      <alignment horizontal="center" vertical="center"/>
      <protection locked="0"/>
    </xf>
    <xf numFmtId="0" fontId="20" fillId="0" borderId="0" xfId="0" applyFont="1" applyFill="1" applyAlignment="1" applyProtection="1">
      <alignment horizontal="center" vertical="center"/>
      <protection hidden="1"/>
    </xf>
    <xf numFmtId="0" fontId="16" fillId="8" borderId="4" xfId="8">
      <alignment horizontal="left" vertical="center"/>
      <protection locked="0"/>
    </xf>
    <xf numFmtId="0" fontId="1" fillId="8" borderId="4" xfId="8" applyFont="1">
      <alignment horizontal="left" vertical="center"/>
      <protection locked="0"/>
    </xf>
    <xf numFmtId="0" fontId="2"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pplyProtection="1">
      <alignment horizontal="left" vertical="center"/>
    </xf>
    <xf numFmtId="0" fontId="16" fillId="8" borderId="4" xfId="8" applyProtection="1">
      <alignment horizontal="left" vertical="center"/>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7" fillId="3" borderId="50"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7" fillId="0" borderId="0" xfId="0" applyFont="1" applyBorder="1" applyAlignment="1" applyProtection="1">
      <alignment horizontal="right"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7" fillId="0" borderId="26" xfId="10" applyBorder="1" applyAlignment="1">
      <alignment horizontal="left" vertical="center"/>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49" fontId="7" fillId="0" borderId="117" xfId="9" applyBorder="1" applyAlignment="1">
      <alignment horizontal="center" vertical="center"/>
      <protection hidden="1"/>
    </xf>
    <xf numFmtId="0" fontId="25"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0" fontId="6"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7" fillId="0" borderId="26" xfId="9" applyBorder="1" applyAlignment="1">
      <alignment horizontal="left"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6">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34"/>
          <a:ext cx="10991850" cy="600075"/>
          <a:chOff x="7343770" y="3810010"/>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10"/>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03"/>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03"/>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2"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1" dataCellStyle="Normal">
      <calculatedColumnFormula>CHOOSE( ID_Jezik, C2, D2, E2,F2)</calculatedColumnFormula>
    </tableColumn>
    <tableColumn id="7" name="Kolona za pravljenje imena" dataDxfId="190" dataCellStyle="Normal">
      <calculatedColumnFormula>SUBSTITUTE(A2&amp;"_"&amp;B2," ","_")</calculatedColumnFormula>
    </tableColumn>
    <tableColumn id="8"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9" t="s">
        <v>58</v>
      </c>
      <c r="C5" s="579"/>
      <c r="D5" s="579"/>
      <c r="E5" s="579"/>
      <c r="F5" s="579"/>
      <c r="G5" s="579"/>
      <c r="H5" s="579"/>
      <c r="I5" s="579"/>
      <c r="J5" s="579"/>
      <c r="K5" s="579"/>
      <c r="L5" s="579"/>
      <c r="M5" s="579"/>
      <c r="N5" s="579"/>
      <c r="O5" s="579"/>
      <c r="P5" s="579"/>
      <c r="Q5" s="579"/>
      <c r="R5" s="579"/>
      <c r="S5" s="579"/>
      <c r="T5" s="579"/>
      <c r="U5" s="579"/>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0</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0</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3" type="noConversion"/>
  <conditionalFormatting sqref="C47:D53">
    <cfRule type="expression" dxfId="205"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29" activePane="bottomLeft" state="frozen"/>
      <selection activeCell="K31" sqref="K31"/>
      <selection pane="bottomLeft" activeCell="K31" sqref="K31"/>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7" t="str">
        <f>Zaglavlje_Naziv_preduzeca</f>
        <v xml:space="preserve">Naziv privrednog društva, zadruge, drugog pravnog lica ili preduzetnika: </v>
      </c>
      <c r="E5" s="637"/>
      <c r="F5" s="637"/>
      <c r="O5" s="15" t="s">
        <v>786</v>
      </c>
      <c r="P5" s="661" t="str">
        <f>Podatak_MB</f>
        <v>1074440</v>
      </c>
      <c r="Q5" s="661"/>
    </row>
    <row r="6" spans="3:17" x14ac:dyDescent="0.2">
      <c r="D6" s="637"/>
      <c r="E6" s="637"/>
      <c r="F6" s="637"/>
      <c r="Q6" s="243" t="str">
        <f>Zaglavlje_MB</f>
        <v>Matični broj</v>
      </c>
    </row>
    <row r="7" spans="3:17" ht="15.2" customHeight="1" x14ac:dyDescent="0.2">
      <c r="D7" s="657" t="str">
        <f>Podatak_Naziv_preduzeca</f>
        <v>ODS Elektrokrajina a.d. Banja Luka</v>
      </c>
      <c r="E7" s="657"/>
      <c r="F7" s="657"/>
      <c r="P7" s="661" t="str">
        <f>Podatak_Sifra_djelatnosti</f>
        <v>35.13</v>
      </c>
      <c r="Q7" s="661"/>
    </row>
    <row r="8" spans="3:17" x14ac:dyDescent="0.2">
      <c r="D8" s="125" t="str">
        <f>Zaglavlje_Sjediste</f>
        <v>Sjedište:</v>
      </c>
      <c r="E8" s="614" t="str">
        <f>Podatak_Sjediste</f>
        <v>Kralja Petra I Karađorđevića 95 Banja Luka</v>
      </c>
      <c r="F8" s="614"/>
      <c r="Q8" s="243" t="str">
        <f>Zaglavlje_Sifra_djelatnosti</f>
        <v>Šifra djelatnosti</v>
      </c>
    </row>
    <row r="9" spans="3:17" x14ac:dyDescent="0.2">
      <c r="D9" s="656" t="str">
        <f>Zaglavlje_Ziro_racun</f>
        <v>Račun kod ovlašćene organizacije za platni promet:</v>
      </c>
      <c r="E9" s="656"/>
      <c r="F9" s="656"/>
      <c r="H9" s="14"/>
      <c r="Q9" s="392" t="str">
        <f>Podatak_JIB</f>
        <v>4400855640000</v>
      </c>
    </row>
    <row r="10" spans="3:17" x14ac:dyDescent="0.2">
      <c r="D10" s="660" t="str">
        <f>Podatak_Ziro_racun_1</f>
        <v>555-007-00046178-45</v>
      </c>
      <c r="E10" s="660"/>
      <c r="F10" s="660"/>
      <c r="Q10" s="243" t="str">
        <f>Zaglavlje_JIB</f>
        <v>JIB</v>
      </c>
    </row>
    <row r="11" spans="3:17" x14ac:dyDescent="0.2">
      <c r="C11" s="257"/>
      <c r="D11" s="660" t="str">
        <f>Podatak_Ziro_racun_2</f>
        <v>571-010-00000582-64</v>
      </c>
      <c r="E11" s="660"/>
      <c r="F11" s="660"/>
      <c r="H11" s="14"/>
    </row>
    <row r="12" spans="3:17" x14ac:dyDescent="0.2">
      <c r="C12" s="257"/>
      <c r="D12" s="722" t="str">
        <f>Podatak_Ziro_racun_3</f>
        <v>562-099-00001349-36</v>
      </c>
      <c r="E12" s="722"/>
      <c r="F12" s="722"/>
    </row>
    <row r="13" spans="3:17" x14ac:dyDescent="0.2">
      <c r="C13" s="257"/>
      <c r="D13" s="722" t="str">
        <f>Podatak_Ziro_racun_4</f>
        <v>552-000-20644796-78</v>
      </c>
      <c r="E13" s="722"/>
      <c r="F13" s="722"/>
      <c r="H13" s="18"/>
      <c r="I13" s="18"/>
      <c r="J13" s="18"/>
      <c r="K13" s="19"/>
      <c r="L13" s="19"/>
      <c r="M13" s="19"/>
      <c r="N13" s="19"/>
      <c r="O13" s="18"/>
      <c r="P13"/>
      <c r="Q13"/>
    </row>
    <row r="14" spans="3:17" ht="15.75" x14ac:dyDescent="0.2">
      <c r="C14" s="257"/>
      <c r="D14" s="615" t="str">
        <f>IF( Id_Konsolidovani, Nazivi_bilansa_Konsolidovani_naziv &amp; LOWER( Nazivi_bilansa_BPK), Nazivi_bilansa_BPK)</f>
        <v>IZVJEŠTAJ O PROMJENAMA NA KAPITALU</v>
      </c>
      <c r="E14" s="615"/>
      <c r="F14" s="615"/>
      <c r="G14" s="615"/>
      <c r="H14" s="615"/>
      <c r="I14" s="615"/>
      <c r="J14" s="615"/>
      <c r="K14" s="615"/>
      <c r="L14" s="615"/>
      <c r="M14" s="615"/>
      <c r="N14" s="615"/>
      <c r="O14" s="615"/>
      <c r="P14" s="615"/>
      <c r="Q14" s="615"/>
    </row>
    <row r="15" spans="3:17" x14ac:dyDescent="0.2">
      <c r="C15" s="257"/>
      <c r="D15" s="653" t="str">
        <f>Datumi_Datum_BPK</f>
        <v>za period koji se završava na dan 30.09.2025. godine</v>
      </c>
      <c r="E15" s="653"/>
      <c r="F15" s="653"/>
      <c r="G15" s="653"/>
      <c r="H15" s="653"/>
      <c r="I15" s="653"/>
      <c r="J15" s="653"/>
      <c r="K15" s="653"/>
      <c r="L15" s="653"/>
      <c r="M15" s="653"/>
      <c r="N15" s="653"/>
      <c r="O15" s="653"/>
      <c r="P15" s="653"/>
      <c r="Q15" s="653"/>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7" t="str">
        <f>Tabele_zaglavlje_BPK1</f>
        <v>VRSTA PROMJENE NA KAPITALU</v>
      </c>
      <c r="E17" s="798"/>
      <c r="F17" s="799"/>
      <c r="G17" s="789" t="str">
        <f>Tabele_zaglavlje_Oznaka_aop</f>
        <v>Oznaka za AOP</v>
      </c>
      <c r="H17" s="790" t="str">
        <f>Tabele_zaglavlje_BPK0</f>
        <v>KAPITAL KOJI PRIPADA VLASNICIMA MATIČNOG DRUŠTVA</v>
      </c>
      <c r="I17" s="791"/>
      <c r="J17" s="791"/>
      <c r="K17" s="791"/>
      <c r="L17" s="791"/>
      <c r="M17" s="791"/>
      <c r="N17" s="791"/>
      <c r="O17" s="792"/>
      <c r="P17" s="793" t="str">
        <f>Tabele_zaglavlje_BPK11</f>
        <v>UDJELI KOJI NEMAJU KONTROLU (MANJINSKI INTERESI)</v>
      </c>
      <c r="Q17" s="795" t="str" cm="1">
        <f t="array" ref="Q17">Tabele_zaglavlje_BPK12</f>
        <v>UKUPNI KAPITAL
(10+11)</v>
      </c>
    </row>
    <row r="18" spans="2:19" ht="106.5" customHeight="1" x14ac:dyDescent="0.2">
      <c r="C18" s="257"/>
      <c r="D18" s="800"/>
      <c r="E18" s="801"/>
      <c r="F18" s="675"/>
      <c r="G18" s="655"/>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4"/>
      <c r="Q18" s="796"/>
      <c r="S18" s="134" t="s">
        <v>490</v>
      </c>
    </row>
    <row r="19" spans="2:19" x14ac:dyDescent="0.2">
      <c r="B19" s="44" t="s">
        <v>123</v>
      </c>
      <c r="C19" s="257"/>
      <c r="D19" s="786">
        <v>1</v>
      </c>
      <c r="E19" s="787"/>
      <c r="F19" s="788"/>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5" t="str">
        <f>VLOOKUP($B20,Aop!$A$2:$M$453,6,1)</f>
        <v/>
      </c>
      <c r="E20" s="776"/>
      <c r="F20" s="777"/>
      <c r="G20" s="185">
        <f>VLOOKUP($B20,Aop!$A$2:$M$453,4,1)</f>
        <v>0</v>
      </c>
      <c r="H20" s="64"/>
      <c r="I20" s="64"/>
      <c r="J20" s="64"/>
      <c r="K20" s="64"/>
      <c r="L20" s="64"/>
      <c r="M20" s="64"/>
      <c r="N20" s="64"/>
      <c r="O20" s="64"/>
      <c r="P20" s="64"/>
      <c r="Q20" s="467"/>
    </row>
    <row r="21" spans="2:19" ht="12.75" customHeight="1" x14ac:dyDescent="0.2">
      <c r="B21" s="47">
        <v>420</v>
      </c>
      <c r="C21" s="257"/>
      <c r="D21" s="780" t="str">
        <f>VLOOKUP($B21,Aop!$A$2:$M$453,6,1)</f>
        <v>1. Stanje na dan 01.01.2024. god.</v>
      </c>
      <c r="E21" s="781"/>
      <c r="F21" s="782"/>
      <c r="G21" s="178">
        <f>VLOOKUP($B21,Aop!$A$2:$M$453,4,1)</f>
        <v>901</v>
      </c>
      <c r="H21" s="81"/>
      <c r="I21" s="81"/>
      <c r="J21" s="81"/>
      <c r="K21" s="81"/>
      <c r="L21" s="81"/>
      <c r="M21" s="81"/>
      <c r="N21" s="81"/>
      <c r="O21" s="60">
        <f t="shared" ref="O21:O51" si="0">SUM(H21:N21)</f>
        <v>0</v>
      </c>
      <c r="P21" s="81"/>
      <c r="Q21" s="468">
        <f t="shared" ref="Q21:Q51" si="1">SUM(O21:P21)</f>
        <v>0</v>
      </c>
    </row>
    <row r="22" spans="2:19" ht="7.5" customHeight="1" x14ac:dyDescent="0.2">
      <c r="B22" s="47">
        <v>421</v>
      </c>
      <c r="C22" s="257"/>
      <c r="D22" s="772" t="str">
        <f>VLOOKUP($B22,Aop!$A$2:$M$453,6,1)</f>
        <v/>
      </c>
      <c r="E22" s="773"/>
      <c r="F22" s="774"/>
      <c r="G22" s="75">
        <f>VLOOKUP($B22,Aop!$A$2:$M$453,4,1)</f>
        <v>0</v>
      </c>
      <c r="H22" s="64"/>
      <c r="I22" s="64"/>
      <c r="J22" s="64"/>
      <c r="K22" s="64"/>
      <c r="L22" s="64"/>
      <c r="M22" s="64"/>
      <c r="N22" s="64"/>
      <c r="O22" s="64"/>
      <c r="P22" s="64"/>
      <c r="Q22" s="467"/>
    </row>
    <row r="23" spans="2:19" ht="15.2" customHeight="1" x14ac:dyDescent="0.2">
      <c r="B23" s="47">
        <v>422</v>
      </c>
      <c r="C23" s="257"/>
      <c r="D23" s="783" t="str">
        <f>VLOOKUP($B23,Aop!$A$2:$M$453,6,1)</f>
        <v xml:space="preserve">    2. Efekti promjena u računovodstvenim politikama </v>
      </c>
      <c r="E23" s="784"/>
      <c r="F23" s="785"/>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2" t="str">
        <f>VLOOKUP($B24,Aop!$A$2:$M$453,6,1)</f>
        <v xml:space="preserve">    3. Efekti ispravki grešaka</v>
      </c>
      <c r="E24" s="773"/>
      <c r="F24" s="774"/>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80" t="str">
        <f>VLOOKUP($B25,Aop!$A$2:$M$453,6,1)</f>
        <v xml:space="preserve">  4. Ponovo iskazano stanje na dan 01.01.2024. god. (901 ± 902 ± 903)</v>
      </c>
      <c r="E25" s="781"/>
      <c r="F25" s="782"/>
      <c r="G25" s="178">
        <f>VLOOKUP($B25,Aop!$A$2:$M$453,4,1)</f>
        <v>904</v>
      </c>
      <c r="H25" s="60">
        <f>SUM(H21:H24)</f>
        <v>0</v>
      </c>
      <c r="I25" s="60">
        <f t="shared" ref="I25:P25" si="2">SUM(I21:I24)</f>
        <v>0</v>
      </c>
      <c r="J25" s="60">
        <f t="shared" si="2"/>
        <v>0</v>
      </c>
      <c r="K25" s="60">
        <f t="shared" si="2"/>
        <v>0</v>
      </c>
      <c r="L25" s="60">
        <f t="shared" si="2"/>
        <v>0</v>
      </c>
      <c r="M25" s="60">
        <f t="shared" si="2"/>
        <v>0</v>
      </c>
      <c r="N25" s="60">
        <f t="shared" si="2"/>
        <v>0</v>
      </c>
      <c r="O25" s="60">
        <f>SUM(H25:N25)</f>
        <v>0</v>
      </c>
      <c r="P25" s="60">
        <f t="shared" si="2"/>
        <v>0</v>
      </c>
      <c r="Q25" s="468">
        <f t="shared" si="1"/>
        <v>0</v>
      </c>
      <c r="S25" s="133" t="s">
        <v>313</v>
      </c>
    </row>
    <row r="26" spans="2:19" ht="8.25" customHeight="1" x14ac:dyDescent="0.2">
      <c r="B26" s="47">
        <v>425</v>
      </c>
      <c r="C26" s="257"/>
      <c r="D26" s="772" t="str">
        <f>VLOOKUP($B26,Aop!$A$2:$M$453,6,1)</f>
        <v/>
      </c>
      <c r="E26" s="773"/>
      <c r="F26" s="774"/>
      <c r="G26" s="75">
        <f>VLOOKUP($B26,Aop!$A$2:$M$453,4,1)</f>
        <v>0</v>
      </c>
      <c r="H26" s="64"/>
      <c r="I26" s="64"/>
      <c r="J26" s="64"/>
      <c r="K26" s="64"/>
      <c r="L26" s="64"/>
      <c r="M26" s="64"/>
      <c r="N26" s="64"/>
      <c r="O26" s="64"/>
      <c r="P26" s="64"/>
      <c r="Q26" s="467"/>
      <c r="S26" s="133" t="s">
        <v>313</v>
      </c>
    </row>
    <row r="27" spans="2:19" ht="15.2" customHeight="1" x14ac:dyDescent="0.2">
      <c r="B27" s="47">
        <v>426</v>
      </c>
      <c r="C27" s="257"/>
      <c r="D27" s="783" t="str">
        <f>VLOOKUP($B27,Aop!$A$2:$M$453,6,1)</f>
        <v xml:space="preserve">    5. Dobit/(gubitak) za godinu</v>
      </c>
      <c r="E27" s="784"/>
      <c r="F27" s="785"/>
      <c r="G27" s="59">
        <f>VLOOKUP($B27,Aop!$A$2:$M$453,4,1)</f>
        <v>905</v>
      </c>
      <c r="H27" s="155"/>
      <c r="I27" s="155"/>
      <c r="J27" s="155"/>
      <c r="K27" s="155"/>
      <c r="L27" s="155"/>
      <c r="M27" s="155"/>
      <c r="N27" s="155"/>
      <c r="O27" s="153">
        <f t="shared" si="0"/>
        <v>0</v>
      </c>
      <c r="P27" s="155"/>
      <c r="Q27" s="470">
        <f t="shared" si="1"/>
        <v>0</v>
      </c>
    </row>
    <row r="28" spans="2:19" ht="15.2" customHeight="1" x14ac:dyDescent="0.2">
      <c r="B28" s="47">
        <v>427</v>
      </c>
      <c r="C28" s="257"/>
      <c r="D28" s="772" t="str">
        <f>VLOOKUP($B28,Aop!$A$2:$M$453,6,1)</f>
        <v xml:space="preserve">    6. Ostali ukupni rezultat za godinu</v>
      </c>
      <c r="E28" s="773"/>
      <c r="F28" s="774"/>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80" t="str">
        <f>VLOOKUP($B29,Aop!$A$2:$M$453,6,1)</f>
        <v xml:space="preserve">  7. Ukupna dobit/(gubitak) (± 905 ± 906)</v>
      </c>
      <c r="E29" s="781"/>
      <c r="F29" s="782"/>
      <c r="G29" s="178">
        <f>VLOOKUP($B29,Aop!$A$2:$M$453,4,1)</f>
        <v>907</v>
      </c>
      <c r="H29" s="60">
        <f>SUM(H27:H28)</f>
        <v>0</v>
      </c>
      <c r="I29" s="60">
        <f t="shared" ref="I29:Q29" si="3">SUM(I27:I28)</f>
        <v>0</v>
      </c>
      <c r="J29" s="60">
        <f t="shared" si="3"/>
        <v>0</v>
      </c>
      <c r="K29" s="60">
        <f t="shared" si="3"/>
        <v>0</v>
      </c>
      <c r="L29" s="60">
        <f t="shared" si="3"/>
        <v>0</v>
      </c>
      <c r="M29" s="60">
        <f t="shared" si="3"/>
        <v>0</v>
      </c>
      <c r="N29" s="60">
        <f t="shared" si="3"/>
        <v>0</v>
      </c>
      <c r="O29" s="60">
        <f t="shared" si="3"/>
        <v>0</v>
      </c>
      <c r="P29" s="60">
        <f t="shared" si="3"/>
        <v>0</v>
      </c>
      <c r="Q29" s="468">
        <f t="shared" si="3"/>
        <v>0</v>
      </c>
    </row>
    <row r="30" spans="2:19" ht="6.75" customHeight="1" x14ac:dyDescent="0.2">
      <c r="B30" s="47">
        <v>429</v>
      </c>
      <c r="C30" s="257"/>
      <c r="D30" s="772" t="str">
        <f>VLOOKUP($B30,Aop!$A$2:$M$453,6,1)</f>
        <v/>
      </c>
      <c r="E30" s="773"/>
      <c r="F30" s="774"/>
      <c r="G30" s="75">
        <f>VLOOKUP($B30,Aop!$A$2:$M$453,4,1)</f>
        <v>0</v>
      </c>
      <c r="H30" s="64"/>
      <c r="I30" s="64"/>
      <c r="J30" s="64"/>
      <c r="K30" s="64"/>
      <c r="L30" s="64"/>
      <c r="M30" s="64"/>
      <c r="N30" s="64"/>
      <c r="O30" s="64"/>
      <c r="P30" s="64"/>
      <c r="Q30" s="467"/>
    </row>
    <row r="31" spans="2:19" ht="15.2" customHeight="1" x14ac:dyDescent="0.2">
      <c r="B31" s="47">
        <v>430</v>
      </c>
      <c r="C31" s="257"/>
      <c r="D31" s="783" t="str">
        <f>VLOOKUP($B31,Aop!$A$2:$M$453,6,1)</f>
        <v xml:space="preserve">    8. Emisija akcijskog kapitala i drugi oblici povećanja kapitala</v>
      </c>
      <c r="E31" s="784"/>
      <c r="F31" s="785"/>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2" t="str">
        <f>VLOOKUP($B32,Aop!$A$2:$M$453,6,1)</f>
        <v xml:space="preserve">    9. Sticanje sopstvenih akcija i drugi oblici smanjenja kapitala</v>
      </c>
      <c r="E32" s="773"/>
      <c r="F32" s="774"/>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3" t="str">
        <f>VLOOKUP($B33,Aop!$A$2:$M$453,6,1)</f>
        <v xml:space="preserve">    10. Objavljene dividende </v>
      </c>
      <c r="E33" s="784"/>
      <c r="F33" s="785"/>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72" t="str">
        <f>VLOOKUP($B34,Aop!$A$2:$M$453,6,1)</f>
        <v xml:space="preserve">    11. Drugi oblici raspodjele dobiti i pokriće gubitka</v>
      </c>
      <c r="E34" s="773"/>
      <c r="F34" s="774"/>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3" t="str">
        <f>VLOOKUP($B35,Aop!$A$2:$M$453,6,1)</f>
        <v xml:space="preserve">    12. Ostale promjene</v>
      </c>
      <c r="E35" s="784"/>
      <c r="F35" s="785"/>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2" t="str">
        <f>VLOOKUP($B36,Aop!$A$2:$M$453,6,1)</f>
        <v/>
      </c>
      <c r="E36" s="773"/>
      <c r="F36" s="774"/>
      <c r="G36" s="75">
        <f>VLOOKUP($B36,Aop!$A$2:$M$453,4,1)</f>
        <v>0</v>
      </c>
      <c r="H36" s="64"/>
      <c r="I36" s="64"/>
      <c r="J36" s="64"/>
      <c r="K36" s="64"/>
      <c r="L36" s="64"/>
      <c r="M36" s="64"/>
      <c r="N36" s="64"/>
      <c r="O36" s="64"/>
      <c r="P36" s="64"/>
      <c r="Q36" s="467"/>
      <c r="S36" s="133" t="s">
        <v>313</v>
      </c>
    </row>
    <row r="37" spans="2:19" ht="25.5" x14ac:dyDescent="0.2">
      <c r="B37" s="47">
        <v>436</v>
      </c>
      <c r="C37" s="257"/>
      <c r="D37" s="780" t="str">
        <f>VLOOKUP($B37,Aop!$A$2:$M$453,6,1)</f>
        <v xml:space="preserve">  13. Stanje na dan 31.12.2024. god. / 01.01.2025. god. 
   (904 ± 907 ± 908 - 909 - 910 ± 911 ± 912)</v>
      </c>
      <c r="E37" s="781"/>
      <c r="F37" s="782"/>
      <c r="G37" s="178">
        <f>VLOOKUP($B37,Aop!$A$2:$M$453,4,1)</f>
        <v>913</v>
      </c>
      <c r="H37" s="60">
        <f>SUM(H25, H29, -H32, -H33, H31, H34:H35)</f>
        <v>0</v>
      </c>
      <c r="I37" s="60">
        <f t="shared" ref="I37:Q37" si="4">SUM(I25, I29, -I32, -I33, I31, I34:I35)</f>
        <v>0</v>
      </c>
      <c r="J37" s="60">
        <f t="shared" si="4"/>
        <v>0</v>
      </c>
      <c r="K37" s="60">
        <f t="shared" si="4"/>
        <v>0</v>
      </c>
      <c r="L37" s="60">
        <f t="shared" si="4"/>
        <v>0</v>
      </c>
      <c r="M37" s="60">
        <f t="shared" si="4"/>
        <v>0</v>
      </c>
      <c r="N37" s="60">
        <f t="shared" si="4"/>
        <v>0</v>
      </c>
      <c r="O37" s="60">
        <f t="shared" si="4"/>
        <v>0</v>
      </c>
      <c r="P37" s="60">
        <f t="shared" si="4"/>
        <v>0</v>
      </c>
      <c r="Q37" s="468">
        <f t="shared" si="4"/>
        <v>0</v>
      </c>
      <c r="S37" s="133" t="s">
        <v>313</v>
      </c>
    </row>
    <row r="38" spans="2:19" ht="9" customHeight="1" x14ac:dyDescent="0.2">
      <c r="B38" s="47">
        <v>437</v>
      </c>
      <c r="C38" s="257"/>
      <c r="D38" s="772" t="str">
        <f>VLOOKUP($B38,Aop!$A$2:$M$453,6,1)</f>
        <v/>
      </c>
      <c r="E38" s="773"/>
      <c r="F38" s="774"/>
      <c r="G38" s="75">
        <f>VLOOKUP($B38,Aop!$A$2:$M$453,4,1)</f>
        <v>0</v>
      </c>
      <c r="H38" s="64"/>
      <c r="I38" s="64"/>
      <c r="J38" s="64"/>
      <c r="K38" s="64"/>
      <c r="L38" s="64"/>
      <c r="M38" s="64"/>
      <c r="N38" s="64"/>
      <c r="O38" s="64"/>
      <c r="P38" s="64"/>
      <c r="Q38" s="467"/>
    </row>
    <row r="39" spans="2:19" ht="15.75" customHeight="1" x14ac:dyDescent="0.2">
      <c r="B39" s="47">
        <v>438</v>
      </c>
      <c r="C39" s="257"/>
      <c r="D39" s="783" t="str">
        <f>VLOOKUP($B39,Aop!$A$2:$M$453,6,1)</f>
        <v xml:space="preserve">    14. Efekti promjena u računovodstvenim politikama</v>
      </c>
      <c r="E39" s="784"/>
      <c r="F39" s="785"/>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2" t="str">
        <f>VLOOKUP($B40,Aop!$A$2:$M$453,6,1)</f>
        <v xml:space="preserve">    15. Efekti ispravki grešaka</v>
      </c>
      <c r="E40" s="773"/>
      <c r="F40" s="774"/>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80" t="str">
        <f>VLOOKUP($B41,Aop!$A$2:$M$453,6,1)</f>
        <v xml:space="preserve">  16. Ponovo iskazano stanje na dan 01.01.2025. godine (913 ± 914 ± 915)</v>
      </c>
      <c r="E41" s="781"/>
      <c r="F41" s="782"/>
      <c r="G41" s="178">
        <f>VLOOKUP($B41,Aop!$A$2:$M$453,4,1)</f>
        <v>916</v>
      </c>
      <c r="H41" s="60">
        <f>SUM(H37:H40)</f>
        <v>0</v>
      </c>
      <c r="I41" s="60">
        <f t="shared" ref="I41:Q41" si="5">SUM(I37:I40)</f>
        <v>0</v>
      </c>
      <c r="J41" s="60">
        <f t="shared" si="5"/>
        <v>0</v>
      </c>
      <c r="K41" s="60">
        <f t="shared" si="5"/>
        <v>0</v>
      </c>
      <c r="L41" s="60">
        <f t="shared" si="5"/>
        <v>0</v>
      </c>
      <c r="M41" s="60">
        <f t="shared" si="5"/>
        <v>0</v>
      </c>
      <c r="N41" s="60">
        <f t="shared" si="5"/>
        <v>0</v>
      </c>
      <c r="O41" s="60">
        <f t="shared" si="5"/>
        <v>0</v>
      </c>
      <c r="P41" s="60">
        <f t="shared" si="5"/>
        <v>0</v>
      </c>
      <c r="Q41" s="468">
        <f t="shared" si="5"/>
        <v>0</v>
      </c>
    </row>
    <row r="42" spans="2:19" ht="6.75" customHeight="1" x14ac:dyDescent="0.2">
      <c r="B42" s="47">
        <v>441</v>
      </c>
      <c r="C42" s="257"/>
      <c r="D42" s="772" t="str">
        <f>VLOOKUP($B42,Aop!$A$2:$M$453,6,1)</f>
        <v/>
      </c>
      <c r="E42" s="773"/>
      <c r="F42" s="774"/>
      <c r="G42" s="75">
        <f>VLOOKUP($B42,Aop!$A$2:$M$453,4,1)</f>
        <v>0</v>
      </c>
      <c r="H42" s="64"/>
      <c r="I42" s="64"/>
      <c r="J42" s="64"/>
      <c r="K42" s="64"/>
      <c r="L42" s="64"/>
      <c r="M42" s="64"/>
      <c r="N42" s="64"/>
      <c r="O42" s="64"/>
      <c r="P42" s="64"/>
      <c r="Q42" s="467"/>
    </row>
    <row r="43" spans="2:19" ht="15.2" customHeight="1" x14ac:dyDescent="0.2">
      <c r="B43" s="47">
        <v>442</v>
      </c>
      <c r="C43" s="257"/>
      <c r="D43" s="783" t="str">
        <f>VLOOKUP($B43,Aop!$A$2:$M$453,6,1)</f>
        <v xml:space="preserve">    17. Dobit/(gubitak) za godinu</v>
      </c>
      <c r="E43" s="784"/>
      <c r="F43" s="785"/>
      <c r="G43" s="59">
        <f>VLOOKUP($B43,Aop!$A$2:$M$453,4,1)</f>
        <v>917</v>
      </c>
      <c r="H43" s="155"/>
      <c r="I43" s="155"/>
      <c r="J43" s="155"/>
      <c r="K43" s="155"/>
      <c r="L43" s="155"/>
      <c r="M43" s="155"/>
      <c r="N43" s="155"/>
      <c r="O43" s="153">
        <f t="shared" si="0"/>
        <v>0</v>
      </c>
      <c r="P43" s="155"/>
      <c r="Q43" s="470">
        <f t="shared" si="1"/>
        <v>0</v>
      </c>
    </row>
    <row r="44" spans="2:19" ht="15.2" customHeight="1" x14ac:dyDescent="0.2">
      <c r="B44" s="47">
        <v>443</v>
      </c>
      <c r="C44" s="257"/>
      <c r="D44" s="772" t="str">
        <f>VLOOKUP($B44,Aop!$A$2:$M$453,6,1)</f>
        <v xml:space="preserve">    18. Ostali ukupni rezultat za godinu</v>
      </c>
      <c r="E44" s="773"/>
      <c r="F44" s="774"/>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80" t="str">
        <f>VLOOKUP($B45,Aop!$A$2:$M$453,6,1)</f>
        <v xml:space="preserve">  19. Ukupna dobit/(gubitak) (± 917 ± 918)</v>
      </c>
      <c r="E45" s="781"/>
      <c r="F45" s="782"/>
      <c r="G45" s="178">
        <f>VLOOKUP($B45,Aop!$A$2:$M$453,4,1)</f>
        <v>919</v>
      </c>
      <c r="H45" s="60">
        <f>SUM(H43:H44)</f>
        <v>0</v>
      </c>
      <c r="I45" s="60">
        <f t="shared" ref="I45:Q45" si="6">SUM(I43:I44)</f>
        <v>0</v>
      </c>
      <c r="J45" s="60">
        <f t="shared" si="6"/>
        <v>0</v>
      </c>
      <c r="K45" s="60">
        <f>SUM(K43:K44)</f>
        <v>0</v>
      </c>
      <c r="L45" s="60">
        <f t="shared" si="6"/>
        <v>0</v>
      </c>
      <c r="M45" s="60">
        <f t="shared" si="6"/>
        <v>0</v>
      </c>
      <c r="N45" s="60">
        <f t="shared" si="6"/>
        <v>0</v>
      </c>
      <c r="O45" s="60">
        <f t="shared" si="6"/>
        <v>0</v>
      </c>
      <c r="P45" s="60">
        <f t="shared" si="6"/>
        <v>0</v>
      </c>
      <c r="Q45" s="468">
        <f t="shared" si="6"/>
        <v>0</v>
      </c>
    </row>
    <row r="46" spans="2:19" ht="4.9000000000000004" customHeight="1" x14ac:dyDescent="0.2">
      <c r="B46" s="47">
        <v>445</v>
      </c>
      <c r="C46" s="257"/>
      <c r="D46" s="772" t="str">
        <f>VLOOKUP($B46,Aop!$A$2:$M$453,6,1)</f>
        <v/>
      </c>
      <c r="E46" s="773"/>
      <c r="F46" s="774"/>
      <c r="G46" s="75">
        <f>VLOOKUP($B46,Aop!$A$2:$M$453,4,1)</f>
        <v>0</v>
      </c>
      <c r="H46" s="64"/>
      <c r="I46" s="64"/>
      <c r="J46" s="64"/>
      <c r="K46" s="64"/>
      <c r="L46" s="64"/>
      <c r="M46" s="64"/>
      <c r="N46" s="64"/>
      <c r="O46" s="64"/>
      <c r="P46" s="64"/>
      <c r="Q46" s="467"/>
    </row>
    <row r="47" spans="2:19" ht="15.75" customHeight="1" x14ac:dyDescent="0.2">
      <c r="B47" s="47">
        <v>446</v>
      </c>
      <c r="C47" s="257"/>
      <c r="D47" s="783" t="str">
        <f>VLOOKUP($B47,Aop!$A$2:$M$453,6,1)</f>
        <v xml:space="preserve">    20. Emisija akcijskog kapitala i drugi oblici povećanja kapitala</v>
      </c>
      <c r="E47" s="784"/>
      <c r="F47" s="785"/>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2" t="str">
        <f>VLOOKUP($B48,Aop!$A$2:$M$453,6,1)</f>
        <v xml:space="preserve">    21. Sticanje sopstvenih akcija i drugi oblici smanjenja kapitala</v>
      </c>
      <c r="E48" s="773"/>
      <c r="F48" s="774"/>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3" t="str">
        <f>VLOOKUP($B49,Aop!$A$2:$M$453,6,1)</f>
        <v xml:space="preserve">    22. Objavljene dividende </v>
      </c>
      <c r="E49" s="784"/>
      <c r="F49" s="785"/>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2" t="str">
        <f>VLOOKUP($B50,Aop!$A$2:$M$453,6,1)</f>
        <v xml:space="preserve">    23. Drugi oblici raspodjele dobiti i pokriće gubitka</v>
      </c>
      <c r="E50" s="773"/>
      <c r="F50" s="774"/>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3" t="str">
        <f>VLOOKUP($B51,Aop!$A$2:$M$453,6,1)</f>
        <v xml:space="preserve">    24. Ostale promjene</v>
      </c>
      <c r="E51" s="784"/>
      <c r="F51" s="785"/>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2" t="str">
        <f>VLOOKUP($B52,Aop!$A$2:$M$453,6,1)</f>
        <v/>
      </c>
      <c r="E52" s="773"/>
      <c r="F52" s="774"/>
      <c r="G52" s="75">
        <f>VLOOKUP($B52,Aop!$A$2:$M$453,4,1)</f>
        <v>0</v>
      </c>
      <c r="H52" s="64"/>
      <c r="I52" s="64"/>
      <c r="J52" s="64"/>
      <c r="K52" s="64"/>
      <c r="L52" s="64"/>
      <c r="M52" s="64"/>
      <c r="N52" s="64"/>
      <c r="O52" s="64"/>
      <c r="P52" s="64"/>
      <c r="Q52" s="467"/>
    </row>
    <row r="53" spans="2:17" ht="22.9" customHeight="1" x14ac:dyDescent="0.2">
      <c r="B53" s="47">
        <v>452</v>
      </c>
      <c r="C53" s="257"/>
      <c r="D53" s="769" t="str">
        <f>VLOOKUP($B53,Aop!$A$2:$M$453,6,1)</f>
        <v>25. Stanje na dan 30.09.2025. godine (916 ± 919 ± 920  - 921 - 922± 923 ± 924)</v>
      </c>
      <c r="E53" s="770"/>
      <c r="F53" s="771"/>
      <c r="G53" s="505">
        <f>VLOOKUP($B53,Aop!$A$2:$M$453,4,1)</f>
        <v>925</v>
      </c>
      <c r="H53" s="471">
        <f>SUM(H41, H45,H47,-H48,-H49,H50:H51)</f>
        <v>0</v>
      </c>
      <c r="I53" s="471">
        <f t="shared" ref="I53:Q53" si="7">SUM(I41, I45,I47,-I48,-I49,I50:I51)</f>
        <v>0</v>
      </c>
      <c r="J53" s="471">
        <f t="shared" si="7"/>
        <v>0</v>
      </c>
      <c r="K53" s="471">
        <f t="shared" si="7"/>
        <v>0</v>
      </c>
      <c r="L53" s="471">
        <f t="shared" si="7"/>
        <v>0</v>
      </c>
      <c r="M53" s="471">
        <f t="shared" si="7"/>
        <v>0</v>
      </c>
      <c r="N53" s="471">
        <f t="shared" si="7"/>
        <v>0</v>
      </c>
      <c r="O53" s="415">
        <f>SUM(O41, O45,O47,-O48,-O49,O50:O51)</f>
        <v>0</v>
      </c>
      <c r="P53" s="471">
        <f t="shared" si="7"/>
        <v>0</v>
      </c>
      <c r="Q53" s="472">
        <f t="shared" si="7"/>
        <v>0</v>
      </c>
    </row>
    <row r="54" spans="2:17" x14ac:dyDescent="0.2">
      <c r="C54" s="257"/>
      <c r="D54" s="40"/>
      <c r="E54" s="40"/>
      <c r="F54" s="40"/>
      <c r="G54" s="40"/>
      <c r="H54" s="40"/>
      <c r="I54" s="233"/>
      <c r="J54" s="37"/>
      <c r="K54" s="37"/>
      <c r="L54" s="37"/>
      <c r="M54" s="37"/>
    </row>
    <row r="55" spans="2:17" x14ac:dyDescent="0.2">
      <c r="D55" s="180" t="str">
        <f>Podnozje_U</f>
        <v>U:</v>
      </c>
      <c r="E55" s="419" t="str">
        <f>Podatak_U</f>
        <v>Banja Luci</v>
      </c>
      <c r="H55" s="750" t="str">
        <f>Podnozje_Lice_sa_licencom</f>
        <v>Lice sa licencom:</v>
      </c>
      <c r="I55" s="750"/>
      <c r="K55" s="8" t="str">
        <f>Podnozje_Broj_licence</f>
        <v>Broj licence:</v>
      </c>
      <c r="L55" s="37"/>
      <c r="M55" s="37" t="str">
        <f>Podnozje_MP</f>
        <v>(M.P.)</v>
      </c>
      <c r="O55" s="750" t="str">
        <f>Podnozje_Direktor</f>
        <v>Lice ovlašćeno za zastupanje:</v>
      </c>
      <c r="P55" s="750"/>
    </row>
    <row r="56" spans="2:17" x14ac:dyDescent="0.2">
      <c r="C56" s="28"/>
      <c r="G56"/>
      <c r="H56" s="779" t="str">
        <f>Podatak_Lice_sa_licencom</f>
        <v>Nikola Pilipović</v>
      </c>
      <c r="I56" s="779"/>
      <c r="O56" s="751" t="str">
        <f>Podatak_Direktor</f>
        <v>V.D. Direktor, Saša Popović, dipl.inž.el.</v>
      </c>
      <c r="P56" s="751"/>
    </row>
    <row r="57" spans="2:17" x14ac:dyDescent="0.2">
      <c r="D57" s="180" t="str">
        <f>Podnozje_Dana</f>
        <v>Dana:</v>
      </c>
      <c r="E57" s="418" t="str">
        <f>Podatak_Dana</f>
        <v>30.10.2025.</v>
      </c>
      <c r="F57" s="38"/>
      <c r="H57" s="778"/>
      <c r="I57" s="778"/>
      <c r="J57" s="9"/>
      <c r="K57" s="9" t="str">
        <f>Podatak_Broj_Licence</f>
        <v>SR-1401/25</v>
      </c>
      <c r="L57" s="9"/>
      <c r="M57" s="9"/>
      <c r="O57" s="680"/>
      <c r="P57" s="680"/>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3"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45930</v>
      </c>
      <c r="I1">
        <f>VLOOKUP(Datum_Broj, $H$3:$L$6, 2, 0)</f>
        <v>3</v>
      </c>
      <c r="J1">
        <f>VLOOKUP(ID_Izvjestaj,$I$3:$L$6,3,1)</f>
        <v>9</v>
      </c>
      <c r="U1">
        <f>Period_Kraj_Godina</f>
        <v>2025</v>
      </c>
      <c r="V1">
        <f>Period_Kraj_Mjesec</f>
        <v>9</v>
      </c>
      <c r="W1">
        <f>Period_Kraj_Dan</f>
        <v>30</v>
      </c>
      <c r="X1" s="6" t="str">
        <f>TEXT( DATE( Godina, Period_Kraj_Mjesec, Period_Kraj_Dan), "dd.mm.yyyy.")</f>
        <v>30.09.2025.</v>
      </c>
      <c r="Y1" s="6" t="str">
        <f>TEXT( DATE( Godina, Period_Kraj_Mjesec, Period_Kraj_Dan), "dd.mm.yyyy")</f>
        <v>30.09.2025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9</v>
      </c>
      <c r="V3">
        <f>Period_Kraj_Dan</f>
        <v>30</v>
      </c>
      <c r="W3" s="114">
        <f>DATE( Godina + T3, U3, V3)</f>
        <v>45930</v>
      </c>
      <c r="X3" t="str">
        <f>TEXT(W3, "dd.mm.yyyy.")</f>
        <v>30.09.2025.</v>
      </c>
      <c r="Y3" t="str">
        <f>TEXT(W3, "dd.mm.yyyy")</f>
        <v>30.09.2025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1074440</v>
      </c>
      <c r="E2" s="105" t="str">
        <f>Podatak_JIB</f>
        <v>4400855640000</v>
      </c>
      <c r="F2" s="105" t="b">
        <f t="shared" ref="F2:F65" si="1">Konsolidovan_izvjestaj</f>
        <v>0</v>
      </c>
      <c r="G2" s="139">
        <f t="shared" ref="G2:G65" si="2">Datum_Broj</f>
        <v>45930</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1163187079</v>
      </c>
      <c r="L2" s="55">
        <f t="shared" ref="L2:L65" ca="1" si="4">IF( VLOOKUP( $H2, INDIRECT( "Lookup_" &amp; $B2), IF( LEFT( $B2, 2) = "BS", R$2, R$1), 0) = "", "", VLOOKUP( $H2, INDIRECT( "Lookup_" &amp; $B2), IF( $B2 = "BSa", R$2, R$1), 0))</f>
        <v>690458708</v>
      </c>
      <c r="M2" s="55">
        <f ca="1">IF( VLOOKUP( $H2, INDIRECT( "Lookup_" &amp; $B2), IF( LEFT( $B2, 2) = "BS", S$2, S$1), 0) = "", "", VLOOKUP( $H2, INDIRECT( "Lookup_" &amp; $B2), IF( LEFT( $B2, 2) = "BS", S$2, S$1), 0))</f>
        <v>472728371</v>
      </c>
      <c r="N2" s="55">
        <f t="shared" ref="N2:N65" ca="1" si="5">IF( VLOOKUP( $H2, INDIRECT( "Lookup_" &amp; $B2), IF( LEFT( $B2, 2) = "BS", S$2, S$1), 0) = "", "", VLOOKUP( $H2, INDIRECT( "Lookup_" &amp; $B2), IF( LEFT( $B2, 2) = "BS", S$2, S$1), 0))</f>
        <v>472728371</v>
      </c>
      <c r="P2" s="2">
        <v>2</v>
      </c>
      <c r="Q2" s="2">
        <v>3</v>
      </c>
      <c r="R2" s="2">
        <v>4</v>
      </c>
      <c r="S2" s="2">
        <v>5</v>
      </c>
      <c r="T2" s="569">
        <v>6</v>
      </c>
    </row>
    <row r="3" spans="1:20" x14ac:dyDescent="0.2">
      <c r="A3" s="105">
        <v>2</v>
      </c>
      <c r="B3" s="105" t="str">
        <f>VLOOKUP( $A3, Aop!$A$2:$P$453, 2, 0)</f>
        <v>BSa</v>
      </c>
      <c r="C3" s="105">
        <v>25</v>
      </c>
      <c r="D3" s="105" t="str">
        <f t="shared" si="0"/>
        <v>1074440</v>
      </c>
      <c r="E3" s="105" t="str">
        <f t="shared" ref="E3:E65" si="6">Podatak_JIB</f>
        <v>4400855640000</v>
      </c>
      <c r="F3" s="105" t="b">
        <f t="shared" si="1"/>
        <v>0</v>
      </c>
      <c r="G3" s="139">
        <f t="shared" si="2"/>
        <v>45930</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30359854</v>
      </c>
      <c r="L3" s="55">
        <f t="shared" ca="1" si="4"/>
        <v>18978718</v>
      </c>
      <c r="M3" s="55">
        <f ca="1">IF( VLOOKUP( $H3, INDIRECT( "Lookup_" &amp; $B3), IF( LEFT( $B3, 2) = "BS", S$2, S$1), 0) = "", "", VLOOKUP( $H3, INDIRECT( "Lookup_" &amp; $B3), IF( LEFT( $B3, 2) = "BS", S$2, S$1), 0))</f>
        <v>11381136</v>
      </c>
      <c r="N3" s="55">
        <f t="shared" ca="1" si="5"/>
        <v>11381136</v>
      </c>
    </row>
    <row r="4" spans="1:20" x14ac:dyDescent="0.2">
      <c r="A4" s="105">
        <v>3</v>
      </c>
      <c r="B4" s="105" t="str">
        <f>VLOOKUP( $A4, Aop!$A$2:$P$453, 2, 0)</f>
        <v>BSa</v>
      </c>
      <c r="C4" s="105">
        <v>25</v>
      </c>
      <c r="D4" s="105" t="str">
        <f t="shared" si="0"/>
        <v>1074440</v>
      </c>
      <c r="E4" s="105" t="str">
        <f t="shared" si="6"/>
        <v>4400855640000</v>
      </c>
      <c r="F4" s="105" t="b">
        <f t="shared" si="1"/>
        <v>0</v>
      </c>
      <c r="G4" s="139">
        <f t="shared" si="2"/>
        <v>45930</v>
      </c>
      <c r="H4" s="105">
        <v>3</v>
      </c>
      <c r="I4" s="105">
        <f t="shared" si="3"/>
        <v>2025</v>
      </c>
      <c r="J4" s="55" t="str">
        <f t="shared" ca="1" si="7"/>
        <v/>
      </c>
      <c r="K4" s="55">
        <f t="shared" ca="1" si="8"/>
        <v>1110722</v>
      </c>
      <c r="L4" s="55">
        <f t="shared" ca="1" si="4"/>
        <v>1110722</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1074440</v>
      </c>
      <c r="E5" s="105" t="str">
        <f t="shared" si="6"/>
        <v>4400855640000</v>
      </c>
      <c r="F5" s="105" t="b">
        <f t="shared" si="1"/>
        <v>0</v>
      </c>
      <c r="G5" s="139">
        <f t="shared" si="2"/>
        <v>45930</v>
      </c>
      <c r="H5" s="105">
        <v>4</v>
      </c>
      <c r="I5" s="105">
        <f t="shared" si="3"/>
        <v>2025</v>
      </c>
      <c r="J5" s="55" t="str">
        <f t="shared" ca="1" si="7"/>
        <v/>
      </c>
      <c r="K5" s="55">
        <f t="shared" ca="1" si="8"/>
        <v>26609938</v>
      </c>
      <c r="L5" s="55">
        <f t="shared" ca="1" si="4"/>
        <v>17867996</v>
      </c>
      <c r="M5" s="55">
        <f t="shared" ca="1" si="9"/>
        <v>8741942</v>
      </c>
      <c r="N5" s="55">
        <f t="shared" ca="1" si="5"/>
        <v>8741942</v>
      </c>
    </row>
    <row r="6" spans="1:20" x14ac:dyDescent="0.2">
      <c r="A6" s="105">
        <v>5</v>
      </c>
      <c r="B6" s="105" t="str">
        <f>VLOOKUP( $A6, Aop!$A$2:$P$453, 2, 0)</f>
        <v>BSa</v>
      </c>
      <c r="C6" s="105">
        <v>25</v>
      </c>
      <c r="D6" s="105" t="str">
        <f t="shared" si="0"/>
        <v>1074440</v>
      </c>
      <c r="E6" s="105" t="str">
        <f t="shared" si="6"/>
        <v>4400855640000</v>
      </c>
      <c r="F6" s="105" t="b">
        <f t="shared" si="1"/>
        <v>0</v>
      </c>
      <c r="G6" s="139">
        <f t="shared" si="2"/>
        <v>45930</v>
      </c>
      <c r="H6" s="105">
        <v>5</v>
      </c>
      <c r="I6" s="105">
        <f t="shared" si="3"/>
        <v>2025</v>
      </c>
      <c r="J6" s="55" t="str">
        <f t="shared" ca="1" si="7"/>
        <v/>
      </c>
      <c r="K6" s="55">
        <f t="shared" ca="1" si="8"/>
        <v>0</v>
      </c>
      <c r="L6" s="55">
        <f t="shared" ca="1" si="4"/>
        <v>0</v>
      </c>
      <c r="M6" s="55">
        <f t="shared" ca="1" si="9"/>
        <v>0</v>
      </c>
      <c r="N6" s="55">
        <f t="shared" ca="1" si="5"/>
        <v>0</v>
      </c>
    </row>
    <row r="7" spans="1:20" x14ac:dyDescent="0.2">
      <c r="A7" s="105">
        <v>6</v>
      </c>
      <c r="B7" s="105" t="str">
        <f>VLOOKUP( $A7, Aop!$A$2:$P$453, 2, 0)</f>
        <v>BSa</v>
      </c>
      <c r="C7" s="105">
        <v>25</v>
      </c>
      <c r="D7" s="105" t="str">
        <f t="shared" si="0"/>
        <v>1074440</v>
      </c>
      <c r="E7" s="105" t="str">
        <f t="shared" si="6"/>
        <v>4400855640000</v>
      </c>
      <c r="F7" s="105" t="b">
        <f t="shared" si="1"/>
        <v>0</v>
      </c>
      <c r="G7" s="139">
        <f t="shared" si="2"/>
        <v>45930</v>
      </c>
      <c r="H7" s="105">
        <v>6</v>
      </c>
      <c r="I7" s="105">
        <f t="shared" si="3"/>
        <v>2025</v>
      </c>
      <c r="J7" s="55" t="str">
        <f t="shared" ca="1" si="7"/>
        <v/>
      </c>
      <c r="K7" s="55">
        <f t="shared" ca="1" si="8"/>
        <v>0</v>
      </c>
      <c r="L7" s="55">
        <f t="shared" ca="1" si="4"/>
        <v>0</v>
      </c>
      <c r="M7" s="55">
        <f t="shared" ca="1" si="9"/>
        <v>0</v>
      </c>
      <c r="N7" s="55">
        <f t="shared" ca="1" si="5"/>
        <v>0</v>
      </c>
    </row>
    <row r="8" spans="1:20" x14ac:dyDescent="0.2">
      <c r="A8" s="105">
        <v>7</v>
      </c>
      <c r="B8" s="105" t="str">
        <f>VLOOKUP( $A8, Aop!$A$2:$P$453, 2, 0)</f>
        <v>BSa</v>
      </c>
      <c r="C8" s="105">
        <v>25</v>
      </c>
      <c r="D8" s="105" t="str">
        <f t="shared" si="0"/>
        <v>1074440</v>
      </c>
      <c r="E8" s="105" t="str">
        <f t="shared" si="6"/>
        <v>4400855640000</v>
      </c>
      <c r="F8" s="105" t="b">
        <f t="shared" si="1"/>
        <v>0</v>
      </c>
      <c r="G8" s="139">
        <f t="shared" si="2"/>
        <v>45930</v>
      </c>
      <c r="H8" s="105">
        <v>7</v>
      </c>
      <c r="I8" s="105">
        <f t="shared" si="3"/>
        <v>2025</v>
      </c>
      <c r="J8" s="55" t="str">
        <f t="shared" ca="1" si="7"/>
        <v/>
      </c>
      <c r="K8" s="55">
        <f t="shared" ca="1" si="8"/>
        <v>2639194</v>
      </c>
      <c r="L8" s="55">
        <f t="shared" ca="1" si="4"/>
        <v>0</v>
      </c>
      <c r="M8" s="55">
        <f t="shared" ca="1" si="9"/>
        <v>2639194</v>
      </c>
      <c r="N8" s="55">
        <f t="shared" ca="1" si="5"/>
        <v>2639194</v>
      </c>
    </row>
    <row r="9" spans="1:20" x14ac:dyDescent="0.2">
      <c r="A9" s="105">
        <v>8</v>
      </c>
      <c r="B9" s="105" t="str">
        <f>VLOOKUP( $A9, Aop!$A$2:$P$453, 2, 0)</f>
        <v>BSa</v>
      </c>
      <c r="C9" s="105">
        <v>25</v>
      </c>
      <c r="D9" s="105" t="str">
        <f t="shared" si="0"/>
        <v>1074440</v>
      </c>
      <c r="E9" s="105" t="str">
        <f t="shared" si="6"/>
        <v>4400855640000</v>
      </c>
      <c r="F9" s="105" t="b">
        <f t="shared" si="1"/>
        <v>0</v>
      </c>
      <c r="G9" s="139">
        <f t="shared" si="2"/>
        <v>45930</v>
      </c>
      <c r="H9" s="105">
        <v>8</v>
      </c>
      <c r="I9" s="105">
        <f t="shared" si="3"/>
        <v>2025</v>
      </c>
      <c r="J9" s="55" t="str">
        <f t="shared" ca="1" si="7"/>
        <v/>
      </c>
      <c r="K9" s="55">
        <f t="shared" ca="1" si="8"/>
        <v>1120046989</v>
      </c>
      <c r="L9" s="55">
        <f t="shared" ca="1" si="4"/>
        <v>658870640</v>
      </c>
      <c r="M9" s="55">
        <f t="shared" ca="1" si="9"/>
        <v>461176349</v>
      </c>
      <c r="N9" s="55">
        <f t="shared" ca="1" si="5"/>
        <v>461176349</v>
      </c>
    </row>
    <row r="10" spans="1:20" x14ac:dyDescent="0.2">
      <c r="A10" s="105">
        <v>9</v>
      </c>
      <c r="B10" s="105" t="str">
        <f>VLOOKUP( $A10, Aop!$A$2:$P$453, 2, 0)</f>
        <v>BSa</v>
      </c>
      <c r="C10" s="105">
        <v>25</v>
      </c>
      <c r="D10" s="105" t="str">
        <f t="shared" si="0"/>
        <v>1074440</v>
      </c>
      <c r="E10" s="105" t="str">
        <f t="shared" si="6"/>
        <v>4400855640000</v>
      </c>
      <c r="F10" s="105" t="b">
        <f t="shared" si="1"/>
        <v>0</v>
      </c>
      <c r="G10" s="139">
        <f t="shared" si="2"/>
        <v>45930</v>
      </c>
      <c r="H10" s="105">
        <v>9</v>
      </c>
      <c r="I10" s="105">
        <f t="shared" si="3"/>
        <v>2025</v>
      </c>
      <c r="J10" s="55" t="str">
        <f t="shared" ca="1" si="7"/>
        <v/>
      </c>
      <c r="K10" s="55">
        <f t="shared" ca="1" si="8"/>
        <v>12411087</v>
      </c>
      <c r="L10" s="55">
        <f t="shared" ca="1" si="4"/>
        <v>0</v>
      </c>
      <c r="M10" s="55">
        <f t="shared" ca="1" si="9"/>
        <v>12411087</v>
      </c>
      <c r="N10" s="55">
        <f t="shared" ca="1" si="5"/>
        <v>12411087</v>
      </c>
    </row>
    <row r="11" spans="1:20" x14ac:dyDescent="0.2">
      <c r="A11" s="105">
        <v>10</v>
      </c>
      <c r="B11" s="105" t="str">
        <f>VLOOKUP( $A11, Aop!$A$2:$P$453, 2, 0)</f>
        <v>BSa</v>
      </c>
      <c r="C11" s="105">
        <v>25</v>
      </c>
      <c r="D11" s="105" t="str">
        <f t="shared" si="0"/>
        <v>1074440</v>
      </c>
      <c r="E11" s="105" t="str">
        <f t="shared" si="6"/>
        <v>4400855640000</v>
      </c>
      <c r="F11" s="105" t="b">
        <f t="shared" si="1"/>
        <v>0</v>
      </c>
      <c r="G11" s="139">
        <f t="shared" si="2"/>
        <v>45930</v>
      </c>
      <c r="H11" s="105">
        <v>10</v>
      </c>
      <c r="I11" s="105">
        <f t="shared" si="3"/>
        <v>2025</v>
      </c>
      <c r="J11" s="55" t="str">
        <f t="shared" ca="1" si="7"/>
        <v/>
      </c>
      <c r="K11" s="55">
        <f t="shared" ca="1" si="8"/>
        <v>376733155</v>
      </c>
      <c r="L11" s="55">
        <f t="shared" ca="1" si="4"/>
        <v>241272175</v>
      </c>
      <c r="M11" s="55">
        <f t="shared" ca="1" si="9"/>
        <v>135460980</v>
      </c>
      <c r="N11" s="55">
        <f t="shared" ca="1" si="5"/>
        <v>135460980</v>
      </c>
    </row>
    <row r="12" spans="1:20" x14ac:dyDescent="0.2">
      <c r="A12" s="105">
        <v>11</v>
      </c>
      <c r="B12" s="105" t="str">
        <f>VLOOKUP( $A12, Aop!$A$2:$P$453, 2, 0)</f>
        <v>BSa</v>
      </c>
      <c r="C12" s="105">
        <v>25</v>
      </c>
      <c r="D12" s="105" t="str">
        <f t="shared" si="0"/>
        <v>1074440</v>
      </c>
      <c r="E12" s="105" t="str">
        <f t="shared" si="6"/>
        <v>4400855640000</v>
      </c>
      <c r="F12" s="105" t="b">
        <f t="shared" si="1"/>
        <v>0</v>
      </c>
      <c r="G12" s="139">
        <f t="shared" si="2"/>
        <v>45930</v>
      </c>
      <c r="H12" s="105">
        <v>11</v>
      </c>
      <c r="I12" s="105">
        <f t="shared" si="3"/>
        <v>2025</v>
      </c>
      <c r="J12" s="55" t="str">
        <f t="shared" ca="1" si="7"/>
        <v/>
      </c>
      <c r="K12" s="55">
        <f t="shared" ca="1" si="8"/>
        <v>658251571</v>
      </c>
      <c r="L12" s="55">
        <f t="shared" ca="1" si="4"/>
        <v>417598465</v>
      </c>
      <c r="M12" s="55">
        <f t="shared" ca="1" si="9"/>
        <v>240653106</v>
      </c>
      <c r="N12" s="55">
        <f t="shared" ca="1" si="5"/>
        <v>240653106</v>
      </c>
    </row>
    <row r="13" spans="1:20" x14ac:dyDescent="0.2">
      <c r="A13" s="105">
        <v>12</v>
      </c>
      <c r="B13" s="105" t="str">
        <f>VLOOKUP( $A13, Aop!$A$2:$P$453, 2, 0)</f>
        <v>BSa</v>
      </c>
      <c r="C13" s="105">
        <v>25</v>
      </c>
      <c r="D13" s="105" t="str">
        <f t="shared" si="0"/>
        <v>1074440</v>
      </c>
      <c r="E13" s="105" t="str">
        <f t="shared" si="6"/>
        <v>4400855640000</v>
      </c>
      <c r="F13" s="105" t="b">
        <f t="shared" si="1"/>
        <v>0</v>
      </c>
      <c r="G13" s="139">
        <f t="shared" si="2"/>
        <v>45930</v>
      </c>
      <c r="H13" s="105">
        <v>12</v>
      </c>
      <c r="I13" s="105">
        <f t="shared" si="3"/>
        <v>2025</v>
      </c>
      <c r="J13" s="55" t="str">
        <f t="shared" ca="1" si="7"/>
        <v/>
      </c>
      <c r="K13" s="55">
        <f t="shared" ca="1" si="8"/>
        <v>25817</v>
      </c>
      <c r="L13" s="55">
        <f t="shared" ca="1" si="4"/>
        <v>0</v>
      </c>
      <c r="M13" s="55">
        <f t="shared" ca="1" si="9"/>
        <v>25817</v>
      </c>
      <c r="N13" s="55">
        <f t="shared" ca="1" si="5"/>
        <v>25817</v>
      </c>
    </row>
    <row r="14" spans="1:20" x14ac:dyDescent="0.2">
      <c r="A14" s="105">
        <v>13</v>
      </c>
      <c r="B14" s="105" t="str">
        <f>VLOOKUP( $A14, Aop!$A$2:$P$453, 2, 0)</f>
        <v>BSa</v>
      </c>
      <c r="C14" s="105">
        <v>25</v>
      </c>
      <c r="D14" s="105" t="str">
        <f t="shared" si="0"/>
        <v>1074440</v>
      </c>
      <c r="E14" s="105" t="str">
        <f t="shared" si="6"/>
        <v>4400855640000</v>
      </c>
      <c r="F14" s="105" t="b">
        <f t="shared" si="1"/>
        <v>0</v>
      </c>
      <c r="G14" s="139">
        <f t="shared" si="2"/>
        <v>45930</v>
      </c>
      <c r="H14" s="105">
        <v>13</v>
      </c>
      <c r="I14" s="105">
        <f t="shared" si="3"/>
        <v>2025</v>
      </c>
      <c r="J14" s="55" t="str">
        <f t="shared" ca="1" si="7"/>
        <v/>
      </c>
      <c r="K14" s="55">
        <f t="shared" ca="1" si="8"/>
        <v>0</v>
      </c>
      <c r="L14" s="55">
        <f t="shared" ca="1" si="4"/>
        <v>0</v>
      </c>
      <c r="M14" s="55">
        <f t="shared" ca="1" si="9"/>
        <v>0</v>
      </c>
      <c r="N14" s="55">
        <f t="shared" ca="1" si="5"/>
        <v>0</v>
      </c>
    </row>
    <row r="15" spans="1:20" x14ac:dyDescent="0.2">
      <c r="A15" s="105">
        <v>14</v>
      </c>
      <c r="B15" s="105" t="str">
        <f>VLOOKUP( $A15, Aop!$A$2:$P$453, 2, 0)</f>
        <v>BSa</v>
      </c>
      <c r="C15" s="105">
        <v>25</v>
      </c>
      <c r="D15" s="105" t="str">
        <f t="shared" si="0"/>
        <v>1074440</v>
      </c>
      <c r="E15" s="105" t="str">
        <f t="shared" si="6"/>
        <v>4400855640000</v>
      </c>
      <c r="F15" s="105" t="b">
        <f t="shared" si="1"/>
        <v>0</v>
      </c>
      <c r="G15" s="139">
        <f t="shared" si="2"/>
        <v>45930</v>
      </c>
      <c r="H15" s="105">
        <v>14</v>
      </c>
      <c r="I15" s="105">
        <f t="shared" si="3"/>
        <v>2025</v>
      </c>
      <c r="J15" s="55" t="str">
        <f t="shared" ca="1" si="7"/>
        <v/>
      </c>
      <c r="K15" s="55">
        <f t="shared" ca="1" si="8"/>
        <v>72625359</v>
      </c>
      <c r="L15" s="55">
        <f t="shared" ca="1" si="4"/>
        <v>0</v>
      </c>
      <c r="M15" s="55">
        <f t="shared" ca="1" si="9"/>
        <v>72625359</v>
      </c>
      <c r="N15" s="55">
        <f t="shared" ca="1" si="5"/>
        <v>72625359</v>
      </c>
    </row>
    <row r="16" spans="1:20" x14ac:dyDescent="0.2">
      <c r="A16" s="105">
        <v>15</v>
      </c>
      <c r="B16" s="105" t="str">
        <f>VLOOKUP( $A16, Aop!$A$2:$P$453, 2, 0)</f>
        <v>BSa</v>
      </c>
      <c r="C16" s="105">
        <v>25</v>
      </c>
      <c r="D16" s="105" t="str">
        <f t="shared" si="0"/>
        <v>1074440</v>
      </c>
      <c r="E16" s="105" t="str">
        <f t="shared" si="6"/>
        <v>4400855640000</v>
      </c>
      <c r="F16" s="105" t="b">
        <f t="shared" si="1"/>
        <v>0</v>
      </c>
      <c r="G16" s="139">
        <f t="shared" si="2"/>
        <v>45930</v>
      </c>
      <c r="H16" s="105">
        <v>15</v>
      </c>
      <c r="I16" s="105">
        <f t="shared" si="3"/>
        <v>2025</v>
      </c>
      <c r="J16" s="55" t="str">
        <f t="shared" ca="1" si="7"/>
        <v/>
      </c>
      <c r="K16" s="55">
        <f t="shared" ca="1" si="8"/>
        <v>0</v>
      </c>
      <c r="L16" s="55">
        <f t="shared" ca="1" si="4"/>
        <v>0</v>
      </c>
      <c r="M16" s="55">
        <f t="shared" ca="1" si="9"/>
        <v>0</v>
      </c>
      <c r="N16" s="55">
        <f t="shared" ca="1" si="5"/>
        <v>0</v>
      </c>
    </row>
    <row r="17" spans="1:14" x14ac:dyDescent="0.2">
      <c r="A17" s="105">
        <v>16</v>
      </c>
      <c r="B17" s="105" t="str">
        <f>VLOOKUP( $A17, Aop!$A$2:$P$453, 2, 0)</f>
        <v>BSa</v>
      </c>
      <c r="C17" s="105">
        <v>25</v>
      </c>
      <c r="D17" s="105" t="str">
        <f t="shared" si="0"/>
        <v>1074440</v>
      </c>
      <c r="E17" s="105" t="str">
        <f t="shared" si="6"/>
        <v>4400855640000</v>
      </c>
      <c r="F17" s="105" t="b">
        <f t="shared" si="1"/>
        <v>0</v>
      </c>
      <c r="G17" s="139">
        <f t="shared" si="2"/>
        <v>45930</v>
      </c>
      <c r="H17" s="105">
        <v>16</v>
      </c>
      <c r="I17" s="105">
        <f t="shared" si="3"/>
        <v>2025</v>
      </c>
      <c r="J17" s="55" t="str">
        <f t="shared" ca="1" si="7"/>
        <v/>
      </c>
      <c r="K17" s="55">
        <f t="shared" ca="1" si="8"/>
        <v>0</v>
      </c>
      <c r="L17" s="55">
        <f t="shared" ca="1" si="4"/>
        <v>0</v>
      </c>
      <c r="M17" s="55">
        <f t="shared" ca="1" si="9"/>
        <v>0</v>
      </c>
      <c r="N17" s="55">
        <f t="shared" ca="1" si="5"/>
        <v>0</v>
      </c>
    </row>
    <row r="18" spans="1:14" x14ac:dyDescent="0.2">
      <c r="A18" s="105">
        <v>17</v>
      </c>
      <c r="B18" s="105" t="str">
        <f>VLOOKUP( $A18, Aop!$A$2:$P$453, 2, 0)</f>
        <v>BSa</v>
      </c>
      <c r="C18" s="105">
        <v>25</v>
      </c>
      <c r="D18" s="105" t="str">
        <f t="shared" si="0"/>
        <v>1074440</v>
      </c>
      <c r="E18" s="105" t="str">
        <f t="shared" si="6"/>
        <v>4400855640000</v>
      </c>
      <c r="F18" s="105" t="b">
        <f t="shared" si="1"/>
        <v>0</v>
      </c>
      <c r="G18" s="139">
        <f t="shared" si="2"/>
        <v>45930</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1074440</v>
      </c>
      <c r="E19" s="105" t="str">
        <f t="shared" si="6"/>
        <v>4400855640000</v>
      </c>
      <c r="F19" s="105" t="b">
        <f t="shared" si="1"/>
        <v>0</v>
      </c>
      <c r="G19" s="139">
        <f t="shared" si="2"/>
        <v>45930</v>
      </c>
      <c r="H19" s="105">
        <v>18</v>
      </c>
      <c r="I19" s="105">
        <f t="shared" si="3"/>
        <v>2025</v>
      </c>
      <c r="J19" s="55" t="str">
        <f t="shared" ca="1" si="7"/>
        <v/>
      </c>
      <c r="K19" s="55">
        <f t="shared" ca="1" si="8"/>
        <v>0</v>
      </c>
      <c r="L19" s="55">
        <f t="shared" ca="1" si="4"/>
        <v>0</v>
      </c>
      <c r="M19" s="55">
        <f t="shared" ca="1" si="9"/>
        <v>0</v>
      </c>
      <c r="N19" s="55">
        <f t="shared" ca="1" si="5"/>
        <v>0</v>
      </c>
    </row>
    <row r="20" spans="1:14" x14ac:dyDescent="0.2">
      <c r="A20" s="105">
        <v>19</v>
      </c>
      <c r="B20" s="105" t="str">
        <f>VLOOKUP( $A20, Aop!$A$2:$P$453, 2, 0)</f>
        <v>BSa</v>
      </c>
      <c r="C20" s="105">
        <v>25</v>
      </c>
      <c r="D20" s="105" t="str">
        <f t="shared" si="0"/>
        <v>1074440</v>
      </c>
      <c r="E20" s="105" t="str">
        <f t="shared" si="6"/>
        <v>4400855640000</v>
      </c>
      <c r="F20" s="105" t="b">
        <f t="shared" si="1"/>
        <v>0</v>
      </c>
      <c r="G20" s="139">
        <f t="shared" si="2"/>
        <v>45930</v>
      </c>
      <c r="H20" s="105">
        <v>19</v>
      </c>
      <c r="I20" s="105">
        <f t="shared" si="3"/>
        <v>2025</v>
      </c>
      <c r="J20" s="55" t="str">
        <f t="shared" ca="1" si="7"/>
        <v/>
      </c>
      <c r="K20" s="55">
        <f t="shared" ca="1" si="8"/>
        <v>0</v>
      </c>
      <c r="L20" s="55">
        <f t="shared" ca="1" si="4"/>
        <v>0</v>
      </c>
      <c r="M20" s="55">
        <f t="shared" ca="1" si="9"/>
        <v>0</v>
      </c>
      <c r="N20" s="55">
        <f t="shared" ca="1" si="5"/>
        <v>0</v>
      </c>
    </row>
    <row r="21" spans="1:14" x14ac:dyDescent="0.2">
      <c r="A21" s="105">
        <v>20</v>
      </c>
      <c r="B21" s="105" t="str">
        <f>VLOOKUP( $A21, Aop!$A$2:$P$453, 2, 0)</f>
        <v>BSa</v>
      </c>
      <c r="C21" s="105">
        <v>25</v>
      </c>
      <c r="D21" s="105" t="str">
        <f t="shared" si="0"/>
        <v>1074440</v>
      </c>
      <c r="E21" s="105" t="str">
        <f t="shared" si="6"/>
        <v>4400855640000</v>
      </c>
      <c r="F21" s="105" t="b">
        <f t="shared" si="1"/>
        <v>0</v>
      </c>
      <c r="G21" s="139">
        <f t="shared" si="2"/>
        <v>45930</v>
      </c>
      <c r="H21" s="105">
        <v>20</v>
      </c>
      <c r="I21" s="105">
        <f t="shared" si="3"/>
        <v>2025</v>
      </c>
      <c r="J21" s="55" t="str">
        <f t="shared" ca="1" si="7"/>
        <v/>
      </c>
      <c r="K21" s="55">
        <f t="shared" ca="1" si="8"/>
        <v>0</v>
      </c>
      <c r="L21" s="55">
        <f t="shared" ca="1" si="4"/>
        <v>0</v>
      </c>
      <c r="M21" s="55">
        <f t="shared" ca="1" si="9"/>
        <v>0</v>
      </c>
      <c r="N21" s="55">
        <f t="shared" ca="1" si="5"/>
        <v>0</v>
      </c>
    </row>
    <row r="22" spans="1:14" x14ac:dyDescent="0.2">
      <c r="A22" s="105">
        <v>21</v>
      </c>
      <c r="B22" s="105" t="str">
        <f>VLOOKUP( $A22, Aop!$A$2:$P$453, 2, 0)</f>
        <v>BSa</v>
      </c>
      <c r="C22" s="105">
        <v>25</v>
      </c>
      <c r="D22" s="105" t="str">
        <f t="shared" si="0"/>
        <v>1074440</v>
      </c>
      <c r="E22" s="105" t="str">
        <f t="shared" si="6"/>
        <v>4400855640000</v>
      </c>
      <c r="F22" s="105" t="b">
        <f t="shared" si="1"/>
        <v>0</v>
      </c>
      <c r="G22" s="139">
        <f t="shared" si="2"/>
        <v>45930</v>
      </c>
      <c r="H22" s="105">
        <v>21</v>
      </c>
      <c r="I22" s="105">
        <f t="shared" si="3"/>
        <v>2025</v>
      </c>
      <c r="J22" s="55" t="str">
        <f t="shared" ca="1" si="7"/>
        <v/>
      </c>
      <c r="K22" s="55">
        <f t="shared" ca="1" si="8"/>
        <v>0</v>
      </c>
      <c r="L22" s="55">
        <f t="shared" ca="1" si="4"/>
        <v>0</v>
      </c>
      <c r="M22" s="55">
        <f t="shared" ca="1" si="9"/>
        <v>0</v>
      </c>
      <c r="N22" s="55">
        <f t="shared" ca="1" si="5"/>
        <v>0</v>
      </c>
    </row>
    <row r="23" spans="1:14" x14ac:dyDescent="0.2">
      <c r="A23" s="105">
        <v>22</v>
      </c>
      <c r="B23" s="105" t="str">
        <f>VLOOKUP( $A23, Aop!$A$2:$P$453, 2, 0)</f>
        <v>BSa</v>
      </c>
      <c r="C23" s="105">
        <v>25</v>
      </c>
      <c r="D23" s="105" t="str">
        <f t="shared" si="0"/>
        <v>1074440</v>
      </c>
      <c r="E23" s="105" t="str">
        <f t="shared" si="6"/>
        <v>4400855640000</v>
      </c>
      <c r="F23" s="105" t="b">
        <f t="shared" si="1"/>
        <v>0</v>
      </c>
      <c r="G23" s="139">
        <f t="shared" si="2"/>
        <v>45930</v>
      </c>
      <c r="H23" s="105">
        <v>22</v>
      </c>
      <c r="I23" s="105">
        <f t="shared" si="3"/>
        <v>2025</v>
      </c>
      <c r="J23" s="55" t="str">
        <f t="shared" ca="1" si="7"/>
        <v/>
      </c>
      <c r="K23" s="55">
        <f t="shared" ca="1" si="8"/>
        <v>12780236</v>
      </c>
      <c r="L23" s="55">
        <f t="shared" ca="1" si="4"/>
        <v>12609350</v>
      </c>
      <c r="M23" s="55">
        <f t="shared" ca="1" si="9"/>
        <v>170886</v>
      </c>
      <c r="N23" s="55">
        <f t="shared" ca="1" si="5"/>
        <v>170886</v>
      </c>
    </row>
    <row r="24" spans="1:14" x14ac:dyDescent="0.2">
      <c r="A24" s="105">
        <v>23</v>
      </c>
      <c r="B24" s="105" t="str">
        <f>VLOOKUP( $A24, Aop!$A$2:$P$453, 2, 0)</f>
        <v>BSa</v>
      </c>
      <c r="C24" s="105">
        <v>25</v>
      </c>
      <c r="D24" s="105" t="str">
        <f t="shared" si="0"/>
        <v>1074440</v>
      </c>
      <c r="E24" s="105" t="str">
        <f t="shared" si="6"/>
        <v>4400855640000</v>
      </c>
      <c r="F24" s="105" t="b">
        <f t="shared" si="1"/>
        <v>0</v>
      </c>
      <c r="G24" s="139">
        <f t="shared" si="2"/>
        <v>45930</v>
      </c>
      <c r="H24" s="105">
        <v>23</v>
      </c>
      <c r="I24" s="105">
        <f t="shared" si="3"/>
        <v>2025</v>
      </c>
      <c r="J24" s="55" t="str">
        <f t="shared" ca="1" si="7"/>
        <v/>
      </c>
      <c r="K24" s="55">
        <f t="shared" ca="1" si="8"/>
        <v>10000</v>
      </c>
      <c r="L24" s="55">
        <f t="shared" ca="1" si="4"/>
        <v>0</v>
      </c>
      <c r="M24" s="55">
        <f t="shared" ca="1" si="9"/>
        <v>10000</v>
      </c>
      <c r="N24" s="55">
        <f t="shared" ca="1" si="5"/>
        <v>10000</v>
      </c>
    </row>
    <row r="25" spans="1:14" x14ac:dyDescent="0.2">
      <c r="A25" s="105">
        <v>24</v>
      </c>
      <c r="B25" s="105" t="str">
        <f>VLOOKUP( $A25, Aop!$A$2:$P$453, 2, 0)</f>
        <v>BSa</v>
      </c>
      <c r="C25" s="105">
        <v>25</v>
      </c>
      <c r="D25" s="105" t="str">
        <f t="shared" si="0"/>
        <v>1074440</v>
      </c>
      <c r="E25" s="105" t="str">
        <f t="shared" si="6"/>
        <v>4400855640000</v>
      </c>
      <c r="F25" s="105" t="b">
        <f t="shared" si="1"/>
        <v>0</v>
      </c>
      <c r="G25" s="139">
        <f t="shared" si="2"/>
        <v>45930</v>
      </c>
      <c r="H25" s="105">
        <v>24</v>
      </c>
      <c r="I25" s="105">
        <f t="shared" si="3"/>
        <v>2025</v>
      </c>
      <c r="J25" s="55" t="str">
        <f t="shared" ca="1" si="7"/>
        <v/>
      </c>
      <c r="K25" s="55">
        <f t="shared" ca="1" si="8"/>
        <v>0</v>
      </c>
      <c r="L25" s="55">
        <f t="shared" ca="1" si="4"/>
        <v>0</v>
      </c>
      <c r="M25" s="55">
        <f t="shared" ca="1" si="9"/>
        <v>0</v>
      </c>
      <c r="N25" s="55">
        <f t="shared" ca="1" si="5"/>
        <v>0</v>
      </c>
    </row>
    <row r="26" spans="1:14" x14ac:dyDescent="0.2">
      <c r="A26" s="105">
        <v>25</v>
      </c>
      <c r="B26" s="105" t="str">
        <f>VLOOKUP( $A26, Aop!$A$2:$P$453, 2, 0)</f>
        <v>BSa</v>
      </c>
      <c r="C26" s="105">
        <v>25</v>
      </c>
      <c r="D26" s="105" t="str">
        <f t="shared" si="0"/>
        <v>1074440</v>
      </c>
      <c r="E26" s="105" t="str">
        <f t="shared" si="6"/>
        <v>4400855640000</v>
      </c>
      <c r="F26" s="105" t="b">
        <f t="shared" si="1"/>
        <v>0</v>
      </c>
      <c r="G26" s="139">
        <f t="shared" si="2"/>
        <v>45930</v>
      </c>
      <c r="H26" s="105">
        <v>25</v>
      </c>
      <c r="I26" s="105">
        <f t="shared" si="3"/>
        <v>2025</v>
      </c>
      <c r="J26" s="55" t="str">
        <f t="shared" ca="1" si="7"/>
        <v/>
      </c>
      <c r="K26" s="55">
        <f t="shared" ca="1" si="8"/>
        <v>12601102</v>
      </c>
      <c r="L26" s="55">
        <f t="shared" ca="1" si="4"/>
        <v>12601102</v>
      </c>
      <c r="M26" s="55">
        <f t="shared" ca="1" si="9"/>
        <v>0</v>
      </c>
      <c r="N26" s="55">
        <f t="shared" ca="1" si="5"/>
        <v>0</v>
      </c>
    </row>
    <row r="27" spans="1:14" x14ac:dyDescent="0.2">
      <c r="A27" s="105">
        <v>26</v>
      </c>
      <c r="B27" s="105" t="str">
        <f>VLOOKUP( $A27, Aop!$A$2:$P$453, 2, 0)</f>
        <v>BSa</v>
      </c>
      <c r="C27" s="105">
        <v>25</v>
      </c>
      <c r="D27" s="105" t="str">
        <f t="shared" si="0"/>
        <v>1074440</v>
      </c>
      <c r="E27" s="105" t="str">
        <f t="shared" si="6"/>
        <v>4400855640000</v>
      </c>
      <c r="F27" s="105" t="b">
        <f t="shared" si="1"/>
        <v>0</v>
      </c>
      <c r="G27" s="139">
        <f t="shared" si="2"/>
        <v>45930</v>
      </c>
      <c r="H27" s="105">
        <v>26</v>
      </c>
      <c r="I27" s="105">
        <f t="shared" si="3"/>
        <v>2025</v>
      </c>
      <c r="J27" s="55" t="str">
        <f t="shared" ca="1" si="7"/>
        <v/>
      </c>
      <c r="K27" s="55">
        <f t="shared" ca="1" si="8"/>
        <v>0</v>
      </c>
      <c r="L27" s="55">
        <f t="shared" ca="1" si="4"/>
        <v>0</v>
      </c>
      <c r="M27" s="55">
        <f t="shared" ca="1" si="9"/>
        <v>0</v>
      </c>
      <c r="N27" s="55">
        <f t="shared" ca="1" si="5"/>
        <v>0</v>
      </c>
    </row>
    <row r="28" spans="1:14" x14ac:dyDescent="0.2">
      <c r="A28" s="105">
        <v>27</v>
      </c>
      <c r="B28" s="105" t="str">
        <f>VLOOKUP( $A28, Aop!$A$2:$P$453, 2, 0)</f>
        <v>BSa</v>
      </c>
      <c r="C28" s="105">
        <v>25</v>
      </c>
      <c r="D28" s="105" t="str">
        <f t="shared" si="0"/>
        <v>1074440</v>
      </c>
      <c r="E28" s="105" t="str">
        <f t="shared" si="6"/>
        <v>4400855640000</v>
      </c>
      <c r="F28" s="105" t="b">
        <f t="shared" si="1"/>
        <v>0</v>
      </c>
      <c r="G28" s="139">
        <f t="shared" si="2"/>
        <v>45930</v>
      </c>
      <c r="H28" s="105">
        <v>27</v>
      </c>
      <c r="I28" s="105">
        <f t="shared" si="3"/>
        <v>2025</v>
      </c>
      <c r="J28" s="55" t="str">
        <f t="shared" ca="1" si="7"/>
        <v/>
      </c>
      <c r="K28" s="55">
        <f t="shared" ca="1" si="8"/>
        <v>12601102</v>
      </c>
      <c r="L28" s="55">
        <f t="shared" ca="1" si="4"/>
        <v>12601102</v>
      </c>
      <c r="M28" s="55">
        <f t="shared" ca="1" si="9"/>
        <v>0</v>
      </c>
      <c r="N28" s="55">
        <f t="shared" ca="1" si="5"/>
        <v>0</v>
      </c>
    </row>
    <row r="29" spans="1:14" x14ac:dyDescent="0.2">
      <c r="A29" s="105">
        <v>28</v>
      </c>
      <c r="B29" s="105" t="str">
        <f>VLOOKUP( $A29, Aop!$A$2:$P$453, 2, 0)</f>
        <v>BSa</v>
      </c>
      <c r="C29" s="105">
        <v>25</v>
      </c>
      <c r="D29" s="105" t="str">
        <f t="shared" si="0"/>
        <v>1074440</v>
      </c>
      <c r="E29" s="105" t="str">
        <f t="shared" si="6"/>
        <v>4400855640000</v>
      </c>
      <c r="F29" s="105" t="b">
        <f t="shared" si="1"/>
        <v>0</v>
      </c>
      <c r="G29" s="139">
        <f t="shared" si="2"/>
        <v>45930</v>
      </c>
      <c r="H29" s="105">
        <v>28</v>
      </c>
      <c r="I29" s="105">
        <f t="shared" si="3"/>
        <v>2025</v>
      </c>
      <c r="J29" s="55" t="str">
        <f t="shared" ca="1" si="7"/>
        <v/>
      </c>
      <c r="K29" s="55">
        <f t="shared" ca="1" si="8"/>
        <v>0</v>
      </c>
      <c r="L29" s="55">
        <f t="shared" ca="1" si="4"/>
        <v>0</v>
      </c>
      <c r="M29" s="55">
        <f t="shared" ca="1" si="9"/>
        <v>0</v>
      </c>
      <c r="N29" s="55">
        <f t="shared" ca="1" si="5"/>
        <v>0</v>
      </c>
    </row>
    <row r="30" spans="1:14" x14ac:dyDescent="0.2">
      <c r="A30" s="105">
        <v>29</v>
      </c>
      <c r="B30" s="105" t="str">
        <f>VLOOKUP( $A30, Aop!$A$2:$P$453, 2, 0)</f>
        <v>BSa</v>
      </c>
      <c r="C30" s="105">
        <v>25</v>
      </c>
      <c r="D30" s="105" t="str">
        <f t="shared" si="0"/>
        <v>1074440</v>
      </c>
      <c r="E30" s="105" t="str">
        <f t="shared" si="6"/>
        <v>4400855640000</v>
      </c>
      <c r="F30" s="105" t="b">
        <f t="shared" si="1"/>
        <v>0</v>
      </c>
      <c r="G30" s="139">
        <f t="shared" si="2"/>
        <v>45930</v>
      </c>
      <c r="H30" s="105">
        <v>29</v>
      </c>
      <c r="I30" s="105">
        <f t="shared" si="3"/>
        <v>2025</v>
      </c>
      <c r="J30" s="55" t="str">
        <f t="shared" ca="1" si="7"/>
        <v/>
      </c>
      <c r="K30" s="55">
        <f t="shared" ca="1" si="8"/>
        <v>0</v>
      </c>
      <c r="L30" s="55">
        <f t="shared" ca="1" si="4"/>
        <v>0</v>
      </c>
      <c r="M30" s="55">
        <f t="shared" ca="1" si="9"/>
        <v>0</v>
      </c>
      <c r="N30" s="55">
        <f t="shared" ca="1" si="5"/>
        <v>0</v>
      </c>
    </row>
    <row r="31" spans="1:14" x14ac:dyDescent="0.2">
      <c r="A31" s="105">
        <v>30</v>
      </c>
      <c r="B31" s="105" t="str">
        <f>VLOOKUP( $A31, Aop!$A$2:$P$453, 2, 0)</f>
        <v>BSa</v>
      </c>
      <c r="C31" s="105">
        <v>25</v>
      </c>
      <c r="D31" s="105" t="str">
        <f t="shared" si="0"/>
        <v>1074440</v>
      </c>
      <c r="E31" s="105" t="str">
        <f t="shared" si="6"/>
        <v>4400855640000</v>
      </c>
      <c r="F31" s="105" t="b">
        <f t="shared" si="1"/>
        <v>0</v>
      </c>
      <c r="G31" s="139">
        <f t="shared" si="2"/>
        <v>45930</v>
      </c>
      <c r="H31" s="105">
        <v>30</v>
      </c>
      <c r="I31" s="105">
        <f t="shared" si="3"/>
        <v>2025</v>
      </c>
      <c r="J31" s="55" t="str">
        <f t="shared" ca="1" si="7"/>
        <v/>
      </c>
      <c r="K31" s="55">
        <f t="shared" ca="1" si="8"/>
        <v>169134</v>
      </c>
      <c r="L31" s="55">
        <f t="shared" ca="1" si="4"/>
        <v>8248</v>
      </c>
      <c r="M31" s="55">
        <f t="shared" ca="1" si="9"/>
        <v>160886</v>
      </c>
      <c r="N31" s="55">
        <f t="shared" ca="1" si="5"/>
        <v>160886</v>
      </c>
    </row>
    <row r="32" spans="1:14" x14ac:dyDescent="0.2">
      <c r="A32" s="105">
        <v>31</v>
      </c>
      <c r="B32" s="105" t="str">
        <f>VLOOKUP( $A32, Aop!$A$2:$P$453, 2, 0)</f>
        <v>BSa</v>
      </c>
      <c r="C32" s="105">
        <v>25</v>
      </c>
      <c r="D32" s="105" t="str">
        <f t="shared" si="0"/>
        <v>1074440</v>
      </c>
      <c r="E32" s="105" t="str">
        <f t="shared" si="6"/>
        <v>4400855640000</v>
      </c>
      <c r="F32" s="105" t="b">
        <f t="shared" si="1"/>
        <v>0</v>
      </c>
      <c r="G32" s="139">
        <f t="shared" si="2"/>
        <v>45930</v>
      </c>
      <c r="H32" s="105">
        <v>31</v>
      </c>
      <c r="I32" s="105">
        <f t="shared" si="3"/>
        <v>2025</v>
      </c>
      <c r="J32" s="55" t="str">
        <f t="shared" ca="1" si="7"/>
        <v/>
      </c>
      <c r="K32" s="55">
        <f t="shared" ca="1" si="8"/>
        <v>0</v>
      </c>
      <c r="L32" s="55">
        <f t="shared" ca="1" si="4"/>
        <v>0</v>
      </c>
      <c r="M32" s="55">
        <f t="shared" ca="1" si="9"/>
        <v>0</v>
      </c>
      <c r="N32" s="55">
        <f t="shared" ca="1" si="5"/>
        <v>0</v>
      </c>
    </row>
    <row r="33" spans="1:14" x14ac:dyDescent="0.2">
      <c r="A33" s="105">
        <v>32</v>
      </c>
      <c r="B33" s="105" t="str">
        <f>VLOOKUP( $A33, Aop!$A$2:$P$453, 2, 0)</f>
        <v>BSa</v>
      </c>
      <c r="C33" s="105">
        <v>25</v>
      </c>
      <c r="D33" s="105" t="str">
        <f t="shared" si="0"/>
        <v>1074440</v>
      </c>
      <c r="E33" s="105" t="str">
        <f t="shared" si="6"/>
        <v>4400855640000</v>
      </c>
      <c r="F33" s="105" t="b">
        <f t="shared" si="1"/>
        <v>0</v>
      </c>
      <c r="G33" s="139">
        <f t="shared" si="2"/>
        <v>45930</v>
      </c>
      <c r="H33" s="105">
        <v>32</v>
      </c>
      <c r="I33" s="105">
        <f t="shared" si="3"/>
        <v>2025</v>
      </c>
      <c r="J33" s="55" t="str">
        <f t="shared" ca="1" si="7"/>
        <v/>
      </c>
      <c r="K33" s="55">
        <f t="shared" ca="1" si="8"/>
        <v>169134</v>
      </c>
      <c r="L33" s="55">
        <f t="shared" ca="1" si="4"/>
        <v>8248</v>
      </c>
      <c r="M33" s="55">
        <f t="shared" ca="1" si="9"/>
        <v>160886</v>
      </c>
      <c r="N33" s="55">
        <f t="shared" ca="1" si="5"/>
        <v>160886</v>
      </c>
    </row>
    <row r="34" spans="1:14" x14ac:dyDescent="0.2">
      <c r="A34" s="105">
        <v>33</v>
      </c>
      <c r="B34" s="105" t="str">
        <f>VLOOKUP( $A34, Aop!$A$2:$P$453, 2, 0)</f>
        <v>BSa</v>
      </c>
      <c r="C34" s="105">
        <v>25</v>
      </c>
      <c r="D34" s="105" t="str">
        <f t="shared" si="0"/>
        <v>1074440</v>
      </c>
      <c r="E34" s="105" t="str">
        <f t="shared" si="6"/>
        <v>4400855640000</v>
      </c>
      <c r="F34" s="105" t="b">
        <f t="shared" si="1"/>
        <v>0</v>
      </c>
      <c r="G34" s="139">
        <f t="shared" si="2"/>
        <v>45930</v>
      </c>
      <c r="H34" s="105">
        <v>33</v>
      </c>
      <c r="I34" s="105">
        <f t="shared" si="3"/>
        <v>2025</v>
      </c>
      <c r="J34" s="55" t="str">
        <f t="shared" ca="1" si="7"/>
        <v/>
      </c>
      <c r="K34" s="55">
        <f t="shared" ca="1" si="8"/>
        <v>0</v>
      </c>
      <c r="L34" s="55">
        <f t="shared" ca="1" si="4"/>
        <v>0</v>
      </c>
      <c r="M34" s="55">
        <f t="shared" ca="1" si="9"/>
        <v>0</v>
      </c>
      <c r="N34" s="55">
        <f t="shared" ca="1" si="5"/>
        <v>0</v>
      </c>
    </row>
    <row r="35" spans="1:14" x14ac:dyDescent="0.2">
      <c r="A35" s="105">
        <v>34</v>
      </c>
      <c r="B35" s="105" t="str">
        <f>VLOOKUP( $A35, Aop!$A$2:$P$453, 2, 0)</f>
        <v>BSa</v>
      </c>
      <c r="C35" s="105">
        <v>25</v>
      </c>
      <c r="D35" s="105" t="str">
        <f t="shared" si="0"/>
        <v>1074440</v>
      </c>
      <c r="E35" s="105" t="str">
        <f t="shared" si="6"/>
        <v>4400855640000</v>
      </c>
      <c r="F35" s="105" t="b">
        <f t="shared" si="1"/>
        <v>0</v>
      </c>
      <c r="G35" s="139">
        <f t="shared" si="2"/>
        <v>45930</v>
      </c>
      <c r="H35" s="105">
        <v>34</v>
      </c>
      <c r="I35" s="105">
        <f t="shared" si="3"/>
        <v>2025</v>
      </c>
      <c r="J35" s="55" t="str">
        <f t="shared" ca="1" si="7"/>
        <v/>
      </c>
      <c r="K35" s="55">
        <f t="shared" ca="1" si="8"/>
        <v>0</v>
      </c>
      <c r="L35" s="55">
        <f t="shared" ca="1" si="4"/>
        <v>0</v>
      </c>
      <c r="M35" s="55">
        <f t="shared" ca="1" si="9"/>
        <v>0</v>
      </c>
      <c r="N35" s="55">
        <f t="shared" ca="1" si="5"/>
        <v>0</v>
      </c>
    </row>
    <row r="36" spans="1:14" x14ac:dyDescent="0.2">
      <c r="A36" s="105">
        <v>35</v>
      </c>
      <c r="B36" s="105" t="str">
        <f>VLOOKUP( $A36, Aop!$A$2:$P$453, 2, 0)</f>
        <v>BSa</v>
      </c>
      <c r="C36" s="105">
        <v>25</v>
      </c>
      <c r="D36" s="105" t="str">
        <f t="shared" si="0"/>
        <v>1074440</v>
      </c>
      <c r="E36" s="105" t="str">
        <f t="shared" si="6"/>
        <v>4400855640000</v>
      </c>
      <c r="F36" s="105" t="b">
        <f t="shared" si="1"/>
        <v>0</v>
      </c>
      <c r="G36" s="139">
        <f t="shared" si="2"/>
        <v>45930</v>
      </c>
      <c r="H36" s="105">
        <v>35</v>
      </c>
      <c r="I36" s="105">
        <f t="shared" si="3"/>
        <v>2025</v>
      </c>
      <c r="J36" s="55" t="str">
        <f t="shared" ca="1" si="7"/>
        <v/>
      </c>
      <c r="K36" s="55">
        <f t="shared" ca="1" si="8"/>
        <v>5213297</v>
      </c>
      <c r="L36" s="55">
        <f t="shared" ca="1" si="4"/>
        <v>0</v>
      </c>
      <c r="M36" s="55">
        <f t="shared" ca="1" si="9"/>
        <v>5213297</v>
      </c>
      <c r="N36" s="55">
        <f t="shared" ca="1" si="5"/>
        <v>5213297</v>
      </c>
    </row>
    <row r="37" spans="1:14" x14ac:dyDescent="0.2">
      <c r="A37" s="105">
        <v>36</v>
      </c>
      <c r="B37" s="105" t="str">
        <f>VLOOKUP( $A37, Aop!$A$2:$P$453, 2, 0)</f>
        <v>BSa</v>
      </c>
      <c r="C37" s="105">
        <v>25</v>
      </c>
      <c r="D37" s="105" t="str">
        <f t="shared" si="0"/>
        <v>1074440</v>
      </c>
      <c r="E37" s="105" t="str">
        <f t="shared" si="6"/>
        <v>4400855640000</v>
      </c>
      <c r="F37" s="105" t="b">
        <f t="shared" si="1"/>
        <v>0</v>
      </c>
      <c r="G37" s="139">
        <f t="shared" si="2"/>
        <v>45930</v>
      </c>
      <c r="H37" s="105">
        <v>36</v>
      </c>
      <c r="I37" s="105">
        <f t="shared" si="3"/>
        <v>2025</v>
      </c>
      <c r="J37" s="55" t="str">
        <f t="shared" ca="1" si="7"/>
        <v/>
      </c>
      <c r="K37" s="55">
        <f t="shared" ca="1" si="8"/>
        <v>198132174</v>
      </c>
      <c r="L37" s="55">
        <f t="shared" ca="1" si="4"/>
        <v>160660024</v>
      </c>
      <c r="M37" s="55">
        <f t="shared" ca="1" si="9"/>
        <v>37472150</v>
      </c>
      <c r="N37" s="55">
        <f t="shared" ca="1" si="5"/>
        <v>37472150</v>
      </c>
    </row>
    <row r="38" spans="1:14" x14ac:dyDescent="0.2">
      <c r="A38" s="105">
        <v>37</v>
      </c>
      <c r="B38" s="105" t="str">
        <f>VLOOKUP( $A38, Aop!$A$2:$P$453, 2, 0)</f>
        <v>BSa</v>
      </c>
      <c r="C38" s="105">
        <v>25</v>
      </c>
      <c r="D38" s="105" t="str">
        <f t="shared" si="0"/>
        <v>1074440</v>
      </c>
      <c r="E38" s="105" t="str">
        <f t="shared" si="6"/>
        <v>4400855640000</v>
      </c>
      <c r="F38" s="105" t="b">
        <f t="shared" si="1"/>
        <v>0</v>
      </c>
      <c r="G38" s="139">
        <f t="shared" si="2"/>
        <v>45930</v>
      </c>
      <c r="H38" s="105">
        <v>37</v>
      </c>
      <c r="I38" s="105">
        <f t="shared" si="3"/>
        <v>2025</v>
      </c>
      <c r="J38" s="55" t="str">
        <f t="shared" ca="1" si="7"/>
        <v/>
      </c>
      <c r="K38" s="55">
        <f t="shared" ca="1" si="8"/>
        <v>18090553</v>
      </c>
      <c r="L38" s="55">
        <f t="shared" ca="1" si="4"/>
        <v>3188336</v>
      </c>
      <c r="M38" s="55">
        <f t="shared" ca="1" si="9"/>
        <v>14902217</v>
      </c>
      <c r="N38" s="55">
        <f t="shared" ca="1" si="5"/>
        <v>14902217</v>
      </c>
    </row>
    <row r="39" spans="1:14" x14ac:dyDescent="0.2">
      <c r="A39" s="105">
        <v>38</v>
      </c>
      <c r="B39" s="105" t="str">
        <f>VLOOKUP( $A39, Aop!$A$2:$P$453, 2, 0)</f>
        <v>BSa</v>
      </c>
      <c r="C39" s="105">
        <v>25</v>
      </c>
      <c r="D39" s="105" t="str">
        <f t="shared" si="0"/>
        <v>1074440</v>
      </c>
      <c r="E39" s="105" t="str">
        <f t="shared" si="6"/>
        <v>4400855640000</v>
      </c>
      <c r="F39" s="105" t="b">
        <f t="shared" si="1"/>
        <v>0</v>
      </c>
      <c r="G39" s="139">
        <f t="shared" si="2"/>
        <v>45930</v>
      </c>
      <c r="H39" s="105">
        <v>38</v>
      </c>
      <c r="I39" s="105">
        <f t="shared" si="3"/>
        <v>2025</v>
      </c>
      <c r="J39" s="55" t="str">
        <f t="shared" ca="1" si="7"/>
        <v/>
      </c>
      <c r="K39" s="55">
        <f t="shared" ca="1" si="8"/>
        <v>18064950</v>
      </c>
      <c r="L39" s="55">
        <f t="shared" ca="1" si="4"/>
        <v>3179009</v>
      </c>
      <c r="M39" s="55">
        <f t="shared" ca="1" si="9"/>
        <v>14885941</v>
      </c>
      <c r="N39" s="55">
        <f t="shared" ca="1" si="5"/>
        <v>14885941</v>
      </c>
    </row>
    <row r="40" spans="1:14" x14ac:dyDescent="0.2">
      <c r="A40" s="105">
        <v>39</v>
      </c>
      <c r="B40" s="105" t="str">
        <f>VLOOKUP( $A40, Aop!$A$2:$P$453, 2, 0)</f>
        <v>BSa</v>
      </c>
      <c r="C40" s="105">
        <v>25</v>
      </c>
      <c r="D40" s="105" t="str">
        <f t="shared" si="0"/>
        <v>1074440</v>
      </c>
      <c r="E40" s="105" t="str">
        <f t="shared" si="6"/>
        <v>4400855640000</v>
      </c>
      <c r="F40" s="105" t="b">
        <f t="shared" si="1"/>
        <v>0</v>
      </c>
      <c r="G40" s="139">
        <f t="shared" si="2"/>
        <v>45930</v>
      </c>
      <c r="H40" s="105">
        <v>39</v>
      </c>
      <c r="I40" s="105">
        <f t="shared" si="3"/>
        <v>2025</v>
      </c>
      <c r="J40" s="55" t="str">
        <f t="shared" ca="1" si="7"/>
        <v/>
      </c>
      <c r="K40" s="55">
        <f t="shared" ca="1" si="8"/>
        <v>0</v>
      </c>
      <c r="L40" s="55">
        <f t="shared" ca="1" si="4"/>
        <v>0</v>
      </c>
      <c r="M40" s="55">
        <f t="shared" ca="1" si="9"/>
        <v>0</v>
      </c>
      <c r="N40" s="55">
        <f t="shared" ca="1" si="5"/>
        <v>0</v>
      </c>
    </row>
    <row r="41" spans="1:14" x14ac:dyDescent="0.2">
      <c r="A41" s="105">
        <v>40</v>
      </c>
      <c r="B41" s="105" t="str">
        <f>VLOOKUP( $A41, Aop!$A$2:$P$453, 2, 0)</f>
        <v>BSa</v>
      </c>
      <c r="C41" s="105">
        <v>25</v>
      </c>
      <c r="D41" s="105" t="str">
        <f t="shared" si="0"/>
        <v>1074440</v>
      </c>
      <c r="E41" s="105" t="str">
        <f t="shared" si="6"/>
        <v>4400855640000</v>
      </c>
      <c r="F41" s="105" t="b">
        <f t="shared" si="1"/>
        <v>0</v>
      </c>
      <c r="G41" s="139">
        <f t="shared" si="2"/>
        <v>45930</v>
      </c>
      <c r="H41" s="105">
        <v>40</v>
      </c>
      <c r="I41" s="105">
        <f t="shared" si="3"/>
        <v>2025</v>
      </c>
      <c r="J41" s="55" t="str">
        <f t="shared" ca="1" si="7"/>
        <v/>
      </c>
      <c r="K41" s="55">
        <f t="shared" ca="1" si="8"/>
        <v>0</v>
      </c>
      <c r="L41" s="55">
        <f t="shared" ca="1" si="4"/>
        <v>0</v>
      </c>
      <c r="M41" s="55">
        <f t="shared" ca="1" si="9"/>
        <v>0</v>
      </c>
      <c r="N41" s="55">
        <f t="shared" ca="1" si="5"/>
        <v>0</v>
      </c>
    </row>
    <row r="42" spans="1:14" x14ac:dyDescent="0.2">
      <c r="A42" s="105">
        <v>41</v>
      </c>
      <c r="B42" s="105" t="str">
        <f>VLOOKUP( $A42, Aop!$A$2:$P$453, 2, 0)</f>
        <v>BSa</v>
      </c>
      <c r="C42" s="105">
        <v>25</v>
      </c>
      <c r="D42" s="105" t="str">
        <f t="shared" si="0"/>
        <v>1074440</v>
      </c>
      <c r="E42" s="105" t="str">
        <f t="shared" si="6"/>
        <v>4400855640000</v>
      </c>
      <c r="F42" s="105" t="b">
        <f t="shared" si="1"/>
        <v>0</v>
      </c>
      <c r="G42" s="139">
        <f t="shared" si="2"/>
        <v>45930</v>
      </c>
      <c r="H42" s="105">
        <v>41</v>
      </c>
      <c r="I42" s="105">
        <f t="shared" si="3"/>
        <v>2025</v>
      </c>
      <c r="J42" s="55" t="str">
        <f t="shared" ca="1" si="7"/>
        <v/>
      </c>
      <c r="K42" s="55">
        <f t="shared" ca="1" si="8"/>
        <v>0</v>
      </c>
      <c r="L42" s="55">
        <f t="shared" ca="1" si="4"/>
        <v>0</v>
      </c>
      <c r="M42" s="55">
        <f t="shared" ca="1" si="9"/>
        <v>0</v>
      </c>
      <c r="N42" s="55">
        <f t="shared" ca="1" si="5"/>
        <v>0</v>
      </c>
    </row>
    <row r="43" spans="1:14" x14ac:dyDescent="0.2">
      <c r="A43" s="105">
        <v>42</v>
      </c>
      <c r="B43" s="105" t="str">
        <f>VLOOKUP( $A43, Aop!$A$2:$P$453, 2, 0)</f>
        <v>BSa</v>
      </c>
      <c r="C43" s="105">
        <v>25</v>
      </c>
      <c r="D43" s="105" t="str">
        <f t="shared" si="0"/>
        <v>1074440</v>
      </c>
      <c r="E43" s="105" t="str">
        <f t="shared" si="6"/>
        <v>4400855640000</v>
      </c>
      <c r="F43" s="105" t="b">
        <f t="shared" si="1"/>
        <v>0</v>
      </c>
      <c r="G43" s="139">
        <f t="shared" si="2"/>
        <v>45930</v>
      </c>
      <c r="H43" s="105">
        <v>42</v>
      </c>
      <c r="I43" s="105">
        <f t="shared" si="3"/>
        <v>2025</v>
      </c>
      <c r="J43" s="55" t="str">
        <f t="shared" ca="1" si="7"/>
        <v/>
      </c>
      <c r="K43" s="55">
        <f t="shared" ca="1" si="8"/>
        <v>0</v>
      </c>
      <c r="L43" s="55">
        <f t="shared" ca="1" si="4"/>
        <v>0</v>
      </c>
      <c r="M43" s="55">
        <f t="shared" ca="1" si="9"/>
        <v>0</v>
      </c>
      <c r="N43" s="55">
        <f t="shared" ca="1" si="5"/>
        <v>0</v>
      </c>
    </row>
    <row r="44" spans="1:14" x14ac:dyDescent="0.2">
      <c r="A44" s="105">
        <v>43</v>
      </c>
      <c r="B44" s="105" t="str">
        <f>VLOOKUP( $A44, Aop!$A$2:$P$453, 2, 0)</f>
        <v>BSa</v>
      </c>
      <c r="C44" s="105">
        <v>25</v>
      </c>
      <c r="D44" s="105" t="str">
        <f t="shared" si="0"/>
        <v>1074440</v>
      </c>
      <c r="E44" s="105" t="str">
        <f t="shared" si="6"/>
        <v>4400855640000</v>
      </c>
      <c r="F44" s="105" t="b">
        <f t="shared" si="1"/>
        <v>0</v>
      </c>
      <c r="G44" s="139">
        <f t="shared" si="2"/>
        <v>45930</v>
      </c>
      <c r="H44" s="105">
        <v>43</v>
      </c>
      <c r="I44" s="105">
        <f t="shared" si="3"/>
        <v>2025</v>
      </c>
      <c r="J44" s="55" t="str">
        <f t="shared" ca="1" si="7"/>
        <v/>
      </c>
      <c r="K44" s="55">
        <f t="shared" ca="1" si="8"/>
        <v>25603</v>
      </c>
      <c r="L44" s="55">
        <f t="shared" ca="1" si="4"/>
        <v>9327</v>
      </c>
      <c r="M44" s="55">
        <f t="shared" ca="1" si="9"/>
        <v>16276</v>
      </c>
      <c r="N44" s="55">
        <f t="shared" ca="1" si="5"/>
        <v>16276</v>
      </c>
    </row>
    <row r="45" spans="1:14" x14ac:dyDescent="0.2">
      <c r="A45" s="105">
        <v>44</v>
      </c>
      <c r="B45" s="105" t="str">
        <f>VLOOKUP( $A45, Aop!$A$2:$P$453, 2, 0)</f>
        <v>BSa</v>
      </c>
      <c r="C45" s="105">
        <v>25</v>
      </c>
      <c r="D45" s="105" t="str">
        <f t="shared" si="0"/>
        <v>1074440</v>
      </c>
      <c r="E45" s="105" t="str">
        <f t="shared" si="6"/>
        <v>4400855640000</v>
      </c>
      <c r="F45" s="105" t="b">
        <f t="shared" si="1"/>
        <v>0</v>
      </c>
      <c r="G45" s="139">
        <f t="shared" si="2"/>
        <v>45930</v>
      </c>
      <c r="H45" s="105">
        <v>44</v>
      </c>
      <c r="I45" s="105">
        <f t="shared" si="3"/>
        <v>2025</v>
      </c>
      <c r="J45" s="55" t="str">
        <f t="shared" ca="1" si="7"/>
        <v/>
      </c>
      <c r="K45" s="55">
        <f t="shared" ca="1" si="8"/>
        <v>180041621</v>
      </c>
      <c r="L45" s="55">
        <f t="shared" ca="1" si="4"/>
        <v>157471688</v>
      </c>
      <c r="M45" s="55">
        <f t="shared" ca="1" si="9"/>
        <v>22569933</v>
      </c>
      <c r="N45" s="55">
        <f t="shared" ca="1" si="5"/>
        <v>22569933</v>
      </c>
    </row>
    <row r="46" spans="1:14" x14ac:dyDescent="0.2">
      <c r="A46" s="105">
        <v>45</v>
      </c>
      <c r="B46" s="105" t="str">
        <f>VLOOKUP( $A46, Aop!$A$2:$P$453, 2, 0)</f>
        <v>BSa</v>
      </c>
      <c r="C46" s="105">
        <v>25</v>
      </c>
      <c r="D46" s="105" t="str">
        <f t="shared" si="0"/>
        <v>1074440</v>
      </c>
      <c r="E46" s="105" t="str">
        <f t="shared" si="6"/>
        <v>4400855640000</v>
      </c>
      <c r="F46" s="105" t="b">
        <f t="shared" si="1"/>
        <v>0</v>
      </c>
      <c r="G46" s="139">
        <f t="shared" si="2"/>
        <v>45930</v>
      </c>
      <c r="H46" s="105">
        <v>45</v>
      </c>
      <c r="I46" s="105">
        <f t="shared" si="3"/>
        <v>2025</v>
      </c>
      <c r="J46" s="55" t="str">
        <f t="shared" ca="1" si="7"/>
        <v/>
      </c>
      <c r="K46" s="55">
        <f t="shared" ca="1" si="8"/>
        <v>175292241</v>
      </c>
      <c r="L46" s="55">
        <f t="shared" ca="1" si="4"/>
        <v>153278050</v>
      </c>
      <c r="M46" s="55">
        <f t="shared" ca="1" si="9"/>
        <v>22014191</v>
      </c>
      <c r="N46" s="55">
        <f t="shared" ca="1" si="5"/>
        <v>22014191</v>
      </c>
    </row>
    <row r="47" spans="1:14" x14ac:dyDescent="0.2">
      <c r="A47" s="105">
        <v>46</v>
      </c>
      <c r="B47" s="105" t="str">
        <f>VLOOKUP( $A47, Aop!$A$2:$P$453, 2, 0)</f>
        <v>BSa</v>
      </c>
      <c r="C47" s="105">
        <v>25</v>
      </c>
      <c r="D47" s="105" t="str">
        <f t="shared" si="0"/>
        <v>1074440</v>
      </c>
      <c r="E47" s="105" t="str">
        <f t="shared" si="6"/>
        <v>4400855640000</v>
      </c>
      <c r="F47" s="105" t="b">
        <f t="shared" si="1"/>
        <v>0</v>
      </c>
      <c r="G47" s="139">
        <f t="shared" si="2"/>
        <v>45930</v>
      </c>
      <c r="H47" s="105">
        <v>46</v>
      </c>
      <c r="I47" s="105">
        <f t="shared" si="3"/>
        <v>2025</v>
      </c>
      <c r="J47" s="55" t="str">
        <f t="shared" ca="1" si="7"/>
        <v/>
      </c>
      <c r="K47" s="55">
        <f t="shared" ca="1" si="8"/>
        <v>20682978</v>
      </c>
      <c r="L47" s="55">
        <f t="shared" ca="1" si="4"/>
        <v>147439</v>
      </c>
      <c r="M47" s="55">
        <f t="shared" ca="1" si="9"/>
        <v>20535539</v>
      </c>
      <c r="N47" s="55">
        <f t="shared" ca="1" si="5"/>
        <v>20535539</v>
      </c>
    </row>
    <row r="48" spans="1:14" x14ac:dyDescent="0.2">
      <c r="A48" s="105">
        <v>47</v>
      </c>
      <c r="B48" s="105" t="str">
        <f>VLOOKUP( $A48, Aop!$A$2:$P$453, 2, 0)</f>
        <v>BSa</v>
      </c>
      <c r="C48" s="105">
        <v>25</v>
      </c>
      <c r="D48" s="105" t="str">
        <f t="shared" si="0"/>
        <v>1074440</v>
      </c>
      <c r="E48" s="105" t="str">
        <f t="shared" si="6"/>
        <v>4400855640000</v>
      </c>
      <c r="F48" s="105" t="b">
        <f t="shared" si="1"/>
        <v>0</v>
      </c>
      <c r="G48" s="139">
        <f t="shared" si="2"/>
        <v>45930</v>
      </c>
      <c r="H48" s="105">
        <v>47</v>
      </c>
      <c r="I48" s="105">
        <f t="shared" si="3"/>
        <v>2025</v>
      </c>
      <c r="J48" s="55" t="str">
        <f t="shared" ca="1" si="7"/>
        <v/>
      </c>
      <c r="K48" s="55">
        <f t="shared" ca="1" si="8"/>
        <v>154304639</v>
      </c>
      <c r="L48" s="55">
        <f t="shared" ca="1" si="4"/>
        <v>153092676</v>
      </c>
      <c r="M48" s="55">
        <f t="shared" ca="1" si="9"/>
        <v>1211963</v>
      </c>
      <c r="N48" s="55">
        <f t="shared" ca="1" si="5"/>
        <v>1211963</v>
      </c>
    </row>
    <row r="49" spans="1:14" x14ac:dyDescent="0.2">
      <c r="A49" s="105">
        <v>48</v>
      </c>
      <c r="B49" s="105" t="str">
        <f>VLOOKUP( $A49, Aop!$A$2:$P$453, 2, 0)</f>
        <v>BSa</v>
      </c>
      <c r="C49" s="105">
        <v>25</v>
      </c>
      <c r="D49" s="105" t="str">
        <f t="shared" si="0"/>
        <v>1074440</v>
      </c>
      <c r="E49" s="105" t="str">
        <f t="shared" si="6"/>
        <v>4400855640000</v>
      </c>
      <c r="F49" s="105" t="b">
        <f t="shared" si="1"/>
        <v>0</v>
      </c>
      <c r="G49" s="139">
        <f t="shared" si="2"/>
        <v>45930</v>
      </c>
      <c r="H49" s="105">
        <v>48</v>
      </c>
      <c r="I49" s="105">
        <f t="shared" si="3"/>
        <v>2025</v>
      </c>
      <c r="J49" s="55" t="str">
        <f t="shared" ca="1" si="7"/>
        <v/>
      </c>
      <c r="K49" s="55">
        <f t="shared" ca="1" si="8"/>
        <v>0</v>
      </c>
      <c r="L49" s="55">
        <f t="shared" ca="1" si="4"/>
        <v>0</v>
      </c>
      <c r="M49" s="55">
        <f t="shared" ca="1" si="9"/>
        <v>0</v>
      </c>
      <c r="N49" s="55">
        <f t="shared" ca="1" si="5"/>
        <v>0</v>
      </c>
    </row>
    <row r="50" spans="1:14" x14ac:dyDescent="0.2">
      <c r="A50" s="105">
        <v>49</v>
      </c>
      <c r="B50" s="105" t="str">
        <f>VLOOKUP( $A50, Aop!$A$2:$P$453, 2, 0)</f>
        <v>BSa</v>
      </c>
      <c r="C50" s="105">
        <v>25</v>
      </c>
      <c r="D50" s="105" t="str">
        <f t="shared" si="0"/>
        <v>1074440</v>
      </c>
      <c r="E50" s="105" t="str">
        <f t="shared" si="6"/>
        <v>4400855640000</v>
      </c>
      <c r="F50" s="105" t="b">
        <f t="shared" si="1"/>
        <v>0</v>
      </c>
      <c r="G50" s="139">
        <f t="shared" si="2"/>
        <v>45930</v>
      </c>
      <c r="H50" s="105">
        <v>49</v>
      </c>
      <c r="I50" s="105">
        <f t="shared" si="3"/>
        <v>2025</v>
      </c>
      <c r="J50" s="55" t="str">
        <f t="shared" ca="1" si="7"/>
        <v/>
      </c>
      <c r="K50" s="55">
        <f t="shared" ca="1" si="8"/>
        <v>0</v>
      </c>
      <c r="L50" s="55">
        <f t="shared" ca="1" si="4"/>
        <v>0</v>
      </c>
      <c r="M50" s="55">
        <f t="shared" ca="1" si="9"/>
        <v>0</v>
      </c>
      <c r="N50" s="55">
        <f t="shared" ca="1" si="5"/>
        <v>0</v>
      </c>
    </row>
    <row r="51" spans="1:14" x14ac:dyDescent="0.2">
      <c r="A51" s="105">
        <v>50</v>
      </c>
      <c r="B51" s="105" t="str">
        <f>VLOOKUP( $A51, Aop!$A$2:$P$453, 2, 0)</f>
        <v>BSa</v>
      </c>
      <c r="C51" s="105">
        <v>25</v>
      </c>
      <c r="D51" s="105" t="str">
        <f t="shared" si="0"/>
        <v>1074440</v>
      </c>
      <c r="E51" s="105" t="str">
        <f t="shared" si="6"/>
        <v>4400855640000</v>
      </c>
      <c r="F51" s="105" t="b">
        <f t="shared" si="1"/>
        <v>0</v>
      </c>
      <c r="G51" s="139">
        <f t="shared" si="2"/>
        <v>45930</v>
      </c>
      <c r="H51" s="105">
        <v>50</v>
      </c>
      <c r="I51" s="105">
        <f t="shared" si="3"/>
        <v>2025</v>
      </c>
      <c r="J51" s="55" t="str">
        <f t="shared" ca="1" si="7"/>
        <v/>
      </c>
      <c r="K51" s="55">
        <f t="shared" ca="1" si="8"/>
        <v>261814</v>
      </c>
      <c r="L51" s="55">
        <f t="shared" ca="1" si="4"/>
        <v>37935</v>
      </c>
      <c r="M51" s="55">
        <f t="shared" ca="1" si="9"/>
        <v>223879</v>
      </c>
      <c r="N51" s="55">
        <f t="shared" ca="1" si="5"/>
        <v>223879</v>
      </c>
    </row>
    <row r="52" spans="1:14" x14ac:dyDescent="0.2">
      <c r="A52" s="105">
        <v>51</v>
      </c>
      <c r="B52" s="105" t="str">
        <f>VLOOKUP( $A52, Aop!$A$2:$P$453, 2, 0)</f>
        <v>BSa</v>
      </c>
      <c r="C52" s="105">
        <v>25</v>
      </c>
      <c r="D52" s="105" t="str">
        <f t="shared" si="0"/>
        <v>1074440</v>
      </c>
      <c r="E52" s="105" t="str">
        <f t="shared" si="6"/>
        <v>4400855640000</v>
      </c>
      <c r="F52" s="105" t="b">
        <f t="shared" si="1"/>
        <v>0</v>
      </c>
      <c r="G52" s="139">
        <f t="shared" si="2"/>
        <v>45930</v>
      </c>
      <c r="H52" s="105">
        <v>51</v>
      </c>
      <c r="I52" s="105">
        <f t="shared" si="3"/>
        <v>2025</v>
      </c>
      <c r="J52" s="55" t="str">
        <f t="shared" ca="1" si="7"/>
        <v/>
      </c>
      <c r="K52" s="55">
        <f t="shared" ca="1" si="8"/>
        <v>42810</v>
      </c>
      <c r="L52" s="55">
        <f t="shared" ca="1" si="4"/>
        <v>0</v>
      </c>
      <c r="M52" s="55">
        <f t="shared" ca="1" si="9"/>
        <v>42810</v>
      </c>
      <c r="N52" s="55">
        <f t="shared" ca="1" si="5"/>
        <v>42810</v>
      </c>
    </row>
    <row r="53" spans="1:14" x14ac:dyDescent="0.2">
      <c r="A53" s="105">
        <v>52</v>
      </c>
      <c r="B53" s="105" t="str">
        <f>VLOOKUP( $A53, Aop!$A$2:$P$453, 2, 0)</f>
        <v>BSa</v>
      </c>
      <c r="C53" s="105">
        <v>25</v>
      </c>
      <c r="D53" s="105" t="str">
        <f t="shared" si="0"/>
        <v>1074440</v>
      </c>
      <c r="E53" s="105" t="str">
        <f t="shared" si="6"/>
        <v>4400855640000</v>
      </c>
      <c r="F53" s="105" t="b">
        <f t="shared" si="1"/>
        <v>0</v>
      </c>
      <c r="G53" s="139">
        <f t="shared" si="2"/>
        <v>45930</v>
      </c>
      <c r="H53" s="105">
        <v>52</v>
      </c>
      <c r="I53" s="105">
        <f t="shared" si="3"/>
        <v>2025</v>
      </c>
      <c r="J53" s="55" t="str">
        <f t="shared" ca="1" si="7"/>
        <v/>
      </c>
      <c r="K53" s="55">
        <f t="shared" ca="1" si="8"/>
        <v>4193638</v>
      </c>
      <c r="L53" s="55">
        <f t="shared" ca="1" si="4"/>
        <v>4193638</v>
      </c>
      <c r="M53" s="55">
        <f t="shared" ca="1" si="9"/>
        <v>0</v>
      </c>
      <c r="N53" s="55">
        <f t="shared" ca="1" si="5"/>
        <v>0</v>
      </c>
    </row>
    <row r="54" spans="1:14" x14ac:dyDescent="0.2">
      <c r="A54" s="105">
        <v>53</v>
      </c>
      <c r="B54" s="105" t="str">
        <f>VLOOKUP( $A54, Aop!$A$2:$P$453, 2, 0)</f>
        <v>BSa</v>
      </c>
      <c r="C54" s="105">
        <v>25</v>
      </c>
      <c r="D54" s="105" t="str">
        <f t="shared" si="0"/>
        <v>1074440</v>
      </c>
      <c r="E54" s="105" t="str">
        <f t="shared" si="6"/>
        <v>4400855640000</v>
      </c>
      <c r="F54" s="105" t="b">
        <f t="shared" si="1"/>
        <v>0</v>
      </c>
      <c r="G54" s="139">
        <f t="shared" si="2"/>
        <v>45930</v>
      </c>
      <c r="H54" s="105">
        <v>53</v>
      </c>
      <c r="I54" s="105">
        <f t="shared" si="3"/>
        <v>2025</v>
      </c>
      <c r="J54" s="55" t="str">
        <f t="shared" ca="1" si="7"/>
        <v/>
      </c>
      <c r="K54" s="55">
        <f t="shared" ca="1" si="8"/>
        <v>4193638</v>
      </c>
      <c r="L54" s="55">
        <f t="shared" ca="1" si="4"/>
        <v>4193638</v>
      </c>
      <c r="M54" s="55">
        <f t="shared" ca="1" si="9"/>
        <v>0</v>
      </c>
      <c r="N54" s="55">
        <f t="shared" ca="1" si="5"/>
        <v>0</v>
      </c>
    </row>
    <row r="55" spans="1:14" x14ac:dyDescent="0.2">
      <c r="A55" s="105">
        <v>54</v>
      </c>
      <c r="B55" s="105" t="str">
        <f>VLOOKUP( $A55, Aop!$A$2:$P$453, 2, 0)</f>
        <v>BSa</v>
      </c>
      <c r="C55" s="105">
        <v>25</v>
      </c>
      <c r="D55" s="105" t="str">
        <f t="shared" si="0"/>
        <v>1074440</v>
      </c>
      <c r="E55" s="105" t="str">
        <f t="shared" si="6"/>
        <v>4400855640000</v>
      </c>
      <c r="F55" s="105" t="b">
        <f t="shared" si="1"/>
        <v>0</v>
      </c>
      <c r="G55" s="139">
        <f t="shared" si="2"/>
        <v>45930</v>
      </c>
      <c r="H55" s="105">
        <v>54</v>
      </c>
      <c r="I55" s="105">
        <f t="shared" si="3"/>
        <v>2025</v>
      </c>
      <c r="J55" s="55" t="str">
        <f t="shared" ca="1" si="7"/>
        <v/>
      </c>
      <c r="K55" s="55">
        <f t="shared" ca="1" si="8"/>
        <v>0</v>
      </c>
      <c r="L55" s="55">
        <f t="shared" ca="1" si="4"/>
        <v>0</v>
      </c>
      <c r="M55" s="55">
        <f t="shared" ca="1" si="9"/>
        <v>0</v>
      </c>
      <c r="N55" s="55">
        <f t="shared" ca="1" si="5"/>
        <v>0</v>
      </c>
    </row>
    <row r="56" spans="1:14" x14ac:dyDescent="0.2">
      <c r="A56" s="105">
        <v>55</v>
      </c>
      <c r="B56" s="105" t="str">
        <f>VLOOKUP( $A56, Aop!$A$2:$P$453, 2, 0)</f>
        <v>BSa</v>
      </c>
      <c r="C56" s="105">
        <v>25</v>
      </c>
      <c r="D56" s="105" t="str">
        <f t="shared" si="0"/>
        <v>1074440</v>
      </c>
      <c r="E56" s="105" t="str">
        <f t="shared" si="6"/>
        <v>4400855640000</v>
      </c>
      <c r="F56" s="105" t="b">
        <f t="shared" si="1"/>
        <v>0</v>
      </c>
      <c r="G56" s="139">
        <f t="shared" si="2"/>
        <v>45930</v>
      </c>
      <c r="H56" s="105">
        <v>55</v>
      </c>
      <c r="I56" s="105">
        <f t="shared" si="3"/>
        <v>2025</v>
      </c>
      <c r="J56" s="55" t="str">
        <f t="shared" ca="1" si="7"/>
        <v/>
      </c>
      <c r="K56" s="55">
        <f t="shared" ca="1" si="8"/>
        <v>4193638</v>
      </c>
      <c r="L56" s="55">
        <f t="shared" ca="1" si="4"/>
        <v>4193638</v>
      </c>
      <c r="M56" s="55">
        <f t="shared" ca="1" si="9"/>
        <v>0</v>
      </c>
      <c r="N56" s="55">
        <f t="shared" ca="1" si="5"/>
        <v>0</v>
      </c>
    </row>
    <row r="57" spans="1:14" x14ac:dyDescent="0.2">
      <c r="A57" s="105">
        <v>56</v>
      </c>
      <c r="B57" s="105" t="str">
        <f>VLOOKUP( $A57, Aop!$A$2:$P$453, 2, 0)</f>
        <v>BSa</v>
      </c>
      <c r="C57" s="105">
        <v>25</v>
      </c>
      <c r="D57" s="105" t="str">
        <f t="shared" si="0"/>
        <v>1074440</v>
      </c>
      <c r="E57" s="105" t="str">
        <f t="shared" si="6"/>
        <v>4400855640000</v>
      </c>
      <c r="F57" s="105" t="b">
        <f t="shared" si="1"/>
        <v>0</v>
      </c>
      <c r="G57" s="139">
        <f t="shared" si="2"/>
        <v>45930</v>
      </c>
      <c r="H57" s="105">
        <v>56</v>
      </c>
      <c r="I57" s="105">
        <f t="shared" si="3"/>
        <v>2025</v>
      </c>
      <c r="J57" s="55" t="str">
        <f t="shared" ca="1" si="7"/>
        <v/>
      </c>
      <c r="K57" s="55">
        <f t="shared" ca="1" si="8"/>
        <v>0</v>
      </c>
      <c r="L57" s="55">
        <f t="shared" ca="1" si="4"/>
        <v>0</v>
      </c>
      <c r="M57" s="55">
        <f t="shared" ca="1" si="9"/>
        <v>0</v>
      </c>
      <c r="N57" s="55">
        <f t="shared" ca="1" si="5"/>
        <v>0</v>
      </c>
    </row>
    <row r="58" spans="1:14" x14ac:dyDescent="0.2">
      <c r="A58" s="105">
        <v>57</v>
      </c>
      <c r="B58" s="105" t="str">
        <f>VLOOKUP( $A58, Aop!$A$2:$P$453, 2, 0)</f>
        <v>BSa</v>
      </c>
      <c r="C58" s="105">
        <v>25</v>
      </c>
      <c r="D58" s="105" t="str">
        <f t="shared" si="0"/>
        <v>1074440</v>
      </c>
      <c r="E58" s="105" t="str">
        <f t="shared" si="6"/>
        <v>4400855640000</v>
      </c>
      <c r="F58" s="105" t="b">
        <f t="shared" si="1"/>
        <v>0</v>
      </c>
      <c r="G58" s="139">
        <f t="shared" si="2"/>
        <v>45930</v>
      </c>
      <c r="H58" s="105">
        <v>57</v>
      </c>
      <c r="I58" s="105">
        <f t="shared" si="3"/>
        <v>2025</v>
      </c>
      <c r="J58" s="55" t="str">
        <f t="shared" ca="1" si="7"/>
        <v/>
      </c>
      <c r="K58" s="55">
        <f t="shared" ca="1" si="8"/>
        <v>0</v>
      </c>
      <c r="L58" s="55">
        <f t="shared" ca="1" si="4"/>
        <v>0</v>
      </c>
      <c r="M58" s="55">
        <f t="shared" ca="1" si="9"/>
        <v>0</v>
      </c>
      <c r="N58" s="55">
        <f t="shared" ca="1" si="5"/>
        <v>0</v>
      </c>
    </row>
    <row r="59" spans="1:14" x14ac:dyDescent="0.2">
      <c r="A59" s="105">
        <v>58</v>
      </c>
      <c r="B59" s="105" t="str">
        <f>VLOOKUP( $A59, Aop!$A$2:$P$453, 2, 0)</f>
        <v>BSa</v>
      </c>
      <c r="C59" s="105">
        <v>25</v>
      </c>
      <c r="D59" s="105" t="str">
        <f t="shared" si="0"/>
        <v>1074440</v>
      </c>
      <c r="E59" s="105" t="str">
        <f t="shared" si="6"/>
        <v>4400855640000</v>
      </c>
      <c r="F59" s="105" t="b">
        <f t="shared" si="1"/>
        <v>0</v>
      </c>
      <c r="G59" s="139">
        <f t="shared" si="2"/>
        <v>45930</v>
      </c>
      <c r="H59" s="105">
        <v>58</v>
      </c>
      <c r="I59" s="105">
        <f t="shared" si="3"/>
        <v>2025</v>
      </c>
      <c r="J59" s="55" t="str">
        <f t="shared" ca="1" si="7"/>
        <v/>
      </c>
      <c r="K59" s="55">
        <f t="shared" ca="1" si="8"/>
        <v>0</v>
      </c>
      <c r="L59" s="55">
        <f t="shared" ca="1" si="4"/>
        <v>0</v>
      </c>
      <c r="M59" s="55">
        <f t="shared" ca="1" si="9"/>
        <v>0</v>
      </c>
      <c r="N59" s="55">
        <f t="shared" ca="1" si="5"/>
        <v>0</v>
      </c>
    </row>
    <row r="60" spans="1:14" x14ac:dyDescent="0.2">
      <c r="A60" s="105">
        <v>59</v>
      </c>
      <c r="B60" s="105" t="str">
        <f>VLOOKUP( $A60, Aop!$A$2:$P$453, 2, 0)</f>
        <v>BSa</v>
      </c>
      <c r="C60" s="105">
        <v>25</v>
      </c>
      <c r="D60" s="105" t="str">
        <f t="shared" si="0"/>
        <v>1074440</v>
      </c>
      <c r="E60" s="105" t="str">
        <f t="shared" si="6"/>
        <v>4400855640000</v>
      </c>
      <c r="F60" s="105" t="b">
        <f t="shared" si="1"/>
        <v>0</v>
      </c>
      <c r="G60" s="139">
        <f t="shared" si="2"/>
        <v>45930</v>
      </c>
      <c r="H60" s="105">
        <v>59</v>
      </c>
      <c r="I60" s="105">
        <f t="shared" si="3"/>
        <v>2025</v>
      </c>
      <c r="J60" s="55" t="str">
        <f t="shared" ca="1" si="7"/>
        <v/>
      </c>
      <c r="K60" s="55">
        <f t="shared" ca="1" si="8"/>
        <v>0</v>
      </c>
      <c r="L60" s="55">
        <f t="shared" ca="1" si="4"/>
        <v>0</v>
      </c>
      <c r="M60" s="55">
        <f t="shared" ca="1" si="9"/>
        <v>0</v>
      </c>
      <c r="N60" s="55">
        <f t="shared" ca="1" si="5"/>
        <v>0</v>
      </c>
    </row>
    <row r="61" spans="1:14" x14ac:dyDescent="0.2">
      <c r="A61" s="105">
        <v>60</v>
      </c>
      <c r="B61" s="105" t="str">
        <f>VLOOKUP( $A61, Aop!$A$2:$P$453, 2, 0)</f>
        <v>BSa</v>
      </c>
      <c r="C61" s="105">
        <v>25</v>
      </c>
      <c r="D61" s="105" t="str">
        <f t="shared" si="0"/>
        <v>1074440</v>
      </c>
      <c r="E61" s="105" t="str">
        <f t="shared" si="6"/>
        <v>4400855640000</v>
      </c>
      <c r="F61" s="105" t="b">
        <f t="shared" si="1"/>
        <v>0</v>
      </c>
      <c r="G61" s="139">
        <f t="shared" si="2"/>
        <v>45930</v>
      </c>
      <c r="H61" s="105">
        <v>60</v>
      </c>
      <c r="I61" s="105">
        <f t="shared" si="3"/>
        <v>2025</v>
      </c>
      <c r="J61" s="55" t="str">
        <f t="shared" ca="1" si="7"/>
        <v/>
      </c>
      <c r="K61" s="55">
        <f t="shared" ca="1" si="8"/>
        <v>0</v>
      </c>
      <c r="L61" s="55">
        <f t="shared" ca="1" si="4"/>
        <v>0</v>
      </c>
      <c r="M61" s="55">
        <f t="shared" ca="1" si="9"/>
        <v>0</v>
      </c>
      <c r="N61" s="55">
        <f t="shared" ca="1" si="5"/>
        <v>0</v>
      </c>
    </row>
    <row r="62" spans="1:14" x14ac:dyDescent="0.2">
      <c r="A62" s="105">
        <v>61</v>
      </c>
      <c r="B62" s="105" t="str">
        <f>VLOOKUP( $A62, Aop!$A$2:$P$453, 2, 0)</f>
        <v>BSa</v>
      </c>
      <c r="C62" s="105">
        <v>25</v>
      </c>
      <c r="D62" s="105" t="str">
        <f t="shared" si="0"/>
        <v>1074440</v>
      </c>
      <c r="E62" s="105" t="str">
        <f t="shared" si="6"/>
        <v>4400855640000</v>
      </c>
      <c r="F62" s="105" t="b">
        <f t="shared" si="1"/>
        <v>0</v>
      </c>
      <c r="G62" s="139">
        <f t="shared" si="2"/>
        <v>45930</v>
      </c>
      <c r="H62" s="105">
        <v>61</v>
      </c>
      <c r="I62" s="105">
        <f t="shared" si="3"/>
        <v>2025</v>
      </c>
      <c r="J62" s="55" t="str">
        <f t="shared" ca="1" si="7"/>
        <v/>
      </c>
      <c r="K62" s="55">
        <f t="shared" ca="1" si="8"/>
        <v>463566</v>
      </c>
      <c r="L62" s="55">
        <f t="shared" ca="1" si="4"/>
        <v>0</v>
      </c>
      <c r="M62" s="55">
        <f t="shared" ca="1" si="9"/>
        <v>463566</v>
      </c>
      <c r="N62" s="55">
        <f t="shared" ca="1" si="5"/>
        <v>463566</v>
      </c>
    </row>
    <row r="63" spans="1:14" x14ac:dyDescent="0.2">
      <c r="A63" s="105">
        <v>62</v>
      </c>
      <c r="B63" s="105" t="str">
        <f>VLOOKUP( $A63, Aop!$A$2:$P$453, 2, 0)</f>
        <v>BSa</v>
      </c>
      <c r="C63" s="105">
        <v>25</v>
      </c>
      <c r="D63" s="105" t="str">
        <f t="shared" si="0"/>
        <v>1074440</v>
      </c>
      <c r="E63" s="105" t="str">
        <f t="shared" si="6"/>
        <v>4400855640000</v>
      </c>
      <c r="F63" s="105" t="b">
        <f t="shared" si="1"/>
        <v>0</v>
      </c>
      <c r="G63" s="139">
        <f t="shared" si="2"/>
        <v>45930</v>
      </c>
      <c r="H63" s="105">
        <v>62</v>
      </c>
      <c r="I63" s="105">
        <f t="shared" si="3"/>
        <v>2025</v>
      </c>
      <c r="J63" s="55" t="str">
        <f t="shared" ca="1" si="7"/>
        <v/>
      </c>
      <c r="K63" s="55">
        <f t="shared" ca="1" si="8"/>
        <v>0</v>
      </c>
      <c r="L63" s="55">
        <f t="shared" ca="1" si="4"/>
        <v>0</v>
      </c>
      <c r="M63" s="55">
        <f t="shared" ca="1" si="9"/>
        <v>0</v>
      </c>
      <c r="N63" s="55">
        <f t="shared" ca="1" si="5"/>
        <v>0</v>
      </c>
    </row>
    <row r="64" spans="1:14" x14ac:dyDescent="0.2">
      <c r="A64" s="105">
        <v>63</v>
      </c>
      <c r="B64" s="105" t="str">
        <f>VLOOKUP( $A64, Aop!$A$2:$P$453, 2, 0)</f>
        <v>BSa</v>
      </c>
      <c r="C64" s="105">
        <v>25</v>
      </c>
      <c r="D64" s="105" t="str">
        <f t="shared" si="0"/>
        <v>1074440</v>
      </c>
      <c r="E64" s="105" t="str">
        <f t="shared" si="6"/>
        <v>4400855640000</v>
      </c>
      <c r="F64" s="105" t="b">
        <f t="shared" si="1"/>
        <v>0</v>
      </c>
      <c r="G64" s="139">
        <f t="shared" si="2"/>
        <v>45930</v>
      </c>
      <c r="H64" s="105">
        <v>63</v>
      </c>
      <c r="I64" s="105">
        <f t="shared" si="3"/>
        <v>2025</v>
      </c>
      <c r="J64" s="55" t="str">
        <f t="shared" ca="1" si="7"/>
        <v/>
      </c>
      <c r="K64" s="55">
        <f t="shared" ca="1" si="8"/>
        <v>463566</v>
      </c>
      <c r="L64" s="55">
        <f t="shared" ca="1" si="4"/>
        <v>0</v>
      </c>
      <c r="M64" s="55">
        <f t="shared" ca="1" si="9"/>
        <v>463566</v>
      </c>
      <c r="N64" s="55">
        <f t="shared" ca="1" si="5"/>
        <v>463566</v>
      </c>
    </row>
    <row r="65" spans="1:14" x14ac:dyDescent="0.2">
      <c r="A65" s="105">
        <v>64</v>
      </c>
      <c r="B65" s="105" t="str">
        <f>VLOOKUP( $A65, Aop!$A$2:$P$453, 2, 0)</f>
        <v>BSa</v>
      </c>
      <c r="C65" s="105">
        <v>25</v>
      </c>
      <c r="D65" s="105" t="str">
        <f t="shared" si="0"/>
        <v>1074440</v>
      </c>
      <c r="E65" s="105" t="str">
        <f t="shared" si="6"/>
        <v>4400855640000</v>
      </c>
      <c r="F65" s="105" t="b">
        <f t="shared" si="1"/>
        <v>0</v>
      </c>
      <c r="G65" s="139">
        <f t="shared" si="2"/>
        <v>45930</v>
      </c>
      <c r="H65" s="105">
        <v>64</v>
      </c>
      <c r="I65" s="105">
        <f t="shared" si="3"/>
        <v>2025</v>
      </c>
      <c r="J65" s="55" t="str">
        <f t="shared" ca="1" si="7"/>
        <v/>
      </c>
      <c r="K65" s="55">
        <f t="shared" ca="1" si="8"/>
        <v>0</v>
      </c>
      <c r="L65" s="55">
        <f t="shared" ca="1" si="4"/>
        <v>0</v>
      </c>
      <c r="M65" s="55">
        <f t="shared" ca="1" si="9"/>
        <v>0</v>
      </c>
      <c r="N65" s="55">
        <f t="shared" ca="1" si="5"/>
        <v>0</v>
      </c>
    </row>
    <row r="66" spans="1:14" x14ac:dyDescent="0.2">
      <c r="A66" s="105">
        <v>65</v>
      </c>
      <c r="B66" s="55" t="str">
        <f>VLOOKUP( $A66, Aop!$A$2:$P$453, 2, 0)</f>
        <v>BSa</v>
      </c>
      <c r="C66" s="105">
        <v>25</v>
      </c>
      <c r="D66" s="55" t="str">
        <f>Podatak_MB</f>
        <v>1074440</v>
      </c>
      <c r="E66" s="55" t="str">
        <f>Podatak_JIB</f>
        <v>4400855640000</v>
      </c>
      <c r="F66" s="55" t="b">
        <f>Konsolidovan_izvjestaj</f>
        <v>0</v>
      </c>
      <c r="G66" s="139">
        <f>Datum_Broj</f>
        <v>45930</v>
      </c>
      <c r="H66" s="105">
        <v>65</v>
      </c>
      <c r="I66" s="55">
        <f>Godina</f>
        <v>2025</v>
      </c>
      <c r="J66" s="55" t="str">
        <f t="shared" ca="1" si="7"/>
        <v/>
      </c>
      <c r="K66" s="55">
        <f t="shared" ca="1" si="8"/>
        <v>92176</v>
      </c>
      <c r="L66" s="55">
        <f t="shared" ref="L66:L131" ca="1" si="10">IF( VLOOKUP( $H66, INDIRECT( "Lookup_" &amp; $B66), IF( LEFT( $B66, 2) = "BS", R$2, R$1), 0) = "", "", VLOOKUP( $H66, INDIRECT( "Lookup_" &amp; $B66), IF( $B66 = "BSa", R$2, R$1), 0))</f>
        <v>0</v>
      </c>
      <c r="M66" s="55">
        <f t="shared" ca="1" si="9"/>
        <v>92176</v>
      </c>
      <c r="N66" s="55">
        <f t="shared" ref="N66:N129" ca="1" si="11">IF( VLOOKUP( $H66, INDIRECT( "Lookup_" &amp; $B66), IF( LEFT( $B66, 2) = "BS", S$2, S$1), 0) = "", "", VLOOKUP( $H66, INDIRECT( "Lookup_" &amp; $B66), IF( LEFT( $B66, 2) = "BS", S$2, S$1), 0))</f>
        <v>92176</v>
      </c>
    </row>
    <row r="67" spans="1:14" x14ac:dyDescent="0.2">
      <c r="A67" s="105">
        <v>66</v>
      </c>
      <c r="B67" s="55" t="str">
        <f>VLOOKUP( $A67, Aop!$A$2:$P$453, 2, 0)</f>
        <v>BSa</v>
      </c>
      <c r="C67" s="105">
        <v>25</v>
      </c>
      <c r="D67" s="55" t="str">
        <f>Podatak_MB</f>
        <v>1074440</v>
      </c>
      <c r="E67" s="55" t="str">
        <f>Podatak_JIB</f>
        <v>4400855640000</v>
      </c>
      <c r="F67" s="55" t="b">
        <f>Konsolidovan_izvjestaj</f>
        <v>0</v>
      </c>
      <c r="G67" s="139">
        <f>Datum_Broj</f>
        <v>45930</v>
      </c>
      <c r="H67" s="105">
        <v>66</v>
      </c>
      <c r="I67" s="55">
        <f>Godina</f>
        <v>2025</v>
      </c>
      <c r="J67" s="55" t="str">
        <f t="shared" ca="1" si="7"/>
        <v/>
      </c>
      <c r="K67" s="55">
        <f t="shared" ca="1" si="8"/>
        <v>1366532550</v>
      </c>
      <c r="L67" s="55">
        <f ca="1">IF( VLOOKUP( $H67, INDIRECT( "Lookup_" &amp; $B67), IF( LEFT( $B67, 2) = "BS", R$2, R$1), 0) = "", "", VLOOKUP( $H67, INDIRECT( "Lookup_" &amp; $B67), IF( $B67 = "BSa", R$2, R$1), 0))</f>
        <v>851118732</v>
      </c>
      <c r="M67" s="55">
        <f t="shared" ca="1" si="9"/>
        <v>515413818</v>
      </c>
      <c r="N67" s="55">
        <f t="shared" ca="1" si="11"/>
        <v>515413818</v>
      </c>
    </row>
    <row r="68" spans="1:14" x14ac:dyDescent="0.2">
      <c r="A68" s="105">
        <v>67</v>
      </c>
      <c r="B68" s="105" t="str">
        <f>VLOOKUP( $A68, Aop!$A$2:$P$453, 2, 0)</f>
        <v>BSa</v>
      </c>
      <c r="C68" s="105">
        <v>25</v>
      </c>
      <c r="D68" s="105" t="str">
        <f t="shared" ref="D68:D129" si="12">Podatak_MB</f>
        <v>1074440</v>
      </c>
      <c r="E68" s="105" t="str">
        <f t="shared" ref="E68:E129" si="13">Podatak_JIB</f>
        <v>4400855640000</v>
      </c>
      <c r="F68" s="105" t="b">
        <f t="shared" ref="F68:F131" si="14">Konsolidovan_izvjestaj</f>
        <v>0</v>
      </c>
      <c r="G68" s="139">
        <f t="shared" ref="G68:G131" si="15">Datum_Broj</f>
        <v>45930</v>
      </c>
      <c r="H68" s="105">
        <v>67</v>
      </c>
      <c r="I68" s="105">
        <f t="shared" ref="I68:I129" si="16">Godina</f>
        <v>2025</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116246129</v>
      </c>
      <c r="L68" s="55">
        <f t="shared" ca="1" si="10"/>
        <v>0</v>
      </c>
      <c r="M68" s="55">
        <f t="shared" ref="M68:M131" ca="1" si="19">IF( VLOOKUP( $H68, INDIRECT( "Lookup_" &amp; $B68), IF( LEFT( $B68, 2) = "BS", S$2, S$1), 0) = "", "", VLOOKUP( $H68, INDIRECT( "Lookup_" &amp; $B68), IF( LEFT( $B68, 2) = "BS", S$2, S$1), 0))</f>
        <v>116246129</v>
      </c>
      <c r="N68" s="55">
        <f t="shared" ca="1" si="11"/>
        <v>116246129</v>
      </c>
    </row>
    <row r="69" spans="1:14" x14ac:dyDescent="0.2">
      <c r="A69" s="105">
        <v>68</v>
      </c>
      <c r="B69" s="105" t="str">
        <f>VLOOKUP( $A69, Aop!$A$2:$P$453, 2, 0)</f>
        <v>BSp</v>
      </c>
      <c r="C69" s="105">
        <v>26</v>
      </c>
      <c r="D69" s="105" t="str">
        <f>Podatak_MB</f>
        <v>1074440</v>
      </c>
      <c r="E69" s="105" t="str">
        <f>Podatak_JIB</f>
        <v>4400855640000</v>
      </c>
      <c r="F69" s="105" t="b">
        <f>Konsolidovan_izvjestaj</f>
        <v>0</v>
      </c>
      <c r="G69" s="139">
        <f>Datum_Broj</f>
        <v>45930</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239844692</v>
      </c>
      <c r="N69" s="55">
        <f t="shared" ca="1" si="11"/>
        <v>239844692</v>
      </c>
    </row>
    <row r="70" spans="1:14" x14ac:dyDescent="0.2">
      <c r="A70" s="105">
        <v>69</v>
      </c>
      <c r="B70" s="105" t="str">
        <f>VLOOKUP( $A70, Aop!$A$2:$P$453, 2, 0)</f>
        <v>BSp</v>
      </c>
      <c r="C70" s="105">
        <v>26</v>
      </c>
      <c r="D70" s="105" t="str">
        <f t="shared" si="12"/>
        <v>1074440</v>
      </c>
      <c r="E70" s="105" t="str">
        <f t="shared" si="13"/>
        <v>4400855640000</v>
      </c>
      <c r="F70" s="105" t="b">
        <f t="shared" si="14"/>
        <v>0</v>
      </c>
      <c r="G70" s="139">
        <f t="shared" si="15"/>
        <v>45930</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92276623</v>
      </c>
      <c r="N70" s="55">
        <f t="shared" ca="1" si="11"/>
        <v>92276623</v>
      </c>
    </row>
    <row r="71" spans="1:14" x14ac:dyDescent="0.2">
      <c r="A71" s="105">
        <v>70</v>
      </c>
      <c r="B71" s="105" t="str">
        <f>VLOOKUP( $A71, Aop!$A$2:$P$453, 2, 0)</f>
        <v>BSp</v>
      </c>
      <c r="C71" s="105">
        <v>26</v>
      </c>
      <c r="D71" s="105" t="str">
        <f t="shared" si="12"/>
        <v>1074440</v>
      </c>
      <c r="E71" s="105" t="str">
        <f t="shared" si="13"/>
        <v>4400855640000</v>
      </c>
      <c r="F71" s="105" t="b">
        <f t="shared" si="14"/>
        <v>0</v>
      </c>
      <c r="G71" s="139">
        <f t="shared" si="15"/>
        <v>45930</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92276623</v>
      </c>
      <c r="N71" s="55">
        <f t="shared" ca="1" si="11"/>
        <v>92276623</v>
      </c>
    </row>
    <row r="72" spans="1:14" x14ac:dyDescent="0.2">
      <c r="A72" s="105">
        <v>71</v>
      </c>
      <c r="B72" s="105" t="str">
        <f>VLOOKUP( $A72, Aop!$A$2:$P$453, 2, 0)</f>
        <v>BSp</v>
      </c>
      <c r="C72" s="105">
        <v>26</v>
      </c>
      <c r="D72" s="105" t="str">
        <f t="shared" si="12"/>
        <v>1074440</v>
      </c>
      <c r="E72" s="105" t="str">
        <f t="shared" si="13"/>
        <v>4400855640000</v>
      </c>
      <c r="F72" s="105" t="b">
        <f t="shared" si="14"/>
        <v>0</v>
      </c>
      <c r="G72" s="139">
        <f t="shared" si="15"/>
        <v>45930</v>
      </c>
      <c r="H72" s="105">
        <f>VLOOKUP( $A72, Aop!$A$2:$P$453, 4, 0)</f>
        <v>104</v>
      </c>
      <c r="I72" s="105">
        <f t="shared" si="16"/>
        <v>2025</v>
      </c>
      <c r="J72" s="55" t="str">
        <f t="shared" ca="1" si="20"/>
        <v/>
      </c>
      <c r="K72" s="55"/>
      <c r="L72" s="55" t="str">
        <f t="shared" ca="1" si="10"/>
        <v/>
      </c>
      <c r="M72" s="55">
        <f t="shared" ca="1" si="19"/>
        <v>92276623</v>
      </c>
      <c r="N72" s="55">
        <f t="shared" ca="1" si="11"/>
        <v>92276623</v>
      </c>
    </row>
    <row r="73" spans="1:14" x14ac:dyDescent="0.2">
      <c r="A73" s="105">
        <v>72</v>
      </c>
      <c r="B73" s="105" t="str">
        <f>VLOOKUP( $A73, Aop!$A$2:$P$453, 2, 0)</f>
        <v>BSp</v>
      </c>
      <c r="C73" s="105">
        <v>26</v>
      </c>
      <c r="D73" s="105" t="str">
        <f t="shared" si="12"/>
        <v>1074440</v>
      </c>
      <c r="E73" s="105" t="str">
        <f t="shared" si="13"/>
        <v>4400855640000</v>
      </c>
      <c r="F73" s="105" t="b">
        <f t="shared" si="14"/>
        <v>0</v>
      </c>
      <c r="G73" s="139">
        <f t="shared" si="15"/>
        <v>45930</v>
      </c>
      <c r="H73" s="105">
        <f>VLOOKUP( $A73, Aop!$A$2:$P$453, 4, 0)</f>
        <v>105</v>
      </c>
      <c r="I73" s="105">
        <f t="shared" si="16"/>
        <v>2025</v>
      </c>
      <c r="J73" s="55" t="str">
        <f t="shared" ca="1" si="20"/>
        <v/>
      </c>
      <c r="K73" s="55"/>
      <c r="L73" s="55" t="str">
        <f t="shared" ca="1" si="10"/>
        <v/>
      </c>
      <c r="M73" s="55">
        <f t="shared" ca="1" si="19"/>
        <v>0</v>
      </c>
      <c r="N73" s="55">
        <f t="shared" ca="1" si="11"/>
        <v>0</v>
      </c>
    </row>
    <row r="74" spans="1:14" x14ac:dyDescent="0.2">
      <c r="A74" s="105">
        <v>73</v>
      </c>
      <c r="B74" s="105" t="str">
        <f>VLOOKUP( $A74, Aop!$A$2:$P$453, 2, 0)</f>
        <v>BSp</v>
      </c>
      <c r="C74" s="105">
        <v>26</v>
      </c>
      <c r="D74" s="105" t="str">
        <f t="shared" si="12"/>
        <v>1074440</v>
      </c>
      <c r="E74" s="105" t="str">
        <f t="shared" si="13"/>
        <v>4400855640000</v>
      </c>
      <c r="F74" s="105" t="b">
        <f t="shared" si="14"/>
        <v>0</v>
      </c>
      <c r="G74" s="139">
        <f t="shared" si="15"/>
        <v>45930</v>
      </c>
      <c r="H74" s="105">
        <f>VLOOKUP( $A74, Aop!$A$2:$P$453, 4, 0)</f>
        <v>106</v>
      </c>
      <c r="I74" s="105">
        <f t="shared" si="16"/>
        <v>2025</v>
      </c>
      <c r="J74" s="55" t="str">
        <f t="shared" ca="1" si="20"/>
        <v/>
      </c>
      <c r="K74" s="55"/>
      <c r="L74" s="55" t="str">
        <f t="shared" ca="1" si="10"/>
        <v/>
      </c>
      <c r="M74" s="55">
        <f t="shared" ca="1" si="19"/>
        <v>0</v>
      </c>
      <c r="N74" s="55">
        <f t="shared" ca="1" si="11"/>
        <v>0</v>
      </c>
    </row>
    <row r="75" spans="1:14" x14ac:dyDescent="0.2">
      <c r="A75" s="105">
        <v>74</v>
      </c>
      <c r="B75" s="105" t="str">
        <f>VLOOKUP( $A75, Aop!$A$2:$P$453, 2, 0)</f>
        <v>BSp</v>
      </c>
      <c r="C75" s="105">
        <v>26</v>
      </c>
      <c r="D75" s="105" t="str">
        <f t="shared" si="12"/>
        <v>1074440</v>
      </c>
      <c r="E75" s="105" t="str">
        <f t="shared" si="13"/>
        <v>4400855640000</v>
      </c>
      <c r="F75" s="105" t="b">
        <f t="shared" si="14"/>
        <v>0</v>
      </c>
      <c r="G75" s="139">
        <f t="shared" si="15"/>
        <v>45930</v>
      </c>
      <c r="H75" s="105">
        <f>VLOOKUP( $A75, Aop!$A$2:$P$453, 4, 0)</f>
        <v>107</v>
      </c>
      <c r="I75" s="105">
        <f t="shared" si="16"/>
        <v>2025</v>
      </c>
      <c r="J75" s="55" t="str">
        <f t="shared" ca="1" si="20"/>
        <v/>
      </c>
      <c r="K75" s="55"/>
      <c r="L75" s="55" t="str">
        <f t="shared" ca="1" si="10"/>
        <v/>
      </c>
      <c r="M75" s="55">
        <f t="shared" ca="1" si="19"/>
        <v>0</v>
      </c>
      <c r="N75" s="55">
        <f t="shared" ca="1" si="11"/>
        <v>0</v>
      </c>
    </row>
    <row r="76" spans="1:14" x14ac:dyDescent="0.2">
      <c r="A76" s="105">
        <v>75</v>
      </c>
      <c r="B76" s="105" t="str">
        <f>VLOOKUP( $A76, Aop!$A$2:$P$453, 2, 0)</f>
        <v>BSp</v>
      </c>
      <c r="C76" s="105">
        <v>26</v>
      </c>
      <c r="D76" s="105" t="str">
        <f t="shared" si="12"/>
        <v>1074440</v>
      </c>
      <c r="E76" s="105" t="str">
        <f t="shared" si="13"/>
        <v>4400855640000</v>
      </c>
      <c r="F76" s="105" t="b">
        <f t="shared" si="14"/>
        <v>0</v>
      </c>
      <c r="G76" s="139">
        <f t="shared" si="15"/>
        <v>45930</v>
      </c>
      <c r="H76" s="105">
        <f>VLOOKUP( $A76, Aop!$A$2:$P$453, 4, 0)</f>
        <v>108</v>
      </c>
      <c r="I76" s="105">
        <f t="shared" si="16"/>
        <v>2025</v>
      </c>
      <c r="J76" s="55" t="str">
        <f t="shared" ca="1" si="20"/>
        <v/>
      </c>
      <c r="K76" s="55"/>
      <c r="L76" s="55" t="str">
        <f t="shared" ca="1" si="10"/>
        <v/>
      </c>
      <c r="M76" s="55">
        <f t="shared" ca="1" si="19"/>
        <v>0</v>
      </c>
      <c r="N76" s="55">
        <f t="shared" ca="1" si="11"/>
        <v>0</v>
      </c>
    </row>
    <row r="77" spans="1:14" x14ac:dyDescent="0.2">
      <c r="A77" s="105">
        <v>76</v>
      </c>
      <c r="B77" s="105" t="str">
        <f>VLOOKUP( $A77, Aop!$A$2:$P$453, 2, 0)</f>
        <v>BSp</v>
      </c>
      <c r="C77" s="105">
        <v>26</v>
      </c>
      <c r="D77" s="105" t="str">
        <f t="shared" si="12"/>
        <v>1074440</v>
      </c>
      <c r="E77" s="105" t="str">
        <f t="shared" si="13"/>
        <v>4400855640000</v>
      </c>
      <c r="F77" s="105" t="b">
        <f t="shared" si="14"/>
        <v>0</v>
      </c>
      <c r="G77" s="139">
        <f t="shared" si="15"/>
        <v>45930</v>
      </c>
      <c r="H77" s="105">
        <f>VLOOKUP( $A77, Aop!$A$2:$P$453, 4, 0)</f>
        <v>109</v>
      </c>
      <c r="I77" s="105">
        <f t="shared" si="16"/>
        <v>2025</v>
      </c>
      <c r="J77" s="55" t="str">
        <f t="shared" ca="1" si="20"/>
        <v/>
      </c>
      <c r="K77" s="55"/>
      <c r="L77" s="55" t="str">
        <f t="shared" ca="1" si="10"/>
        <v/>
      </c>
      <c r="M77" s="55">
        <f t="shared" ca="1" si="19"/>
        <v>0</v>
      </c>
      <c r="N77" s="55">
        <f t="shared" ca="1" si="11"/>
        <v>0</v>
      </c>
    </row>
    <row r="78" spans="1:14" x14ac:dyDescent="0.2">
      <c r="A78" s="105">
        <v>77</v>
      </c>
      <c r="B78" s="105" t="str">
        <f>VLOOKUP( $A78, Aop!$A$2:$P$453, 2, 0)</f>
        <v>BSp</v>
      </c>
      <c r="C78" s="105">
        <v>26</v>
      </c>
      <c r="D78" s="105" t="str">
        <f t="shared" si="12"/>
        <v>1074440</v>
      </c>
      <c r="E78" s="105" t="str">
        <f t="shared" si="13"/>
        <v>4400855640000</v>
      </c>
      <c r="F78" s="105" t="b">
        <f t="shared" si="14"/>
        <v>0</v>
      </c>
      <c r="G78" s="139">
        <f t="shared" si="15"/>
        <v>45930</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1074440</v>
      </c>
      <c r="E79" s="105" t="str">
        <f t="shared" si="13"/>
        <v>4400855640000</v>
      </c>
      <c r="F79" s="105" t="b">
        <f t="shared" si="14"/>
        <v>0</v>
      </c>
      <c r="G79" s="139">
        <f t="shared" si="15"/>
        <v>45930</v>
      </c>
      <c r="H79" s="105">
        <f>VLOOKUP( $A79, Aop!$A$2:$P$453, 4, 0)</f>
        <v>111</v>
      </c>
      <c r="I79" s="105">
        <f t="shared" si="16"/>
        <v>2025</v>
      </c>
      <c r="J79" s="55" t="str">
        <f t="shared" ca="1" si="20"/>
        <v/>
      </c>
      <c r="K79" s="55"/>
      <c r="L79" s="55" t="str">
        <f t="shared" ca="1" si="10"/>
        <v/>
      </c>
      <c r="M79" s="55">
        <f t="shared" ca="1" si="19"/>
        <v>0</v>
      </c>
      <c r="N79" s="55">
        <f t="shared" ca="1" si="11"/>
        <v>0</v>
      </c>
    </row>
    <row r="80" spans="1:14" x14ac:dyDescent="0.2">
      <c r="A80" s="105">
        <v>79</v>
      </c>
      <c r="B80" s="105" t="str">
        <f>VLOOKUP( $A80, Aop!$A$2:$P$453, 2, 0)</f>
        <v>BSp</v>
      </c>
      <c r="C80" s="105">
        <v>26</v>
      </c>
      <c r="D80" s="105" t="str">
        <f t="shared" si="12"/>
        <v>1074440</v>
      </c>
      <c r="E80" s="105" t="str">
        <f t="shared" si="13"/>
        <v>4400855640000</v>
      </c>
      <c r="F80" s="105" t="b">
        <f t="shared" si="14"/>
        <v>0</v>
      </c>
      <c r="G80" s="139">
        <f t="shared" si="15"/>
        <v>45930</v>
      </c>
      <c r="H80" s="105">
        <f>VLOOKUP( $A80, Aop!$A$2:$P$453, 4, 0)</f>
        <v>112</v>
      </c>
      <c r="I80" s="105">
        <f t="shared" si="16"/>
        <v>2025</v>
      </c>
      <c r="J80" s="55" t="str">
        <f t="shared" ca="1" si="20"/>
        <v/>
      </c>
      <c r="K80" s="55"/>
      <c r="L80" s="55" t="str">
        <f t="shared" ca="1" si="10"/>
        <v/>
      </c>
      <c r="M80" s="55">
        <f t="shared" ca="1" si="19"/>
        <v>0</v>
      </c>
      <c r="N80" s="55">
        <f t="shared" ca="1" si="11"/>
        <v>0</v>
      </c>
    </row>
    <row r="81" spans="1:14" x14ac:dyDescent="0.2">
      <c r="A81" s="105">
        <v>80</v>
      </c>
      <c r="B81" s="105" t="str">
        <f>VLOOKUP( $A81, Aop!$A$2:$P$453, 2, 0)</f>
        <v>BSp</v>
      </c>
      <c r="C81" s="105">
        <v>26</v>
      </c>
      <c r="D81" s="105" t="str">
        <f t="shared" si="12"/>
        <v>1074440</v>
      </c>
      <c r="E81" s="105" t="str">
        <f t="shared" si="13"/>
        <v>4400855640000</v>
      </c>
      <c r="F81" s="105" t="b">
        <f t="shared" si="14"/>
        <v>0</v>
      </c>
      <c r="G81" s="139">
        <f t="shared" si="15"/>
        <v>45930</v>
      </c>
      <c r="H81" s="105">
        <f>VLOOKUP( $A81, Aop!$A$2:$P$453, 4, 0)</f>
        <v>113</v>
      </c>
      <c r="I81" s="105">
        <f t="shared" si="16"/>
        <v>2025</v>
      </c>
      <c r="J81" s="55" t="str">
        <f t="shared" ca="1" si="20"/>
        <v/>
      </c>
      <c r="K81" s="55"/>
      <c r="L81" s="55" t="str">
        <f t="shared" ca="1" si="10"/>
        <v/>
      </c>
      <c r="M81" s="55">
        <f t="shared" ca="1" si="19"/>
        <v>0</v>
      </c>
      <c r="N81" s="55">
        <f t="shared" ca="1" si="11"/>
        <v>0</v>
      </c>
    </row>
    <row r="82" spans="1:14" x14ac:dyDescent="0.2">
      <c r="A82" s="105">
        <v>81</v>
      </c>
      <c r="B82" s="105" t="str">
        <f>VLOOKUP( $A82, Aop!$A$2:$P$453, 2, 0)</f>
        <v>BSp</v>
      </c>
      <c r="C82" s="105">
        <v>26</v>
      </c>
      <c r="D82" s="105" t="str">
        <f t="shared" si="12"/>
        <v>1074440</v>
      </c>
      <c r="E82" s="105" t="str">
        <f t="shared" si="13"/>
        <v>4400855640000</v>
      </c>
      <c r="F82" s="105" t="b">
        <f t="shared" si="14"/>
        <v>0</v>
      </c>
      <c r="G82" s="139">
        <f t="shared" si="15"/>
        <v>45930</v>
      </c>
      <c r="H82" s="105">
        <f>VLOOKUP( $A82, Aop!$A$2:$P$453, 4, 0)</f>
        <v>114</v>
      </c>
      <c r="I82" s="105">
        <f t="shared" si="16"/>
        <v>2025</v>
      </c>
      <c r="J82" s="55" t="str">
        <f t="shared" ca="1" si="20"/>
        <v/>
      </c>
      <c r="K82" s="55"/>
      <c r="L82" s="55" t="str">
        <f t="shared" ca="1" si="10"/>
        <v/>
      </c>
      <c r="M82" s="55">
        <f t="shared" ca="1" si="19"/>
        <v>0</v>
      </c>
      <c r="N82" s="55">
        <f t="shared" ca="1" si="11"/>
        <v>0</v>
      </c>
    </row>
    <row r="83" spans="1:14" x14ac:dyDescent="0.2">
      <c r="A83" s="105">
        <v>82</v>
      </c>
      <c r="B83" s="105" t="str">
        <f>VLOOKUP( $A83, Aop!$A$2:$P$453, 2, 0)</f>
        <v>BSp</v>
      </c>
      <c r="C83" s="105">
        <v>26</v>
      </c>
      <c r="D83" s="105" t="str">
        <f t="shared" si="12"/>
        <v>1074440</v>
      </c>
      <c r="E83" s="105" t="str">
        <f t="shared" si="13"/>
        <v>4400855640000</v>
      </c>
      <c r="F83" s="105" t="b">
        <f t="shared" si="14"/>
        <v>0</v>
      </c>
      <c r="G83" s="139">
        <f t="shared" si="15"/>
        <v>45930</v>
      </c>
      <c r="H83" s="105">
        <f>VLOOKUP( $A83, Aop!$A$2:$P$453, 4, 0)</f>
        <v>115</v>
      </c>
      <c r="I83" s="105">
        <f t="shared" si="16"/>
        <v>2025</v>
      </c>
      <c r="J83" s="55" t="str">
        <f t="shared" ca="1" si="20"/>
        <v/>
      </c>
      <c r="K83" s="55"/>
      <c r="L83" s="55" t="str">
        <f t="shared" ca="1" si="10"/>
        <v/>
      </c>
      <c r="M83" s="55">
        <f t="shared" ca="1" si="19"/>
        <v>6403888</v>
      </c>
      <c r="N83" s="55">
        <f t="shared" ca="1" si="11"/>
        <v>6403888</v>
      </c>
    </row>
    <row r="84" spans="1:14" x14ac:dyDescent="0.2">
      <c r="A84" s="105">
        <v>83</v>
      </c>
      <c r="B84" s="105" t="str">
        <f>VLOOKUP( $A84, Aop!$A$2:$P$453, 2, 0)</f>
        <v>BSp</v>
      </c>
      <c r="C84" s="105">
        <v>26</v>
      </c>
      <c r="D84" s="105" t="str">
        <f t="shared" si="12"/>
        <v>1074440</v>
      </c>
      <c r="E84" s="105" t="str">
        <f t="shared" si="13"/>
        <v>4400855640000</v>
      </c>
      <c r="F84" s="105" t="b">
        <f t="shared" si="14"/>
        <v>0</v>
      </c>
      <c r="G84" s="139">
        <f t="shared" si="15"/>
        <v>45930</v>
      </c>
      <c r="H84" s="105">
        <f>VLOOKUP( $A84, Aop!$A$2:$P$453, 4, 0)</f>
        <v>116</v>
      </c>
      <c r="I84" s="105">
        <f t="shared" si="16"/>
        <v>2025</v>
      </c>
      <c r="J84" s="55" t="str">
        <f t="shared" ca="1" si="20"/>
        <v/>
      </c>
      <c r="K84" s="55"/>
      <c r="L84" s="55" t="str">
        <f t="shared" ca="1" si="10"/>
        <v/>
      </c>
      <c r="M84" s="55">
        <f t="shared" ca="1" si="19"/>
        <v>1379378</v>
      </c>
      <c r="N84" s="55">
        <f t="shared" ca="1" si="11"/>
        <v>1379378</v>
      </c>
    </row>
    <row r="85" spans="1:14" x14ac:dyDescent="0.2">
      <c r="A85" s="105">
        <v>84</v>
      </c>
      <c r="B85" s="105" t="str">
        <f>VLOOKUP( $A85, Aop!$A$2:$P$453, 2, 0)</f>
        <v>BSp</v>
      </c>
      <c r="C85" s="105">
        <v>26</v>
      </c>
      <c r="D85" s="105" t="str">
        <f t="shared" si="12"/>
        <v>1074440</v>
      </c>
      <c r="E85" s="105" t="str">
        <f t="shared" si="13"/>
        <v>4400855640000</v>
      </c>
      <c r="F85" s="105" t="b">
        <f t="shared" si="14"/>
        <v>0</v>
      </c>
      <c r="G85" s="139">
        <f t="shared" si="15"/>
        <v>45930</v>
      </c>
      <c r="H85" s="105">
        <f>VLOOKUP( $A85, Aop!$A$2:$P$453, 4, 0)</f>
        <v>117</v>
      </c>
      <c r="I85" s="105">
        <f t="shared" si="16"/>
        <v>2025</v>
      </c>
      <c r="J85" s="55" t="str">
        <f t="shared" ca="1" si="20"/>
        <v/>
      </c>
      <c r="K85" s="55"/>
      <c r="L85" s="55" t="str">
        <f t="shared" ca="1" si="10"/>
        <v/>
      </c>
      <c r="M85" s="55">
        <f t="shared" ca="1" si="19"/>
        <v>687546</v>
      </c>
      <c r="N85" s="55">
        <f t="shared" ca="1" si="11"/>
        <v>687546</v>
      </c>
    </row>
    <row r="86" spans="1:14" x14ac:dyDescent="0.2">
      <c r="A86" s="105">
        <v>85</v>
      </c>
      <c r="B86" s="105" t="str">
        <f>VLOOKUP( $A86, Aop!$A$2:$P$453, 2, 0)</f>
        <v>BSp</v>
      </c>
      <c r="C86" s="105">
        <v>26</v>
      </c>
      <c r="D86" s="105" t="str">
        <f t="shared" si="12"/>
        <v>1074440</v>
      </c>
      <c r="E86" s="105" t="str">
        <f t="shared" si="13"/>
        <v>4400855640000</v>
      </c>
      <c r="F86" s="105" t="b">
        <f t="shared" si="14"/>
        <v>0</v>
      </c>
      <c r="G86" s="139">
        <f t="shared" si="15"/>
        <v>45930</v>
      </c>
      <c r="H86" s="105">
        <f>VLOOKUP( $A86, Aop!$A$2:$P$453, 4, 0)</f>
        <v>118</v>
      </c>
      <c r="I86" s="105">
        <f t="shared" si="16"/>
        <v>2025</v>
      </c>
      <c r="J86" s="55" t="str">
        <f t="shared" ca="1" si="20"/>
        <v/>
      </c>
      <c r="K86" s="55"/>
      <c r="L86" s="55" t="str">
        <f t="shared" ca="1" si="10"/>
        <v/>
      </c>
      <c r="M86" s="55">
        <f t="shared" ca="1" si="19"/>
        <v>4336964</v>
      </c>
      <c r="N86" s="55">
        <f t="shared" ca="1" si="11"/>
        <v>4336964</v>
      </c>
    </row>
    <row r="87" spans="1:14" x14ac:dyDescent="0.2">
      <c r="A87" s="105">
        <v>86</v>
      </c>
      <c r="B87" s="105" t="str">
        <f>VLOOKUP( $A87, Aop!$A$2:$P$453, 2, 0)</f>
        <v>BSp</v>
      </c>
      <c r="C87" s="105">
        <v>26</v>
      </c>
      <c r="D87" s="105" t="str">
        <f t="shared" si="12"/>
        <v>1074440</v>
      </c>
      <c r="E87" s="105" t="str">
        <f t="shared" si="13"/>
        <v>4400855640000</v>
      </c>
      <c r="F87" s="105" t="b">
        <f t="shared" si="14"/>
        <v>0</v>
      </c>
      <c r="G87" s="139">
        <f t="shared" si="15"/>
        <v>45930</v>
      </c>
      <c r="H87" s="105">
        <f>VLOOKUP( $A87, Aop!$A$2:$P$453, 4, 0)</f>
        <v>119</v>
      </c>
      <c r="I87" s="105">
        <f t="shared" si="16"/>
        <v>2025</v>
      </c>
      <c r="J87" s="55" t="str">
        <f t="shared" ca="1" si="20"/>
        <v/>
      </c>
      <c r="K87" s="55"/>
      <c r="L87" s="55" t="str">
        <f t="shared" ca="1" si="10"/>
        <v/>
      </c>
      <c r="M87" s="55">
        <f t="shared" ca="1" si="19"/>
        <v>144464909</v>
      </c>
      <c r="N87" s="55">
        <f t="shared" ca="1" si="11"/>
        <v>144464909</v>
      </c>
    </row>
    <row r="88" spans="1:14" x14ac:dyDescent="0.2">
      <c r="A88" s="105">
        <v>87</v>
      </c>
      <c r="B88" s="105" t="str">
        <f>VLOOKUP( $A88, Aop!$A$2:$P$453, 2, 0)</f>
        <v>BSp</v>
      </c>
      <c r="C88" s="105">
        <v>26</v>
      </c>
      <c r="D88" s="105" t="str">
        <f t="shared" si="12"/>
        <v>1074440</v>
      </c>
      <c r="E88" s="105" t="str">
        <f t="shared" si="13"/>
        <v>4400855640000</v>
      </c>
      <c r="F88" s="105" t="b">
        <f t="shared" si="14"/>
        <v>0</v>
      </c>
      <c r="G88" s="139">
        <f t="shared" si="15"/>
        <v>45930</v>
      </c>
      <c r="H88" s="105">
        <f>VLOOKUP( $A88, Aop!$A$2:$P$453, 4, 0)</f>
        <v>120</v>
      </c>
      <c r="I88" s="105">
        <f t="shared" si="16"/>
        <v>2025</v>
      </c>
      <c r="J88" s="55" t="str">
        <f t="shared" ca="1" si="20"/>
        <v/>
      </c>
      <c r="K88" s="55"/>
      <c r="L88" s="55" t="str">
        <f t="shared" ca="1" si="10"/>
        <v/>
      </c>
      <c r="M88" s="55">
        <f t="shared" ca="1" si="19"/>
        <v>144464909</v>
      </c>
      <c r="N88" s="55">
        <f t="shared" ca="1" si="11"/>
        <v>144464909</v>
      </c>
    </row>
    <row r="89" spans="1:14" x14ac:dyDescent="0.2">
      <c r="A89" s="105">
        <v>88</v>
      </c>
      <c r="B89" s="105" t="str">
        <f>VLOOKUP( $A89, Aop!$A$2:$P$453, 2, 0)</f>
        <v>BSp</v>
      </c>
      <c r="C89" s="105">
        <v>26</v>
      </c>
      <c r="D89" s="105" t="str">
        <f t="shared" si="12"/>
        <v>1074440</v>
      </c>
      <c r="E89" s="105" t="str">
        <f t="shared" si="13"/>
        <v>4400855640000</v>
      </c>
      <c r="F89" s="105" t="b">
        <f t="shared" si="14"/>
        <v>0</v>
      </c>
      <c r="G89" s="139">
        <f t="shared" si="15"/>
        <v>45930</v>
      </c>
      <c r="H89" s="105">
        <f>VLOOKUP( $A89, Aop!$A$2:$P$453, 4, 0)</f>
        <v>121</v>
      </c>
      <c r="I89" s="105">
        <f t="shared" si="16"/>
        <v>2025</v>
      </c>
      <c r="J89" s="55" t="str">
        <f t="shared" ca="1" si="20"/>
        <v/>
      </c>
      <c r="K89" s="55"/>
      <c r="L89" s="55" t="str">
        <f t="shared" ca="1" si="10"/>
        <v/>
      </c>
      <c r="M89" s="55">
        <f t="shared" ca="1" si="19"/>
        <v>0</v>
      </c>
      <c r="N89" s="55">
        <f t="shared" ca="1" si="11"/>
        <v>0</v>
      </c>
    </row>
    <row r="90" spans="1:14" x14ac:dyDescent="0.2">
      <c r="A90" s="105">
        <v>89</v>
      </c>
      <c r="B90" s="105" t="str">
        <f>VLOOKUP( $A90, Aop!$A$2:$P$453, 2, 0)</f>
        <v>BSp</v>
      </c>
      <c r="C90" s="105">
        <v>26</v>
      </c>
      <c r="D90" s="105" t="str">
        <f t="shared" si="12"/>
        <v>1074440</v>
      </c>
      <c r="E90" s="105" t="str">
        <f t="shared" si="13"/>
        <v>4400855640000</v>
      </c>
      <c r="F90" s="105" t="b">
        <f t="shared" si="14"/>
        <v>0</v>
      </c>
      <c r="G90" s="139">
        <f t="shared" si="15"/>
        <v>45930</v>
      </c>
      <c r="H90" s="105">
        <f>VLOOKUP( $A90, Aop!$A$2:$P$453, 4, 0)</f>
        <v>122</v>
      </c>
      <c r="I90" s="105">
        <f t="shared" si="16"/>
        <v>2025</v>
      </c>
      <c r="J90" s="55" t="str">
        <f t="shared" ca="1" si="20"/>
        <v/>
      </c>
      <c r="K90" s="55"/>
      <c r="L90" s="55" t="str">
        <f t="shared" ca="1" si="10"/>
        <v/>
      </c>
      <c r="M90" s="55">
        <f t="shared" ca="1" si="19"/>
        <v>0</v>
      </c>
      <c r="N90" s="55">
        <f t="shared" ca="1" si="11"/>
        <v>0</v>
      </c>
    </row>
    <row r="91" spans="1:14" x14ac:dyDescent="0.2">
      <c r="A91" s="105">
        <v>90</v>
      </c>
      <c r="B91" s="105" t="str">
        <f>VLOOKUP( $A91, Aop!$A$2:$P$453, 2, 0)</f>
        <v>BSp</v>
      </c>
      <c r="C91" s="105">
        <v>26</v>
      </c>
      <c r="D91" s="105" t="str">
        <f t="shared" si="12"/>
        <v>1074440</v>
      </c>
      <c r="E91" s="105" t="str">
        <f t="shared" si="13"/>
        <v>4400855640000</v>
      </c>
      <c r="F91" s="105" t="b">
        <f t="shared" si="14"/>
        <v>0</v>
      </c>
      <c r="G91" s="139">
        <f t="shared" si="15"/>
        <v>45930</v>
      </c>
      <c r="H91" s="105">
        <f>VLOOKUP( $A91, Aop!$A$2:$P$453, 4, 0)</f>
        <v>123</v>
      </c>
      <c r="I91" s="105">
        <f t="shared" si="16"/>
        <v>2025</v>
      </c>
      <c r="J91" s="55" t="str">
        <f t="shared" ca="1" si="20"/>
        <v/>
      </c>
      <c r="K91" s="55"/>
      <c r="L91" s="55" t="str">
        <f t="shared" ca="1" si="10"/>
        <v/>
      </c>
      <c r="M91" s="55">
        <f t="shared" ca="1" si="19"/>
        <v>0</v>
      </c>
      <c r="N91" s="55">
        <f t="shared" ca="1" si="11"/>
        <v>0</v>
      </c>
    </row>
    <row r="92" spans="1:14" x14ac:dyDescent="0.2">
      <c r="A92" s="105">
        <v>91</v>
      </c>
      <c r="B92" s="105" t="str">
        <f>VLOOKUP( $A92, Aop!$A$2:$P$453, 2, 0)</f>
        <v>BSp</v>
      </c>
      <c r="C92" s="105">
        <v>26</v>
      </c>
      <c r="D92" s="105" t="str">
        <f t="shared" si="12"/>
        <v>1074440</v>
      </c>
      <c r="E92" s="105" t="str">
        <f t="shared" si="13"/>
        <v>4400855640000</v>
      </c>
      <c r="F92" s="105" t="b">
        <f t="shared" si="14"/>
        <v>0</v>
      </c>
      <c r="G92" s="139">
        <f t="shared" si="15"/>
        <v>45930</v>
      </c>
      <c r="H92" s="105">
        <f>VLOOKUP( $A92, Aop!$A$2:$P$453, 4, 0)</f>
        <v>124</v>
      </c>
      <c r="I92" s="105">
        <f t="shared" si="16"/>
        <v>2025</v>
      </c>
      <c r="J92" s="55" t="str">
        <f t="shared" ca="1" si="20"/>
        <v/>
      </c>
      <c r="K92" s="55"/>
      <c r="L92" s="55" t="str">
        <f t="shared" ca="1" si="10"/>
        <v/>
      </c>
      <c r="M92" s="55">
        <f t="shared" ca="1" si="19"/>
        <v>16039831</v>
      </c>
      <c r="N92" s="55">
        <f t="shared" ca="1" si="11"/>
        <v>16039831</v>
      </c>
    </row>
    <row r="93" spans="1:14" x14ac:dyDescent="0.2">
      <c r="A93" s="105">
        <v>92</v>
      </c>
      <c r="B93" s="105" t="str">
        <f>VLOOKUP( $A93, Aop!$A$2:$P$453, 2, 0)</f>
        <v>BSp</v>
      </c>
      <c r="C93" s="105">
        <v>26</v>
      </c>
      <c r="D93" s="105" t="str">
        <f t="shared" si="12"/>
        <v>1074440</v>
      </c>
      <c r="E93" s="105" t="str">
        <f t="shared" si="13"/>
        <v>4400855640000</v>
      </c>
      <c r="F93" s="105" t="b">
        <f t="shared" si="14"/>
        <v>0</v>
      </c>
      <c r="G93" s="139">
        <f t="shared" si="15"/>
        <v>45930</v>
      </c>
      <c r="H93" s="105">
        <f>VLOOKUP( $A93, Aop!$A$2:$P$453, 4, 0)</f>
        <v>125</v>
      </c>
      <c r="I93" s="105">
        <f t="shared" si="16"/>
        <v>2025</v>
      </c>
      <c r="J93" s="55" t="str">
        <f t="shared" ca="1" si="20"/>
        <v/>
      </c>
      <c r="K93" s="55"/>
      <c r="L93" s="55" t="str">
        <f t="shared" ca="1" si="10"/>
        <v/>
      </c>
      <c r="M93" s="55">
        <f t="shared" ca="1" si="19"/>
        <v>10400639</v>
      </c>
      <c r="N93" s="55">
        <f t="shared" ca="1" si="11"/>
        <v>10400639</v>
      </c>
    </row>
    <row r="94" spans="1:14" x14ac:dyDescent="0.2">
      <c r="A94" s="105">
        <v>93</v>
      </c>
      <c r="B94" s="105" t="str">
        <f>VLOOKUP( $A94, Aop!$A$2:$P$453, 2, 0)</f>
        <v>BSp</v>
      </c>
      <c r="C94" s="105">
        <v>26</v>
      </c>
      <c r="D94" s="105" t="str">
        <f t="shared" si="12"/>
        <v>1074440</v>
      </c>
      <c r="E94" s="105" t="str">
        <f t="shared" si="13"/>
        <v>4400855640000</v>
      </c>
      <c r="F94" s="105" t="b">
        <f t="shared" si="14"/>
        <v>0</v>
      </c>
      <c r="G94" s="139">
        <f t="shared" si="15"/>
        <v>45930</v>
      </c>
      <c r="H94" s="105">
        <f>VLOOKUP( $A94, Aop!$A$2:$P$453, 4, 0)</f>
        <v>126</v>
      </c>
      <c r="I94" s="105">
        <f t="shared" si="16"/>
        <v>2025</v>
      </c>
      <c r="J94" s="55" t="str">
        <f t="shared" ca="1" si="20"/>
        <v/>
      </c>
      <c r="K94" s="55"/>
      <c r="L94" s="55" t="str">
        <f t="shared" ca="1" si="10"/>
        <v/>
      </c>
      <c r="M94" s="55">
        <f t="shared" ca="1" si="19"/>
        <v>5639192</v>
      </c>
      <c r="N94" s="55">
        <f t="shared" ca="1" si="11"/>
        <v>5639192</v>
      </c>
    </row>
    <row r="95" spans="1:14" x14ac:dyDescent="0.2">
      <c r="A95" s="105">
        <v>94</v>
      </c>
      <c r="B95" s="105" t="str">
        <f>VLOOKUP( $A95, Aop!$A$2:$P$453, 2, 0)</f>
        <v>BSp</v>
      </c>
      <c r="C95" s="105">
        <v>26</v>
      </c>
      <c r="D95" s="105" t="str">
        <f t="shared" si="12"/>
        <v>1074440</v>
      </c>
      <c r="E95" s="105" t="str">
        <f t="shared" si="13"/>
        <v>4400855640000</v>
      </c>
      <c r="F95" s="105" t="b">
        <f t="shared" si="14"/>
        <v>0</v>
      </c>
      <c r="G95" s="139">
        <f t="shared" si="15"/>
        <v>45930</v>
      </c>
      <c r="H95" s="105">
        <f>VLOOKUP( $A95, Aop!$A$2:$P$453, 4, 0)</f>
        <v>127</v>
      </c>
      <c r="I95" s="105">
        <f t="shared" si="16"/>
        <v>2025</v>
      </c>
      <c r="J95" s="55" t="str">
        <f t="shared" ca="1" si="20"/>
        <v/>
      </c>
      <c r="K95" s="55"/>
      <c r="L95" s="55" t="str">
        <f t="shared" ca="1" si="10"/>
        <v/>
      </c>
      <c r="M95" s="55">
        <f t="shared" ca="1" si="19"/>
        <v>0</v>
      </c>
      <c r="N95" s="55">
        <f t="shared" ca="1" si="11"/>
        <v>0</v>
      </c>
    </row>
    <row r="96" spans="1:14" x14ac:dyDescent="0.2">
      <c r="A96" s="105">
        <v>95</v>
      </c>
      <c r="B96" s="105" t="str">
        <f>VLOOKUP( $A96, Aop!$A$2:$P$453, 2, 0)</f>
        <v>BSp</v>
      </c>
      <c r="C96" s="105">
        <v>26</v>
      </c>
      <c r="D96" s="105" t="str">
        <f t="shared" si="12"/>
        <v>1074440</v>
      </c>
      <c r="E96" s="105" t="str">
        <f t="shared" si="13"/>
        <v>4400855640000</v>
      </c>
      <c r="F96" s="105" t="b">
        <f t="shared" si="14"/>
        <v>0</v>
      </c>
      <c r="G96" s="139">
        <f t="shared" si="15"/>
        <v>45930</v>
      </c>
      <c r="H96" s="105">
        <f>VLOOKUP( $A96, Aop!$A$2:$P$453, 4, 0)</f>
        <v>128</v>
      </c>
      <c r="I96" s="105">
        <f t="shared" si="16"/>
        <v>2025</v>
      </c>
      <c r="J96" s="55" t="str">
        <f t="shared" ca="1" si="20"/>
        <v/>
      </c>
      <c r="K96" s="55"/>
      <c r="L96" s="55" t="str">
        <f t="shared" ca="1" si="10"/>
        <v/>
      </c>
      <c r="M96" s="55">
        <f t="shared" ca="1" si="19"/>
        <v>19340559</v>
      </c>
      <c r="N96" s="55">
        <f t="shared" ca="1" si="11"/>
        <v>19340559</v>
      </c>
    </row>
    <row r="97" spans="1:14" x14ac:dyDescent="0.2">
      <c r="A97" s="105">
        <v>96</v>
      </c>
      <c r="B97" s="105" t="str">
        <f>VLOOKUP( $A97, Aop!$A$2:$P$453, 2, 0)</f>
        <v>BSp</v>
      </c>
      <c r="C97" s="105">
        <v>26</v>
      </c>
      <c r="D97" s="105" t="str">
        <f t="shared" si="12"/>
        <v>1074440</v>
      </c>
      <c r="E97" s="105" t="str">
        <f t="shared" si="13"/>
        <v>4400855640000</v>
      </c>
      <c r="F97" s="105" t="b">
        <f t="shared" si="14"/>
        <v>0</v>
      </c>
      <c r="G97" s="139">
        <f t="shared" si="15"/>
        <v>45930</v>
      </c>
      <c r="H97" s="105">
        <f>VLOOKUP( $A97, Aop!$A$2:$P$453, 4, 0)</f>
        <v>129</v>
      </c>
      <c r="I97" s="105">
        <f t="shared" si="16"/>
        <v>2025</v>
      </c>
      <c r="J97" s="55" t="str">
        <f t="shared" ca="1" si="20"/>
        <v/>
      </c>
      <c r="K97" s="55"/>
      <c r="L97" s="55" t="str">
        <f t="shared" ca="1" si="10"/>
        <v/>
      </c>
      <c r="M97" s="55">
        <f t="shared" ca="1" si="19"/>
        <v>19340559</v>
      </c>
      <c r="N97" s="55">
        <f t="shared" ca="1" si="11"/>
        <v>19340559</v>
      </c>
    </row>
    <row r="98" spans="1:14" x14ac:dyDescent="0.2">
      <c r="A98" s="105">
        <v>97</v>
      </c>
      <c r="B98" s="105" t="str">
        <f>VLOOKUP( $A98, Aop!$A$2:$P$453, 2, 0)</f>
        <v>BSp</v>
      </c>
      <c r="C98" s="105">
        <v>26</v>
      </c>
      <c r="D98" s="105" t="str">
        <f t="shared" si="12"/>
        <v>1074440</v>
      </c>
      <c r="E98" s="105" t="str">
        <f t="shared" si="13"/>
        <v>4400855640000</v>
      </c>
      <c r="F98" s="105" t="b">
        <f t="shared" si="14"/>
        <v>0</v>
      </c>
      <c r="G98" s="139">
        <f t="shared" si="15"/>
        <v>45930</v>
      </c>
      <c r="H98" s="105">
        <f>VLOOKUP( $A98, Aop!$A$2:$P$453, 4, 0)</f>
        <v>130</v>
      </c>
      <c r="I98" s="105">
        <f t="shared" si="16"/>
        <v>2025</v>
      </c>
      <c r="J98" s="55" t="str">
        <f t="shared" ca="1" si="20"/>
        <v/>
      </c>
      <c r="K98" s="55"/>
      <c r="L98" s="55" t="str">
        <f t="shared" ca="1" si="10"/>
        <v/>
      </c>
      <c r="M98" s="55">
        <f t="shared" ca="1" si="19"/>
        <v>0</v>
      </c>
      <c r="N98" s="55">
        <f t="shared" ca="1" si="11"/>
        <v>0</v>
      </c>
    </row>
    <row r="99" spans="1:14" x14ac:dyDescent="0.2">
      <c r="A99" s="105">
        <v>98</v>
      </c>
      <c r="B99" s="105" t="str">
        <f>VLOOKUP( $A99, Aop!$A$2:$P$453, 2, 0)</f>
        <v>BSp</v>
      </c>
      <c r="C99" s="105">
        <v>26</v>
      </c>
      <c r="D99" s="105" t="str">
        <f t="shared" si="12"/>
        <v>1074440</v>
      </c>
      <c r="E99" s="105" t="str">
        <f t="shared" si="13"/>
        <v>4400855640000</v>
      </c>
      <c r="F99" s="105" t="b">
        <f t="shared" si="14"/>
        <v>0</v>
      </c>
      <c r="G99" s="139">
        <f t="shared" si="15"/>
        <v>45930</v>
      </c>
      <c r="H99" s="105">
        <f>VLOOKUP( $A99, Aop!$A$2:$P$453, 4, 0)</f>
        <v>131</v>
      </c>
      <c r="I99" s="105">
        <f t="shared" si="16"/>
        <v>2025</v>
      </c>
      <c r="J99" s="55" t="str">
        <f t="shared" ca="1" si="20"/>
        <v/>
      </c>
      <c r="K99" s="55"/>
      <c r="L99" s="55" t="str">
        <f t="shared" ca="1" si="10"/>
        <v/>
      </c>
      <c r="M99" s="55">
        <f t="shared" ca="1" si="19"/>
        <v>0</v>
      </c>
      <c r="N99" s="55">
        <f t="shared" ca="1" si="11"/>
        <v>0</v>
      </c>
    </row>
    <row r="100" spans="1:14" x14ac:dyDescent="0.2">
      <c r="A100" s="105">
        <v>99</v>
      </c>
      <c r="B100" s="105" t="str">
        <f>VLOOKUP( $A100, Aop!$A$2:$P$453, 2, 0)</f>
        <v>BSp</v>
      </c>
      <c r="C100" s="105">
        <v>26</v>
      </c>
      <c r="D100" s="105" t="str">
        <f t="shared" si="12"/>
        <v>1074440</v>
      </c>
      <c r="E100" s="105" t="str">
        <f t="shared" si="13"/>
        <v>4400855640000</v>
      </c>
      <c r="F100" s="105" t="b">
        <f t="shared" si="14"/>
        <v>0</v>
      </c>
      <c r="G100" s="139">
        <f t="shared" si="15"/>
        <v>45930</v>
      </c>
      <c r="H100" s="105">
        <f>VLOOKUP( $A100, Aop!$A$2:$P$453, 4, 0)</f>
        <v>132</v>
      </c>
      <c r="I100" s="105">
        <f t="shared" si="16"/>
        <v>2025</v>
      </c>
      <c r="J100" s="55" t="str">
        <f t="shared" ca="1" si="20"/>
        <v/>
      </c>
      <c r="K100" s="55"/>
      <c r="L100" s="55" t="str">
        <f t="shared" ca="1" si="10"/>
        <v/>
      </c>
      <c r="M100" s="55">
        <f t="shared" ca="1" si="19"/>
        <v>96294230</v>
      </c>
      <c r="N100" s="55">
        <f t="shared" ca="1" si="11"/>
        <v>96294230</v>
      </c>
    </row>
    <row r="101" spans="1:14" x14ac:dyDescent="0.2">
      <c r="A101" s="105">
        <v>100</v>
      </c>
      <c r="B101" s="105" t="str">
        <f>VLOOKUP( $A101, Aop!$A$2:$P$453, 2, 0)</f>
        <v>BSp</v>
      </c>
      <c r="C101" s="105">
        <v>26</v>
      </c>
      <c r="D101" s="105" t="str">
        <f t="shared" si="12"/>
        <v>1074440</v>
      </c>
      <c r="E101" s="105" t="str">
        <f t="shared" si="13"/>
        <v>4400855640000</v>
      </c>
      <c r="F101" s="105" t="b">
        <f t="shared" si="14"/>
        <v>0</v>
      </c>
      <c r="G101" s="139">
        <f t="shared" si="15"/>
        <v>45930</v>
      </c>
      <c r="H101" s="105">
        <f>VLOOKUP( $A101, Aop!$A$2:$P$453, 4, 0)</f>
        <v>133</v>
      </c>
      <c r="I101" s="105">
        <f t="shared" si="16"/>
        <v>2025</v>
      </c>
      <c r="J101" s="55" t="str">
        <f t="shared" ca="1" si="20"/>
        <v/>
      </c>
      <c r="K101" s="55"/>
      <c r="L101" s="55" t="str">
        <f t="shared" ca="1" si="10"/>
        <v/>
      </c>
      <c r="M101" s="55">
        <f t="shared" ca="1" si="19"/>
        <v>4970281</v>
      </c>
      <c r="N101" s="55">
        <f t="shared" ca="1" si="11"/>
        <v>4970281</v>
      </c>
    </row>
    <row r="102" spans="1:14" x14ac:dyDescent="0.2">
      <c r="A102" s="105">
        <v>101</v>
      </c>
      <c r="B102" s="105" t="str">
        <f>VLOOKUP( $A102, Aop!$A$2:$P$453, 2, 0)</f>
        <v>BSp</v>
      </c>
      <c r="C102" s="105">
        <v>26</v>
      </c>
      <c r="D102" s="105" t="str">
        <f t="shared" si="12"/>
        <v>1074440</v>
      </c>
      <c r="E102" s="105" t="str">
        <f t="shared" si="13"/>
        <v>4400855640000</v>
      </c>
      <c r="F102" s="105" t="b">
        <f t="shared" si="14"/>
        <v>0</v>
      </c>
      <c r="G102" s="139">
        <f t="shared" si="15"/>
        <v>45930</v>
      </c>
      <c r="H102" s="105">
        <f>VLOOKUP( $A102, Aop!$A$2:$P$453, 4, 0)</f>
        <v>134</v>
      </c>
      <c r="I102" s="105">
        <f t="shared" si="16"/>
        <v>2025</v>
      </c>
      <c r="J102" s="55" t="str">
        <f t="shared" ca="1" si="20"/>
        <v/>
      </c>
      <c r="K102" s="55"/>
      <c r="L102" s="55" t="str">
        <f t="shared" ca="1" si="10"/>
        <v/>
      </c>
      <c r="M102" s="55">
        <f t="shared" ca="1" si="19"/>
        <v>0</v>
      </c>
      <c r="N102" s="55">
        <f t="shared" ca="1" si="11"/>
        <v>0</v>
      </c>
    </row>
    <row r="103" spans="1:14" x14ac:dyDescent="0.2">
      <c r="A103" s="105">
        <v>102</v>
      </c>
      <c r="B103" s="105" t="str">
        <f>VLOOKUP( $A103, Aop!$A$2:$P$453, 2, 0)</f>
        <v>BSp</v>
      </c>
      <c r="C103" s="105">
        <v>26</v>
      </c>
      <c r="D103" s="105" t="str">
        <f t="shared" si="12"/>
        <v>1074440</v>
      </c>
      <c r="E103" s="105" t="str">
        <f t="shared" si="13"/>
        <v>4400855640000</v>
      </c>
      <c r="F103" s="105" t="b">
        <f t="shared" si="14"/>
        <v>0</v>
      </c>
      <c r="G103" s="139">
        <f t="shared" si="15"/>
        <v>45930</v>
      </c>
      <c r="H103" s="105">
        <f>VLOOKUP( $A103, Aop!$A$2:$P$453, 4, 0)</f>
        <v>135</v>
      </c>
      <c r="I103" s="105">
        <f t="shared" si="16"/>
        <v>2025</v>
      </c>
      <c r="J103" s="55" t="str">
        <f t="shared" ca="1" si="20"/>
        <v/>
      </c>
      <c r="K103" s="55"/>
      <c r="L103" s="55" t="str">
        <f t="shared" ca="1" si="10"/>
        <v/>
      </c>
      <c r="M103" s="55">
        <f t="shared" ca="1" si="19"/>
        <v>1991726</v>
      </c>
      <c r="N103" s="55">
        <f t="shared" ca="1" si="11"/>
        <v>1991726</v>
      </c>
    </row>
    <row r="104" spans="1:14" x14ac:dyDescent="0.2">
      <c r="A104" s="105">
        <v>103</v>
      </c>
      <c r="B104" s="105" t="str">
        <f>VLOOKUP( $A104, Aop!$A$2:$P$453, 2, 0)</f>
        <v>BSp</v>
      </c>
      <c r="C104" s="105">
        <v>26</v>
      </c>
      <c r="D104" s="105" t="str">
        <f t="shared" si="12"/>
        <v>1074440</v>
      </c>
      <c r="E104" s="105" t="str">
        <f t="shared" si="13"/>
        <v>4400855640000</v>
      </c>
      <c r="F104" s="105" t="b">
        <f t="shared" si="14"/>
        <v>0</v>
      </c>
      <c r="G104" s="139">
        <f t="shared" si="15"/>
        <v>45930</v>
      </c>
      <c r="H104" s="105">
        <f>VLOOKUP( $A104, Aop!$A$2:$P$453, 4, 0)</f>
        <v>136</v>
      </c>
      <c r="I104" s="105">
        <f t="shared" si="16"/>
        <v>2025</v>
      </c>
      <c r="J104" s="55" t="str">
        <f t="shared" ca="1" si="20"/>
        <v/>
      </c>
      <c r="K104" s="55"/>
      <c r="L104" s="55" t="str">
        <f t="shared" ca="1" si="10"/>
        <v/>
      </c>
      <c r="M104" s="55">
        <f t="shared" ca="1" si="19"/>
        <v>2978555</v>
      </c>
      <c r="N104" s="55">
        <f t="shared" ca="1" si="11"/>
        <v>2978555</v>
      </c>
    </row>
    <row r="105" spans="1:14" x14ac:dyDescent="0.2">
      <c r="A105" s="105">
        <v>104</v>
      </c>
      <c r="B105" s="105" t="str">
        <f>VLOOKUP( $A105, Aop!$A$2:$P$453, 2, 0)</f>
        <v>BSp</v>
      </c>
      <c r="C105" s="105">
        <v>26</v>
      </c>
      <c r="D105" s="105" t="str">
        <f t="shared" si="12"/>
        <v>1074440</v>
      </c>
      <c r="E105" s="105" t="str">
        <f t="shared" si="13"/>
        <v>4400855640000</v>
      </c>
      <c r="F105" s="105" t="b">
        <f t="shared" si="14"/>
        <v>0</v>
      </c>
      <c r="G105" s="139">
        <f t="shared" si="15"/>
        <v>45930</v>
      </c>
      <c r="H105" s="105">
        <f>VLOOKUP( $A105, Aop!$A$2:$P$453, 4, 0)</f>
        <v>137</v>
      </c>
      <c r="I105" s="105">
        <f t="shared" si="16"/>
        <v>2025</v>
      </c>
      <c r="J105" s="55" t="str">
        <f t="shared" ca="1" si="20"/>
        <v/>
      </c>
      <c r="K105" s="55"/>
      <c r="L105" s="55" t="str">
        <f t="shared" ca="1" si="10"/>
        <v/>
      </c>
      <c r="M105" s="55">
        <f t="shared" ca="1" si="19"/>
        <v>74779510</v>
      </c>
      <c r="N105" s="55">
        <f t="shared" ca="1" si="11"/>
        <v>74779510</v>
      </c>
    </row>
    <row r="106" spans="1:14" x14ac:dyDescent="0.2">
      <c r="A106" s="105">
        <v>105</v>
      </c>
      <c r="B106" s="105" t="str">
        <f>VLOOKUP( $A106, Aop!$A$2:$P$453, 2, 0)</f>
        <v>BSp</v>
      </c>
      <c r="C106" s="105">
        <v>26</v>
      </c>
      <c r="D106" s="105" t="str">
        <f t="shared" si="12"/>
        <v>1074440</v>
      </c>
      <c r="E106" s="105" t="str">
        <f t="shared" si="13"/>
        <v>4400855640000</v>
      </c>
      <c r="F106" s="105" t="b">
        <f t="shared" si="14"/>
        <v>0</v>
      </c>
      <c r="G106" s="139">
        <f t="shared" si="15"/>
        <v>45930</v>
      </c>
      <c r="H106" s="105">
        <f>VLOOKUP( $A106, Aop!$A$2:$P$453, 4, 0)</f>
        <v>138</v>
      </c>
      <c r="I106" s="105">
        <f t="shared" si="16"/>
        <v>2025</v>
      </c>
      <c r="J106" s="55" t="str">
        <f t="shared" ca="1" si="20"/>
        <v/>
      </c>
      <c r="K106" s="55"/>
      <c r="L106" s="55" t="str">
        <f t="shared" ca="1" si="10"/>
        <v/>
      </c>
      <c r="M106" s="55">
        <f t="shared" ca="1" si="19"/>
        <v>6782620</v>
      </c>
      <c r="N106" s="55">
        <f t="shared" ca="1" si="11"/>
        <v>6782620</v>
      </c>
    </row>
    <row r="107" spans="1:14" x14ac:dyDescent="0.2">
      <c r="A107" s="105">
        <v>106</v>
      </c>
      <c r="B107" s="105" t="str">
        <f>VLOOKUP( $A107, Aop!$A$2:$P$453, 2, 0)</f>
        <v>BSp</v>
      </c>
      <c r="C107" s="105">
        <v>26</v>
      </c>
      <c r="D107" s="105" t="str">
        <f t="shared" si="12"/>
        <v>1074440</v>
      </c>
      <c r="E107" s="105" t="str">
        <f t="shared" si="13"/>
        <v>4400855640000</v>
      </c>
      <c r="F107" s="105" t="b">
        <f t="shared" si="14"/>
        <v>0</v>
      </c>
      <c r="G107" s="139">
        <f t="shared" si="15"/>
        <v>45930</v>
      </c>
      <c r="H107" s="105">
        <f>VLOOKUP( $A107, Aop!$A$2:$P$453, 4, 0)</f>
        <v>139</v>
      </c>
      <c r="I107" s="105">
        <f t="shared" si="16"/>
        <v>2025</v>
      </c>
      <c r="J107" s="55" t="str">
        <f t="shared" ca="1" si="20"/>
        <v/>
      </c>
      <c r="K107" s="55"/>
      <c r="L107" s="55" t="str">
        <f t="shared" ca="1" si="10"/>
        <v/>
      </c>
      <c r="M107" s="55">
        <f t="shared" ca="1" si="19"/>
        <v>7695690</v>
      </c>
      <c r="N107" s="55">
        <f t="shared" ca="1" si="11"/>
        <v>7695690</v>
      </c>
    </row>
    <row r="108" spans="1:14" x14ac:dyDescent="0.2">
      <c r="A108" s="105">
        <v>107</v>
      </c>
      <c r="B108" s="105" t="str">
        <f>VLOOKUP( $A108, Aop!$A$2:$P$453, 2, 0)</f>
        <v>BSp</v>
      </c>
      <c r="C108" s="105">
        <v>26</v>
      </c>
      <c r="D108" s="105" t="str">
        <f t="shared" si="12"/>
        <v>1074440</v>
      </c>
      <c r="E108" s="105" t="str">
        <f t="shared" si="13"/>
        <v>4400855640000</v>
      </c>
      <c r="F108" s="105" t="b">
        <f t="shared" si="14"/>
        <v>0</v>
      </c>
      <c r="G108" s="139">
        <f t="shared" si="15"/>
        <v>45930</v>
      </c>
      <c r="H108" s="105">
        <f>VLOOKUP( $A108, Aop!$A$2:$P$453, 4, 0)</f>
        <v>140</v>
      </c>
      <c r="I108" s="105">
        <f t="shared" si="16"/>
        <v>2025</v>
      </c>
      <c r="J108" s="55" t="str">
        <f t="shared" ca="1" si="20"/>
        <v/>
      </c>
      <c r="K108" s="55"/>
      <c r="L108" s="55" t="str">
        <f t="shared" ca="1" si="10"/>
        <v/>
      </c>
      <c r="M108" s="55">
        <f t="shared" ca="1" si="19"/>
        <v>32713164</v>
      </c>
      <c r="N108" s="55">
        <f t="shared" ca="1" si="11"/>
        <v>32713164</v>
      </c>
    </row>
    <row r="109" spans="1:14" x14ac:dyDescent="0.2">
      <c r="A109" s="105">
        <v>108</v>
      </c>
      <c r="B109" s="105" t="str">
        <f>VLOOKUP( $A109, Aop!$A$2:$P$453, 2, 0)</f>
        <v>BSp</v>
      </c>
      <c r="C109" s="105">
        <v>26</v>
      </c>
      <c r="D109" s="105" t="str">
        <f t="shared" si="12"/>
        <v>1074440</v>
      </c>
      <c r="E109" s="105" t="str">
        <f t="shared" si="13"/>
        <v>4400855640000</v>
      </c>
      <c r="F109" s="105" t="b">
        <f t="shared" si="14"/>
        <v>0</v>
      </c>
      <c r="G109" s="139">
        <f t="shared" si="15"/>
        <v>45930</v>
      </c>
      <c r="H109" s="105">
        <f>VLOOKUP( $A109, Aop!$A$2:$P$453, 4, 0)</f>
        <v>141</v>
      </c>
      <c r="I109" s="105">
        <f t="shared" si="16"/>
        <v>2025</v>
      </c>
      <c r="J109" s="55" t="str">
        <f t="shared" ca="1" si="20"/>
        <v/>
      </c>
      <c r="K109" s="55"/>
      <c r="L109" s="55" t="str">
        <f t="shared" ca="1" si="10"/>
        <v/>
      </c>
      <c r="M109" s="55">
        <f t="shared" ca="1" si="19"/>
        <v>27588036</v>
      </c>
      <c r="N109" s="55">
        <f t="shared" ca="1" si="11"/>
        <v>27588036</v>
      </c>
    </row>
    <row r="110" spans="1:14" x14ac:dyDescent="0.2">
      <c r="A110" s="105">
        <v>109</v>
      </c>
      <c r="B110" s="105" t="str">
        <f>VLOOKUP( $A110, Aop!$A$2:$P$453, 2, 0)</f>
        <v>BSp</v>
      </c>
      <c r="C110" s="105">
        <v>26</v>
      </c>
      <c r="D110" s="105" t="str">
        <f t="shared" si="12"/>
        <v>1074440</v>
      </c>
      <c r="E110" s="105" t="str">
        <f t="shared" si="13"/>
        <v>4400855640000</v>
      </c>
      <c r="F110" s="105" t="b">
        <f t="shared" si="14"/>
        <v>0</v>
      </c>
      <c r="G110" s="139">
        <f t="shared" si="15"/>
        <v>45930</v>
      </c>
      <c r="H110" s="105">
        <f>VLOOKUP( $A110, Aop!$A$2:$P$453, 4, 0)</f>
        <v>142</v>
      </c>
      <c r="I110" s="105">
        <f t="shared" si="16"/>
        <v>2025</v>
      </c>
      <c r="J110" s="55" t="str">
        <f t="shared" ca="1" si="20"/>
        <v/>
      </c>
      <c r="K110" s="55"/>
      <c r="L110" s="55" t="str">
        <f t="shared" ca="1" si="10"/>
        <v/>
      </c>
      <c r="M110" s="55">
        <f t="shared" ca="1" si="19"/>
        <v>0</v>
      </c>
      <c r="N110" s="55">
        <f t="shared" ca="1" si="11"/>
        <v>0</v>
      </c>
    </row>
    <row r="111" spans="1:14" x14ac:dyDescent="0.2">
      <c r="A111" s="105">
        <v>110</v>
      </c>
      <c r="B111" s="105" t="str">
        <f>VLOOKUP( $A111, Aop!$A$2:$P$453, 2, 0)</f>
        <v>BSp</v>
      </c>
      <c r="C111" s="105">
        <v>26</v>
      </c>
      <c r="D111" s="105" t="str">
        <f t="shared" si="12"/>
        <v>1074440</v>
      </c>
      <c r="E111" s="105" t="str">
        <f t="shared" si="13"/>
        <v>4400855640000</v>
      </c>
      <c r="F111" s="105" t="b">
        <f t="shared" si="14"/>
        <v>0</v>
      </c>
      <c r="G111" s="139">
        <f t="shared" si="15"/>
        <v>45930</v>
      </c>
      <c r="H111" s="105">
        <f>VLOOKUP( $A111, Aop!$A$2:$P$453, 4, 0)</f>
        <v>143</v>
      </c>
      <c r="I111" s="105">
        <f t="shared" si="16"/>
        <v>2025</v>
      </c>
      <c r="J111" s="55" t="str">
        <f t="shared" ca="1" si="20"/>
        <v/>
      </c>
      <c r="K111" s="55"/>
      <c r="L111" s="55" t="str">
        <f t="shared" ca="1" si="10"/>
        <v/>
      </c>
      <c r="M111" s="55">
        <f t="shared" ca="1" si="19"/>
        <v>0</v>
      </c>
      <c r="N111" s="55">
        <f t="shared" ca="1" si="11"/>
        <v>0</v>
      </c>
    </row>
    <row r="112" spans="1:14" x14ac:dyDescent="0.2">
      <c r="A112" s="105">
        <v>111</v>
      </c>
      <c r="B112" s="105" t="str">
        <f>VLOOKUP( $A112, Aop!$A$2:$P$453, 2, 0)</f>
        <v>BSp</v>
      </c>
      <c r="C112" s="105">
        <v>26</v>
      </c>
      <c r="D112" s="105" t="str">
        <f t="shared" si="12"/>
        <v>1074440</v>
      </c>
      <c r="E112" s="105" t="str">
        <f t="shared" si="13"/>
        <v>4400855640000</v>
      </c>
      <c r="F112" s="105" t="b">
        <f t="shared" si="14"/>
        <v>0</v>
      </c>
      <c r="G112" s="139">
        <f t="shared" si="15"/>
        <v>45930</v>
      </c>
      <c r="H112" s="105">
        <f>VLOOKUP( $A112, Aop!$A$2:$P$453, 4, 0)</f>
        <v>144</v>
      </c>
      <c r="I112" s="105">
        <f t="shared" si="16"/>
        <v>2025</v>
      </c>
      <c r="J112" s="55" t="str">
        <f t="shared" ca="1" si="20"/>
        <v/>
      </c>
      <c r="K112" s="55"/>
      <c r="L112" s="55" t="str">
        <f t="shared" ca="1" si="10"/>
        <v/>
      </c>
      <c r="M112" s="55">
        <f t="shared" ca="1" si="19"/>
        <v>0</v>
      </c>
      <c r="N112" s="55">
        <f t="shared" ca="1" si="11"/>
        <v>0</v>
      </c>
    </row>
    <row r="113" spans="1:14" x14ac:dyDescent="0.2">
      <c r="A113" s="105">
        <v>112</v>
      </c>
      <c r="B113" s="105" t="str">
        <f>VLOOKUP( $A113, Aop!$A$2:$P$453, 2, 0)</f>
        <v>BSp</v>
      </c>
      <c r="C113" s="105">
        <v>26</v>
      </c>
      <c r="D113" s="105" t="str">
        <f t="shared" si="12"/>
        <v>1074440</v>
      </c>
      <c r="E113" s="105" t="str">
        <f t="shared" si="13"/>
        <v>4400855640000</v>
      </c>
      <c r="F113" s="105" t="b">
        <f t="shared" si="14"/>
        <v>0</v>
      </c>
      <c r="G113" s="139">
        <f t="shared" si="15"/>
        <v>45930</v>
      </c>
      <c r="H113" s="105">
        <f>VLOOKUP( $A113, Aop!$A$2:$P$453, 4, 0)</f>
        <v>145</v>
      </c>
      <c r="I113" s="105">
        <f t="shared" si="16"/>
        <v>2025</v>
      </c>
      <c r="J113" s="55" t="str">
        <f t="shared" ca="1" si="20"/>
        <v/>
      </c>
      <c r="K113" s="55"/>
      <c r="L113" s="55" t="str">
        <f t="shared" ca="1" si="10"/>
        <v/>
      </c>
      <c r="M113" s="55">
        <f t="shared" ca="1" si="19"/>
        <v>16544439</v>
      </c>
      <c r="N113" s="55">
        <f t="shared" ca="1" si="11"/>
        <v>16544439</v>
      </c>
    </row>
    <row r="114" spans="1:14" x14ac:dyDescent="0.2">
      <c r="A114" s="105">
        <v>113</v>
      </c>
      <c r="B114" s="105" t="str">
        <f>VLOOKUP( $A114, Aop!$A$2:$P$453, 2, 0)</f>
        <v>BSp</v>
      </c>
      <c r="C114" s="105">
        <v>26</v>
      </c>
      <c r="D114" s="105" t="str">
        <f t="shared" si="12"/>
        <v>1074440</v>
      </c>
      <c r="E114" s="105" t="str">
        <f t="shared" si="13"/>
        <v>4400855640000</v>
      </c>
      <c r="F114" s="105" t="b">
        <f t="shared" si="14"/>
        <v>0</v>
      </c>
      <c r="G114" s="139">
        <f t="shared" si="15"/>
        <v>45930</v>
      </c>
      <c r="H114" s="105">
        <f>VLOOKUP( $A114, Aop!$A$2:$P$453, 4, 0)</f>
        <v>146</v>
      </c>
      <c r="I114" s="105">
        <f t="shared" si="16"/>
        <v>2025</v>
      </c>
      <c r="J114" s="55" t="str">
        <f t="shared" ca="1" si="20"/>
        <v/>
      </c>
      <c r="K114" s="55"/>
      <c r="L114" s="55" t="str">
        <f t="shared" ca="1" si="10"/>
        <v/>
      </c>
      <c r="M114" s="55">
        <f t="shared" ca="1" si="19"/>
        <v>19444683</v>
      </c>
      <c r="N114" s="55">
        <f t="shared" ca="1" si="11"/>
        <v>19444683</v>
      </c>
    </row>
    <row r="115" spans="1:14" x14ac:dyDescent="0.2">
      <c r="A115" s="105">
        <v>114</v>
      </c>
      <c r="B115" s="105" t="str">
        <f>VLOOKUP( $A115, Aop!$A$2:$P$453, 2, 0)</f>
        <v>BSp</v>
      </c>
      <c r="C115" s="105">
        <v>26</v>
      </c>
      <c r="D115" s="105" t="str">
        <f t="shared" si="12"/>
        <v>1074440</v>
      </c>
      <c r="E115" s="105" t="str">
        <f t="shared" si="13"/>
        <v>4400855640000</v>
      </c>
      <c r="F115" s="105" t="b">
        <f t="shared" si="14"/>
        <v>0</v>
      </c>
      <c r="G115" s="139">
        <f t="shared" si="15"/>
        <v>45930</v>
      </c>
      <c r="H115" s="105">
        <f>VLOOKUP( $A115, Aop!$A$2:$P$453, 4, 0)</f>
        <v>147</v>
      </c>
      <c r="I115" s="105">
        <f t="shared" si="16"/>
        <v>2025</v>
      </c>
      <c r="J115" s="55" t="str">
        <f t="shared" ca="1" si="20"/>
        <v/>
      </c>
      <c r="K115" s="55"/>
      <c r="L115" s="55" t="str">
        <f t="shared" ca="1" si="10"/>
        <v/>
      </c>
      <c r="M115" s="55">
        <f t="shared" ca="1" si="19"/>
        <v>159830213</v>
      </c>
      <c r="N115" s="55">
        <f t="shared" ca="1" si="11"/>
        <v>159830213</v>
      </c>
    </row>
    <row r="116" spans="1:14" x14ac:dyDescent="0.2">
      <c r="A116" s="105">
        <v>115</v>
      </c>
      <c r="B116" s="105" t="str">
        <f>VLOOKUP( $A116, Aop!$A$2:$P$453, 2, 0)</f>
        <v>BSp</v>
      </c>
      <c r="C116" s="105">
        <v>26</v>
      </c>
      <c r="D116" s="105" t="str">
        <f t="shared" si="12"/>
        <v>1074440</v>
      </c>
      <c r="E116" s="105" t="str">
        <f t="shared" si="13"/>
        <v>4400855640000</v>
      </c>
      <c r="F116" s="105" t="b">
        <f t="shared" si="14"/>
        <v>0</v>
      </c>
      <c r="G116" s="139">
        <f t="shared" si="15"/>
        <v>45930</v>
      </c>
      <c r="H116" s="105">
        <f>VLOOKUP( $A116, Aop!$A$2:$P$453, 4, 0)</f>
        <v>148</v>
      </c>
      <c r="I116" s="105">
        <f t="shared" si="16"/>
        <v>2025</v>
      </c>
      <c r="J116" s="55" t="str">
        <f t="shared" ca="1" si="20"/>
        <v/>
      </c>
      <c r="K116" s="55"/>
      <c r="L116" s="55" t="str">
        <f t="shared" ca="1" si="10"/>
        <v/>
      </c>
      <c r="M116" s="55">
        <f t="shared" ca="1" si="19"/>
        <v>2805979</v>
      </c>
      <c r="N116" s="55">
        <f t="shared" ca="1" si="11"/>
        <v>2805979</v>
      </c>
    </row>
    <row r="117" spans="1:14" x14ac:dyDescent="0.2">
      <c r="A117" s="105">
        <v>116</v>
      </c>
      <c r="B117" s="105" t="str">
        <f>VLOOKUP( $A117, Aop!$A$2:$P$453, 2, 0)</f>
        <v>BSp</v>
      </c>
      <c r="C117" s="105">
        <v>26</v>
      </c>
      <c r="D117" s="105" t="str">
        <f t="shared" si="12"/>
        <v>1074440</v>
      </c>
      <c r="E117" s="105" t="str">
        <f t="shared" si="13"/>
        <v>4400855640000</v>
      </c>
      <c r="F117" s="105" t="b">
        <f t="shared" si="14"/>
        <v>0</v>
      </c>
      <c r="G117" s="139">
        <f t="shared" si="15"/>
        <v>45930</v>
      </c>
      <c r="H117" s="105">
        <f>VLOOKUP( $A117, Aop!$A$2:$P$453, 4, 0)</f>
        <v>149</v>
      </c>
      <c r="I117" s="105">
        <f t="shared" si="16"/>
        <v>2025</v>
      </c>
      <c r="J117" s="55" t="str">
        <f t="shared" ca="1" si="20"/>
        <v/>
      </c>
      <c r="K117" s="55"/>
      <c r="L117" s="55" t="str">
        <f t="shared" ca="1" si="10"/>
        <v/>
      </c>
      <c r="M117" s="55">
        <f t="shared" ca="1" si="19"/>
        <v>703698</v>
      </c>
      <c r="N117" s="55">
        <f t="shared" ca="1" si="11"/>
        <v>703698</v>
      </c>
    </row>
    <row r="118" spans="1:14" x14ac:dyDescent="0.2">
      <c r="A118" s="105">
        <v>117</v>
      </c>
      <c r="B118" s="105" t="str">
        <f>VLOOKUP( $A118, Aop!$A$2:$P$453, 2, 0)</f>
        <v>BSp</v>
      </c>
      <c r="C118" s="105">
        <v>26</v>
      </c>
      <c r="D118" s="105" t="str">
        <f t="shared" si="12"/>
        <v>1074440</v>
      </c>
      <c r="E118" s="105" t="str">
        <f t="shared" si="13"/>
        <v>4400855640000</v>
      </c>
      <c r="F118" s="105" t="b">
        <f t="shared" si="14"/>
        <v>0</v>
      </c>
      <c r="G118" s="139">
        <f t="shared" si="15"/>
        <v>45930</v>
      </c>
      <c r="H118" s="105">
        <f>VLOOKUP( $A118, Aop!$A$2:$P$453, 4, 0)</f>
        <v>150</v>
      </c>
      <c r="I118" s="105">
        <f t="shared" si="16"/>
        <v>2025</v>
      </c>
      <c r="J118" s="55" t="str">
        <f t="shared" ca="1" si="20"/>
        <v/>
      </c>
      <c r="K118" s="55"/>
      <c r="L118" s="55" t="str">
        <f t="shared" ca="1" si="10"/>
        <v/>
      </c>
      <c r="M118" s="55">
        <f t="shared" ca="1" si="19"/>
        <v>2102281</v>
      </c>
      <c r="N118" s="55">
        <f t="shared" ca="1" si="11"/>
        <v>2102281</v>
      </c>
    </row>
    <row r="119" spans="1:14" x14ac:dyDescent="0.2">
      <c r="A119" s="105">
        <v>118</v>
      </c>
      <c r="B119" s="105" t="str">
        <f>VLOOKUP( $A119, Aop!$A$2:$P$453, 2, 0)</f>
        <v>BSp</v>
      </c>
      <c r="C119" s="105">
        <v>26</v>
      </c>
      <c r="D119" s="105" t="str">
        <f t="shared" si="12"/>
        <v>1074440</v>
      </c>
      <c r="E119" s="105" t="str">
        <f t="shared" si="13"/>
        <v>4400855640000</v>
      </c>
      <c r="F119" s="105" t="b">
        <f t="shared" si="14"/>
        <v>0</v>
      </c>
      <c r="G119" s="139">
        <f t="shared" si="15"/>
        <v>45930</v>
      </c>
      <c r="H119" s="105">
        <f>VLOOKUP( $A119, Aop!$A$2:$P$453, 4, 0)</f>
        <v>151</v>
      </c>
      <c r="I119" s="105">
        <f t="shared" si="16"/>
        <v>2025</v>
      </c>
      <c r="J119" s="55" t="str">
        <f t="shared" ca="1" si="20"/>
        <v/>
      </c>
      <c r="K119" s="55"/>
      <c r="L119" s="55" t="str">
        <f t="shared" ca="1" si="10"/>
        <v/>
      </c>
      <c r="M119" s="55">
        <f t="shared" ca="1" si="19"/>
        <v>0</v>
      </c>
      <c r="N119" s="55">
        <f t="shared" ca="1" si="11"/>
        <v>0</v>
      </c>
    </row>
    <row r="120" spans="1:14" x14ac:dyDescent="0.2">
      <c r="A120" s="105">
        <v>119</v>
      </c>
      <c r="B120" s="105" t="str">
        <f>VLOOKUP( $A120, Aop!$A$2:$P$453, 2, 0)</f>
        <v>BSp</v>
      </c>
      <c r="C120" s="105">
        <v>26</v>
      </c>
      <c r="D120" s="105" t="str">
        <f t="shared" si="12"/>
        <v>1074440</v>
      </c>
      <c r="E120" s="105" t="str">
        <f t="shared" si="13"/>
        <v>4400855640000</v>
      </c>
      <c r="F120" s="105" t="b">
        <f t="shared" si="14"/>
        <v>0</v>
      </c>
      <c r="G120" s="139">
        <f t="shared" si="15"/>
        <v>45930</v>
      </c>
      <c r="H120" s="105">
        <f>VLOOKUP( $A120, Aop!$A$2:$P$453, 4, 0)</f>
        <v>152</v>
      </c>
      <c r="I120" s="105">
        <f t="shared" si="16"/>
        <v>2025</v>
      </c>
      <c r="J120" s="55" t="str">
        <f t="shared" ca="1" si="20"/>
        <v/>
      </c>
      <c r="K120" s="55"/>
      <c r="L120" s="55" t="str">
        <f t="shared" ca="1" si="10"/>
        <v/>
      </c>
      <c r="M120" s="55">
        <f t="shared" ca="1" si="19"/>
        <v>0</v>
      </c>
      <c r="N120" s="55">
        <f t="shared" ca="1" si="11"/>
        <v>0</v>
      </c>
    </row>
    <row r="121" spans="1:14" x14ac:dyDescent="0.2">
      <c r="A121" s="105">
        <v>120</v>
      </c>
      <c r="B121" s="105" t="str">
        <f>VLOOKUP( $A121, Aop!$A$2:$P$453, 2, 0)</f>
        <v>BSp</v>
      </c>
      <c r="C121" s="105">
        <v>26</v>
      </c>
      <c r="D121" s="105" t="str">
        <f t="shared" si="12"/>
        <v>1074440</v>
      </c>
      <c r="E121" s="105" t="str">
        <f t="shared" si="13"/>
        <v>4400855640000</v>
      </c>
      <c r="F121" s="105" t="b">
        <f t="shared" si="14"/>
        <v>0</v>
      </c>
      <c r="G121" s="139">
        <f t="shared" si="15"/>
        <v>45930</v>
      </c>
      <c r="H121" s="105">
        <f>VLOOKUP( $A121, Aop!$A$2:$P$453, 4, 0)</f>
        <v>153</v>
      </c>
      <c r="I121" s="105">
        <f t="shared" si="16"/>
        <v>2025</v>
      </c>
      <c r="J121" s="55" t="str">
        <f t="shared" ca="1" si="20"/>
        <v/>
      </c>
      <c r="K121" s="55"/>
      <c r="L121" s="55" t="str">
        <f t="shared" ca="1" si="10"/>
        <v/>
      </c>
      <c r="M121" s="55">
        <f t="shared" ca="1" si="19"/>
        <v>0</v>
      </c>
      <c r="N121" s="55">
        <f t="shared" ca="1" si="11"/>
        <v>0</v>
      </c>
    </row>
    <row r="122" spans="1:14" x14ac:dyDescent="0.2">
      <c r="A122" s="105">
        <v>121</v>
      </c>
      <c r="B122" s="105" t="str">
        <f>VLOOKUP( $A122, Aop!$A$2:$P$453, 2, 0)</f>
        <v>BSp</v>
      </c>
      <c r="C122" s="105">
        <v>26</v>
      </c>
      <c r="D122" s="105" t="str">
        <f t="shared" si="12"/>
        <v>1074440</v>
      </c>
      <c r="E122" s="105" t="str">
        <f t="shared" si="13"/>
        <v>4400855640000</v>
      </c>
      <c r="F122" s="105" t="b">
        <f t="shared" si="14"/>
        <v>0</v>
      </c>
      <c r="G122" s="139">
        <f t="shared" si="15"/>
        <v>45930</v>
      </c>
      <c r="H122" s="105">
        <f>VLOOKUP( $A122, Aop!$A$2:$P$453, 4, 0)</f>
        <v>154</v>
      </c>
      <c r="I122" s="105">
        <f t="shared" si="16"/>
        <v>2025</v>
      </c>
      <c r="J122" s="55" t="str">
        <f t="shared" ca="1" si="20"/>
        <v/>
      </c>
      <c r="K122" s="55"/>
      <c r="L122" s="55" t="str">
        <f t="shared" ca="1" si="10"/>
        <v/>
      </c>
      <c r="M122" s="55">
        <f t="shared" ca="1" si="19"/>
        <v>0</v>
      </c>
      <c r="N122" s="55">
        <f t="shared" ca="1" si="11"/>
        <v>0</v>
      </c>
    </row>
    <row r="123" spans="1:14" x14ac:dyDescent="0.2">
      <c r="A123" s="105">
        <v>122</v>
      </c>
      <c r="B123" s="105" t="str">
        <f>VLOOKUP( $A123, Aop!$A$2:$P$453, 2, 0)</f>
        <v>BSp</v>
      </c>
      <c r="C123" s="105">
        <v>26</v>
      </c>
      <c r="D123" s="105" t="str">
        <f t="shared" si="12"/>
        <v>1074440</v>
      </c>
      <c r="E123" s="105" t="str">
        <f t="shared" si="13"/>
        <v>4400855640000</v>
      </c>
      <c r="F123" s="105" t="b">
        <f t="shared" si="14"/>
        <v>0</v>
      </c>
      <c r="G123" s="139">
        <f t="shared" si="15"/>
        <v>45930</v>
      </c>
      <c r="H123" s="105">
        <f>VLOOKUP( $A123, Aop!$A$2:$P$453, 4, 0)</f>
        <v>155</v>
      </c>
      <c r="I123" s="105">
        <f t="shared" si="16"/>
        <v>2025</v>
      </c>
      <c r="J123" s="55" t="str">
        <f t="shared" ca="1" si="20"/>
        <v/>
      </c>
      <c r="K123" s="55"/>
      <c r="L123" s="55" t="str">
        <f t="shared" ca="1" si="10"/>
        <v/>
      </c>
      <c r="M123" s="55">
        <f t="shared" ca="1" si="19"/>
        <v>134208267</v>
      </c>
      <c r="N123" s="55">
        <f t="shared" ca="1" si="11"/>
        <v>134208267</v>
      </c>
    </row>
    <row r="124" spans="1:14" x14ac:dyDescent="0.2">
      <c r="A124" s="105">
        <v>123</v>
      </c>
      <c r="B124" s="105" t="str">
        <f>VLOOKUP( $A124, Aop!$A$2:$P$453, 2, 0)</f>
        <v>BSp</v>
      </c>
      <c r="C124" s="105">
        <v>26</v>
      </c>
      <c r="D124" s="105" t="str">
        <f t="shared" si="12"/>
        <v>1074440</v>
      </c>
      <c r="E124" s="105" t="str">
        <f t="shared" si="13"/>
        <v>4400855640000</v>
      </c>
      <c r="F124" s="105" t="b">
        <f t="shared" si="14"/>
        <v>0</v>
      </c>
      <c r="G124" s="139">
        <f t="shared" si="15"/>
        <v>45930</v>
      </c>
      <c r="H124" s="105">
        <f>VLOOKUP( $A124, Aop!$A$2:$P$453, 4, 0)</f>
        <v>156</v>
      </c>
      <c r="I124" s="105">
        <f t="shared" si="16"/>
        <v>2025</v>
      </c>
      <c r="J124" s="55" t="str">
        <f t="shared" ca="1" si="20"/>
        <v/>
      </c>
      <c r="K124" s="55"/>
      <c r="L124" s="55" t="str">
        <f t="shared" ca="1" si="10"/>
        <v/>
      </c>
      <c r="M124" s="55">
        <f t="shared" ca="1" si="19"/>
        <v>635048</v>
      </c>
      <c r="N124" s="55">
        <f t="shared" ca="1" si="11"/>
        <v>635048</v>
      </c>
    </row>
    <row r="125" spans="1:14" x14ac:dyDescent="0.2">
      <c r="A125" s="105">
        <v>124</v>
      </c>
      <c r="B125" s="105" t="str">
        <f>VLOOKUP( $A125, Aop!$A$2:$P$453, 2, 0)</f>
        <v>BSp</v>
      </c>
      <c r="C125" s="105">
        <v>26</v>
      </c>
      <c r="D125" s="105" t="str">
        <f t="shared" si="12"/>
        <v>1074440</v>
      </c>
      <c r="E125" s="105" t="str">
        <f t="shared" si="13"/>
        <v>4400855640000</v>
      </c>
      <c r="F125" s="105" t="b">
        <f t="shared" si="14"/>
        <v>0</v>
      </c>
      <c r="G125" s="139">
        <f t="shared" si="15"/>
        <v>45930</v>
      </c>
      <c r="H125" s="105">
        <f>VLOOKUP( $A125, Aop!$A$2:$P$453, 4, 0)</f>
        <v>157</v>
      </c>
      <c r="I125" s="105">
        <f t="shared" si="16"/>
        <v>2025</v>
      </c>
      <c r="J125" s="55" t="str">
        <f t="shared" ca="1" si="20"/>
        <v/>
      </c>
      <c r="K125" s="55"/>
      <c r="L125" s="55" t="str">
        <f t="shared" ca="1" si="10"/>
        <v/>
      </c>
      <c r="M125" s="55">
        <f t="shared" ca="1" si="19"/>
        <v>126734719</v>
      </c>
      <c r="N125" s="55">
        <f t="shared" ca="1" si="11"/>
        <v>126734719</v>
      </c>
    </row>
    <row r="126" spans="1:14" x14ac:dyDescent="0.2">
      <c r="A126" s="105">
        <v>125</v>
      </c>
      <c r="B126" s="105" t="str">
        <f>VLOOKUP( $A126, Aop!$A$2:$P$453, 2, 0)</f>
        <v>BSp</v>
      </c>
      <c r="C126" s="105">
        <v>26</v>
      </c>
      <c r="D126" s="105" t="str">
        <f t="shared" si="12"/>
        <v>1074440</v>
      </c>
      <c r="E126" s="105" t="str">
        <f t="shared" si="13"/>
        <v>4400855640000</v>
      </c>
      <c r="F126" s="105" t="b">
        <f t="shared" si="14"/>
        <v>0</v>
      </c>
      <c r="G126" s="139">
        <f t="shared" si="15"/>
        <v>45930</v>
      </c>
      <c r="H126" s="105">
        <f>VLOOKUP( $A126, Aop!$A$2:$P$453, 4, 0)</f>
        <v>158</v>
      </c>
      <c r="I126" s="105">
        <f t="shared" si="16"/>
        <v>2025</v>
      </c>
      <c r="J126" s="55" t="str">
        <f t="shared" ca="1" si="20"/>
        <v/>
      </c>
      <c r="K126" s="55"/>
      <c r="L126" s="55" t="str">
        <f t="shared" ca="1" si="10"/>
        <v/>
      </c>
      <c r="M126" s="55">
        <f t="shared" ca="1" si="19"/>
        <v>6582221</v>
      </c>
      <c r="N126" s="55">
        <f t="shared" ca="1" si="11"/>
        <v>6582221</v>
      </c>
    </row>
    <row r="127" spans="1:14" x14ac:dyDescent="0.2">
      <c r="A127" s="105">
        <v>126</v>
      </c>
      <c r="B127" s="105" t="str">
        <f>VLOOKUP( $A127, Aop!$A$2:$P$453, 2, 0)</f>
        <v>BSp</v>
      </c>
      <c r="C127" s="105">
        <v>26</v>
      </c>
      <c r="D127" s="105" t="str">
        <f t="shared" si="12"/>
        <v>1074440</v>
      </c>
      <c r="E127" s="105" t="str">
        <f t="shared" si="13"/>
        <v>4400855640000</v>
      </c>
      <c r="F127" s="105" t="b">
        <f t="shared" si="14"/>
        <v>0</v>
      </c>
      <c r="G127" s="139">
        <f t="shared" si="15"/>
        <v>45930</v>
      </c>
      <c r="H127" s="105">
        <f>VLOOKUP( $A127, Aop!$A$2:$P$453, 4, 0)</f>
        <v>159</v>
      </c>
      <c r="I127" s="105">
        <f t="shared" si="16"/>
        <v>2025</v>
      </c>
      <c r="J127" s="55" t="str">
        <f t="shared" ca="1" si="20"/>
        <v/>
      </c>
      <c r="K127" s="55"/>
      <c r="L127" s="55" t="str">
        <f t="shared" ca="1" si="10"/>
        <v/>
      </c>
      <c r="M127" s="55">
        <f t="shared" ca="1" si="19"/>
        <v>149211</v>
      </c>
      <c r="N127" s="55">
        <f t="shared" ca="1" si="11"/>
        <v>149211</v>
      </c>
    </row>
    <row r="128" spans="1:14" x14ac:dyDescent="0.2">
      <c r="A128" s="105">
        <v>127</v>
      </c>
      <c r="B128" s="105" t="str">
        <f>VLOOKUP( $A128, Aop!$A$2:$P$453, 2, 0)</f>
        <v>BSp</v>
      </c>
      <c r="C128" s="105">
        <v>26</v>
      </c>
      <c r="D128" s="105" t="str">
        <f t="shared" si="12"/>
        <v>1074440</v>
      </c>
      <c r="E128" s="105" t="str">
        <f t="shared" si="13"/>
        <v>4400855640000</v>
      </c>
      <c r="F128" s="105" t="b">
        <f t="shared" si="14"/>
        <v>0</v>
      </c>
      <c r="G128" s="139">
        <f t="shared" si="15"/>
        <v>45930</v>
      </c>
      <c r="H128" s="105">
        <f>VLOOKUP( $A128, Aop!$A$2:$P$453, 4, 0)</f>
        <v>160</v>
      </c>
      <c r="I128" s="105">
        <f t="shared" si="16"/>
        <v>2025</v>
      </c>
      <c r="J128" s="55" t="str">
        <f t="shared" ca="1" si="20"/>
        <v/>
      </c>
      <c r="K128" s="55"/>
      <c r="L128" s="55" t="str">
        <f t="shared" ca="1" si="10"/>
        <v/>
      </c>
      <c r="M128" s="55">
        <f t="shared" ca="1" si="19"/>
        <v>107068</v>
      </c>
      <c r="N128" s="55">
        <f t="shared" ca="1" si="11"/>
        <v>107068</v>
      </c>
    </row>
    <row r="129" spans="1:14" x14ac:dyDescent="0.2">
      <c r="A129" s="105">
        <v>128</v>
      </c>
      <c r="B129" s="105" t="str">
        <f>VLOOKUP( $A129, Aop!$A$2:$P$453, 2, 0)</f>
        <v>BSp</v>
      </c>
      <c r="C129" s="105">
        <v>26</v>
      </c>
      <c r="D129" s="105" t="str">
        <f t="shared" si="12"/>
        <v>1074440</v>
      </c>
      <c r="E129" s="105" t="str">
        <f t="shared" si="13"/>
        <v>4400855640000</v>
      </c>
      <c r="F129" s="105" t="b">
        <f t="shared" si="14"/>
        <v>0</v>
      </c>
      <c r="G129" s="139">
        <f t="shared" si="15"/>
        <v>45930</v>
      </c>
      <c r="H129" s="105">
        <f>VLOOKUP( $A129, Aop!$A$2:$P$453, 4, 0)</f>
        <v>161</v>
      </c>
      <c r="I129" s="105">
        <f t="shared" si="16"/>
        <v>2025</v>
      </c>
      <c r="J129" s="55" t="str">
        <f t="shared" ca="1" si="20"/>
        <v/>
      </c>
      <c r="K129" s="55"/>
      <c r="L129" s="55" t="str">
        <f t="shared" ca="1" si="10"/>
        <v/>
      </c>
      <c r="M129" s="55">
        <f t="shared" ca="1" si="19"/>
        <v>13969339</v>
      </c>
      <c r="N129" s="55">
        <f t="shared" ca="1" si="11"/>
        <v>13969339</v>
      </c>
    </row>
    <row r="130" spans="1:14" x14ac:dyDescent="0.2">
      <c r="A130" s="105">
        <v>129</v>
      </c>
      <c r="B130" s="55" t="str">
        <f>VLOOKUP( $A130, Aop!$A$2:$P$453, 2, 0)</f>
        <v>BSp</v>
      </c>
      <c r="C130" s="105">
        <v>26</v>
      </c>
      <c r="D130" s="55" t="str">
        <f>Podatak_MB</f>
        <v>1074440</v>
      </c>
      <c r="E130" s="55" t="str">
        <f>Podatak_JIB</f>
        <v>4400855640000</v>
      </c>
      <c r="F130" s="55" t="b">
        <f>Konsolidovan_izvjestaj</f>
        <v>0</v>
      </c>
      <c r="G130" s="139">
        <f>Datum_Broj</f>
        <v>45930</v>
      </c>
      <c r="H130" s="55">
        <f>VLOOKUP( $A130, Aop!$A$2:$P$453, 4, 0)</f>
        <v>162</v>
      </c>
      <c r="I130" s="55">
        <f>Godina</f>
        <v>2025</v>
      </c>
      <c r="J130" s="55" t="str">
        <f t="shared" ca="1" si="20"/>
        <v/>
      </c>
      <c r="K130" s="55"/>
      <c r="L130" s="55" t="str">
        <f t="shared" ca="1" si="10"/>
        <v/>
      </c>
      <c r="M130" s="55">
        <f t="shared" ca="1" si="19"/>
        <v>5399524</v>
      </c>
      <c r="N130" s="55">
        <f t="shared" ref="N130:N193" ca="1" si="21">IF( VLOOKUP( $H130, INDIRECT( "Lookup_" &amp; $B130), IF( LEFT( $B130, 2) = "BS", S$2, S$1), 0) = "", "", VLOOKUP( $H130, INDIRECT( "Lookup_" &amp; $B130), IF( LEFT( $B130, 2) = "BS", S$2, S$1), 0))</f>
        <v>5399524</v>
      </c>
    </row>
    <row r="131" spans="1:14" x14ac:dyDescent="0.2">
      <c r="A131" s="105">
        <v>130</v>
      </c>
      <c r="B131" s="105" t="str">
        <f>VLOOKUP( $A131, Aop!$A$2:$P$453, 2, 0)</f>
        <v>BSp</v>
      </c>
      <c r="C131" s="105">
        <v>26</v>
      </c>
      <c r="D131" s="55" t="str">
        <f t="shared" ref="D131:D190" si="22">Podatak_MB</f>
        <v>1074440</v>
      </c>
      <c r="E131" s="55" t="str">
        <f t="shared" ref="E131:E190" si="23">Podatak_JIB</f>
        <v>4400855640000</v>
      </c>
      <c r="F131" s="55" t="b">
        <f t="shared" si="14"/>
        <v>0</v>
      </c>
      <c r="G131" s="139">
        <f t="shared" si="15"/>
        <v>45930</v>
      </c>
      <c r="H131" s="105">
        <f>VLOOKUP( $A131, Aop!$A$2:$P$453, 4, 0)</f>
        <v>163</v>
      </c>
      <c r="I131" s="55">
        <f t="shared" ref="I131:I190" si="24">Godina</f>
        <v>2025</v>
      </c>
      <c r="J131" s="55" t="str">
        <f t="shared" ca="1" si="20"/>
        <v/>
      </c>
      <c r="K131" s="55"/>
      <c r="L131" s="55" t="str">
        <f t="shared" ca="1" si="10"/>
        <v/>
      </c>
      <c r="M131" s="55">
        <f t="shared" ca="1" si="19"/>
        <v>177908</v>
      </c>
      <c r="N131" s="55">
        <f t="shared" ca="1" si="21"/>
        <v>177908</v>
      </c>
    </row>
    <row r="132" spans="1:14" x14ac:dyDescent="0.2">
      <c r="A132" s="105">
        <v>131</v>
      </c>
      <c r="B132" s="105" t="str">
        <f>VLOOKUP( $A132, Aop!$A$2:$P$453, 2, 0)</f>
        <v>BSp</v>
      </c>
      <c r="C132" s="105">
        <v>26</v>
      </c>
      <c r="D132" s="55" t="str">
        <f t="shared" si="22"/>
        <v>1074440</v>
      </c>
      <c r="E132" s="55" t="str">
        <f t="shared" si="23"/>
        <v>4400855640000</v>
      </c>
      <c r="F132" s="55" t="b">
        <f t="shared" ref="F132:F191" si="25">Konsolidovan_izvjestaj</f>
        <v>0</v>
      </c>
      <c r="G132" s="139">
        <f t="shared" ref="G132:G191" si="26">Datum_Broj</f>
        <v>45930</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1170527</v>
      </c>
      <c r="N132" s="55">
        <f t="shared" ca="1" si="21"/>
        <v>1170527</v>
      </c>
    </row>
    <row r="133" spans="1:14" x14ac:dyDescent="0.2">
      <c r="A133" s="105">
        <v>132</v>
      </c>
      <c r="B133" s="105" t="str">
        <f>VLOOKUP( $A133, Aop!$A$2:$P$453, 2, 0)</f>
        <v>BSp</v>
      </c>
      <c r="C133" s="105">
        <v>26</v>
      </c>
      <c r="D133" s="55" t="str">
        <f t="shared" si="22"/>
        <v>1074440</v>
      </c>
      <c r="E133" s="55" t="str">
        <f t="shared" si="23"/>
        <v>4400855640000</v>
      </c>
      <c r="F133" s="55" t="b">
        <f t="shared" si="25"/>
        <v>0</v>
      </c>
      <c r="G133" s="139">
        <f t="shared" si="26"/>
        <v>45930</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46247</v>
      </c>
      <c r="N133" s="55">
        <f t="shared" ca="1" si="21"/>
        <v>46247</v>
      </c>
    </row>
    <row r="134" spans="1:14" x14ac:dyDescent="0.2">
      <c r="A134" s="105">
        <v>133</v>
      </c>
      <c r="B134" s="105" t="str">
        <f>VLOOKUP( $A134, Aop!$A$2:$P$453, 2, 0)</f>
        <v>BSp</v>
      </c>
      <c r="C134" s="105">
        <v>26</v>
      </c>
      <c r="D134" s="55" t="str">
        <f t="shared" si="22"/>
        <v>1074440</v>
      </c>
      <c r="E134" s="55" t="str">
        <f t="shared" si="23"/>
        <v>4400855640000</v>
      </c>
      <c r="F134" s="55" t="b">
        <f t="shared" si="25"/>
        <v>0</v>
      </c>
      <c r="G134" s="139">
        <f t="shared" si="26"/>
        <v>45930</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f t="shared" ca="1" si="27"/>
        <v>0</v>
      </c>
      <c r="N134" s="55">
        <f t="shared" ca="1" si="21"/>
        <v>0</v>
      </c>
    </row>
    <row r="135" spans="1:14" x14ac:dyDescent="0.2">
      <c r="A135" s="105">
        <v>134</v>
      </c>
      <c r="B135" s="105" t="str">
        <f>VLOOKUP( $A135, Aop!$A$2:$P$453, 2, 0)</f>
        <v>BSp</v>
      </c>
      <c r="C135" s="105">
        <v>26</v>
      </c>
      <c r="D135" s="55" t="str">
        <f t="shared" si="22"/>
        <v>1074440</v>
      </c>
      <c r="E135" s="55" t="str">
        <f t="shared" si="23"/>
        <v>4400855640000</v>
      </c>
      <c r="F135" s="55" t="b">
        <f t="shared" si="25"/>
        <v>0</v>
      </c>
      <c r="G135" s="139">
        <f t="shared" si="26"/>
        <v>45930</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2052422</v>
      </c>
      <c r="N135" s="55">
        <f t="shared" ca="1" si="21"/>
        <v>2052422</v>
      </c>
    </row>
    <row r="136" spans="1:14" x14ac:dyDescent="0.2">
      <c r="A136" s="105">
        <v>136</v>
      </c>
      <c r="B136" s="105" t="str">
        <f>VLOOKUP( $A136, Aop!$A$2:$P$453, 2, 0)</f>
        <v>BSp</v>
      </c>
      <c r="C136" s="105">
        <v>26</v>
      </c>
      <c r="D136" s="55" t="str">
        <f t="shared" si="22"/>
        <v>1074440</v>
      </c>
      <c r="E136" s="55" t="str">
        <f t="shared" si="23"/>
        <v>4400855640000</v>
      </c>
      <c r="F136" s="55" t="b">
        <f t="shared" si="25"/>
        <v>0</v>
      </c>
      <c r="G136" s="139">
        <f t="shared" si="26"/>
        <v>45930</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1074440</v>
      </c>
      <c r="E137" s="55" t="str">
        <f t="shared" si="23"/>
        <v>4400855640000</v>
      </c>
      <c r="F137" s="55" t="b">
        <f t="shared" si="25"/>
        <v>0</v>
      </c>
      <c r="G137" s="139">
        <f t="shared" si="26"/>
        <v>45930</v>
      </c>
      <c r="H137" s="105">
        <f>VLOOKUP( $A137, Aop!$A$2:$P$453, 4, 0)</f>
        <v>169</v>
      </c>
      <c r="I137" s="55">
        <f t="shared" si="24"/>
        <v>2025</v>
      </c>
      <c r="J137" s="55" t="str">
        <f t="shared" ca="1" si="28"/>
        <v/>
      </c>
      <c r="K137" s="55"/>
      <c r="L137" s="55"/>
      <c r="M137" s="55">
        <f t="shared" ca="1" si="27"/>
        <v>515413818</v>
      </c>
      <c r="N137" s="55">
        <f t="shared" ca="1" si="21"/>
        <v>515413818</v>
      </c>
    </row>
    <row r="138" spans="1:14" x14ac:dyDescent="0.2">
      <c r="A138" s="105">
        <v>138</v>
      </c>
      <c r="B138" s="105" t="str">
        <f>VLOOKUP( $A138, Aop!$A$2:$P$453, 2, 0)</f>
        <v>BSp</v>
      </c>
      <c r="C138" s="105">
        <v>27</v>
      </c>
      <c r="D138" s="55" t="str">
        <f t="shared" si="22"/>
        <v>1074440</v>
      </c>
      <c r="E138" s="55" t="str">
        <f t="shared" si="23"/>
        <v>4400855640000</v>
      </c>
      <c r="F138" s="55" t="b">
        <f t="shared" si="25"/>
        <v>0</v>
      </c>
      <c r="G138" s="139">
        <f t="shared" si="26"/>
        <v>45930</v>
      </c>
      <c r="H138" s="105">
        <f>VLOOKUP( $A138, Aop!$A$2:$P$453, 4, 0)</f>
        <v>170</v>
      </c>
      <c r="I138" s="55">
        <f t="shared" si="24"/>
        <v>2025</v>
      </c>
      <c r="J138" s="55" t="str">
        <f t="shared" ca="1" si="28"/>
        <v/>
      </c>
      <c r="K138" s="55"/>
      <c r="L138" s="55"/>
      <c r="M138" s="55">
        <f t="shared" ref="M138:M197" ca="1" si="29">IF( VLOOKUP( $H138, INDIRECT( "Lookup_" &amp; $B138), IF( LEFT( $B138, 2) = "BS", S$2, S$1), 0) = "", "", VLOOKUP( $H138, INDIRECT( "Lookup_" &amp; $B138), IF( LEFT( $B138, 2) = "BS", S$2, S$1), 0))</f>
        <v>116246129</v>
      </c>
      <c r="N138" s="55">
        <f t="shared" ca="1" si="21"/>
        <v>116246129</v>
      </c>
    </row>
    <row r="139" spans="1:14" x14ac:dyDescent="0.2">
      <c r="A139" s="105">
        <v>139</v>
      </c>
      <c r="B139" s="105" t="str">
        <f>VLOOKUP( $A139, Aop!$A$2:$P$453, 2, 0)</f>
        <v>BUa</v>
      </c>
      <c r="C139" s="55">
        <v>27</v>
      </c>
      <c r="D139" s="55" t="str">
        <f t="shared" si="22"/>
        <v>1074440</v>
      </c>
      <c r="E139" s="55" t="str">
        <f t="shared" si="23"/>
        <v>4400855640000</v>
      </c>
      <c r="F139" s="55" t="b">
        <f t="shared" si="25"/>
        <v>0</v>
      </c>
      <c r="G139" s="139">
        <f t="shared" si="26"/>
        <v>45930</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114176968</v>
      </c>
      <c r="N139" s="55">
        <f t="shared" ca="1" si="21"/>
        <v>114176968</v>
      </c>
    </row>
    <row r="140" spans="1:14" x14ac:dyDescent="0.2">
      <c r="A140" s="105">
        <v>140</v>
      </c>
      <c r="B140" s="105" t="str">
        <f>VLOOKUP( $A140, Aop!$A$2:$P$453, 2, 0)</f>
        <v>BUa</v>
      </c>
      <c r="C140" s="55">
        <v>27</v>
      </c>
      <c r="D140" s="55" t="str">
        <f t="shared" si="22"/>
        <v>1074440</v>
      </c>
      <c r="E140" s="55" t="str">
        <f t="shared" si="23"/>
        <v>4400855640000</v>
      </c>
      <c r="F140" s="55" t="b">
        <f t="shared" si="25"/>
        <v>0</v>
      </c>
      <c r="G140" s="139">
        <f t="shared" si="26"/>
        <v>45930</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485532</v>
      </c>
      <c r="N140" s="55">
        <f t="shared" ca="1" si="21"/>
        <v>485532</v>
      </c>
    </row>
    <row r="141" spans="1:14" x14ac:dyDescent="0.2">
      <c r="A141" s="105">
        <v>141</v>
      </c>
      <c r="B141" s="105" t="str">
        <f>VLOOKUP( $A141, Aop!$A$2:$P$453, 2, 0)</f>
        <v>BUa</v>
      </c>
      <c r="C141" s="55">
        <v>27</v>
      </c>
      <c r="D141" s="55" t="str">
        <f t="shared" si="22"/>
        <v>1074440</v>
      </c>
      <c r="E141" s="55" t="str">
        <f t="shared" si="23"/>
        <v>4400855640000</v>
      </c>
      <c r="F141" s="55" t="b">
        <f t="shared" si="25"/>
        <v>0</v>
      </c>
      <c r="G141" s="139">
        <f t="shared" si="26"/>
        <v>45930</v>
      </c>
      <c r="H141" s="105">
        <f>VLOOKUP( $A141, Aop!$A$2:$P$453, 4, 0)</f>
        <v>203</v>
      </c>
      <c r="I141" s="55">
        <f t="shared" si="24"/>
        <v>2025</v>
      </c>
      <c r="J141" s="55" t="str">
        <f t="shared" ca="1" si="30"/>
        <v/>
      </c>
      <c r="K141" s="55"/>
      <c r="L141" s="55"/>
      <c r="M141" s="55">
        <f t="shared" ca="1" si="29"/>
        <v>0</v>
      </c>
      <c r="N141" s="55">
        <f t="shared" ca="1" si="21"/>
        <v>0</v>
      </c>
    </row>
    <row r="142" spans="1:14" x14ac:dyDescent="0.2">
      <c r="A142" s="105">
        <v>142</v>
      </c>
      <c r="B142" s="105" t="str">
        <f>VLOOKUP( $A142, Aop!$A$2:$P$453, 2, 0)</f>
        <v>BUa</v>
      </c>
      <c r="C142" s="55">
        <v>27</v>
      </c>
      <c r="D142" s="55" t="str">
        <f t="shared" si="22"/>
        <v>1074440</v>
      </c>
      <c r="E142" s="55" t="str">
        <f t="shared" si="23"/>
        <v>4400855640000</v>
      </c>
      <c r="F142" s="55" t="b">
        <f t="shared" si="25"/>
        <v>0</v>
      </c>
      <c r="G142" s="139">
        <f t="shared" si="26"/>
        <v>45930</v>
      </c>
      <c r="H142" s="105">
        <f>VLOOKUP( $A142, Aop!$A$2:$P$453, 4, 0)</f>
        <v>204</v>
      </c>
      <c r="I142" s="55">
        <f t="shared" si="24"/>
        <v>2025</v>
      </c>
      <c r="J142" s="55" t="str">
        <f t="shared" ca="1" si="30"/>
        <v/>
      </c>
      <c r="K142" s="55"/>
      <c r="L142" s="55"/>
      <c r="M142" s="55">
        <f t="shared" ca="1" si="29"/>
        <v>485532</v>
      </c>
      <c r="N142" s="55">
        <f t="shared" ca="1" si="21"/>
        <v>485532</v>
      </c>
    </row>
    <row r="143" spans="1:14" x14ac:dyDescent="0.2">
      <c r="A143" s="105">
        <v>143</v>
      </c>
      <c r="B143" s="105" t="str">
        <f>VLOOKUP( $A143, Aop!$A$2:$P$453, 2, 0)</f>
        <v>BUa</v>
      </c>
      <c r="C143" s="55">
        <v>27</v>
      </c>
      <c r="D143" s="55" t="str">
        <f t="shared" si="22"/>
        <v>1074440</v>
      </c>
      <c r="E143" s="55" t="str">
        <f t="shared" si="23"/>
        <v>4400855640000</v>
      </c>
      <c r="F143" s="55" t="b">
        <f t="shared" si="25"/>
        <v>0</v>
      </c>
      <c r="G143" s="139">
        <f t="shared" si="26"/>
        <v>45930</v>
      </c>
      <c r="H143" s="105">
        <f>VLOOKUP( $A143, Aop!$A$2:$P$453, 4, 0)</f>
        <v>205</v>
      </c>
      <c r="I143" s="55">
        <f t="shared" si="24"/>
        <v>2025</v>
      </c>
      <c r="J143" s="55" t="str">
        <f t="shared" ca="1" si="30"/>
        <v/>
      </c>
      <c r="K143" s="55"/>
      <c r="L143" s="55"/>
      <c r="M143" s="55">
        <f t="shared" ca="1" si="29"/>
        <v>0</v>
      </c>
      <c r="N143" s="55">
        <f t="shared" ca="1" si="21"/>
        <v>0</v>
      </c>
    </row>
    <row r="144" spans="1:14" x14ac:dyDescent="0.2">
      <c r="A144" s="105">
        <v>144</v>
      </c>
      <c r="B144" s="105" t="str">
        <f>VLOOKUP( $A144, Aop!$A$2:$P$453, 2, 0)</f>
        <v>BUa</v>
      </c>
      <c r="C144" s="55">
        <v>27</v>
      </c>
      <c r="D144" s="55" t="str">
        <f t="shared" si="22"/>
        <v>1074440</v>
      </c>
      <c r="E144" s="55" t="str">
        <f t="shared" si="23"/>
        <v>4400855640000</v>
      </c>
      <c r="F144" s="55" t="b">
        <f t="shared" si="25"/>
        <v>0</v>
      </c>
      <c r="G144" s="139">
        <f t="shared" si="26"/>
        <v>45930</v>
      </c>
      <c r="H144" s="105">
        <f>VLOOKUP( $A144, Aop!$A$2:$P$453, 4, 0)</f>
        <v>206</v>
      </c>
      <c r="I144" s="55">
        <f t="shared" si="24"/>
        <v>2025</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1074440</v>
      </c>
      <c r="E145" s="55" t="str">
        <f t="shared" si="23"/>
        <v>4400855640000</v>
      </c>
      <c r="F145" s="55" t="b">
        <f t="shared" si="25"/>
        <v>0</v>
      </c>
      <c r="G145" s="139">
        <f t="shared" si="26"/>
        <v>45930</v>
      </c>
      <c r="H145" s="105">
        <f>VLOOKUP( $A145, Aop!$A$2:$P$453, 4, 0)</f>
        <v>207</v>
      </c>
      <c r="I145" s="55">
        <f t="shared" si="24"/>
        <v>2025</v>
      </c>
      <c r="J145" s="55" t="str">
        <f t="shared" ca="1" si="30"/>
        <v/>
      </c>
      <c r="K145" s="55"/>
      <c r="L145" s="55"/>
      <c r="M145" s="55">
        <f t="shared" ca="1" si="29"/>
        <v>0</v>
      </c>
      <c r="N145" s="55">
        <f t="shared" ca="1" si="21"/>
        <v>0</v>
      </c>
    </row>
    <row r="146" spans="1:14" x14ac:dyDescent="0.2">
      <c r="A146" s="105">
        <v>146</v>
      </c>
      <c r="B146" s="105" t="str">
        <f>VLOOKUP( $A146, Aop!$A$2:$P$453, 2, 0)</f>
        <v>BUa</v>
      </c>
      <c r="C146" s="55">
        <v>27</v>
      </c>
      <c r="D146" s="55" t="str">
        <f t="shared" si="22"/>
        <v>1074440</v>
      </c>
      <c r="E146" s="55" t="str">
        <f t="shared" si="23"/>
        <v>4400855640000</v>
      </c>
      <c r="F146" s="55" t="b">
        <f t="shared" si="25"/>
        <v>0</v>
      </c>
      <c r="G146" s="139">
        <f t="shared" si="26"/>
        <v>45930</v>
      </c>
      <c r="H146" s="105">
        <f>VLOOKUP( $A146, Aop!$A$2:$P$453, 4, 0)</f>
        <v>208</v>
      </c>
      <c r="I146" s="55">
        <f t="shared" si="24"/>
        <v>2025</v>
      </c>
      <c r="J146" s="55" t="str">
        <f t="shared" ca="1" si="30"/>
        <v/>
      </c>
      <c r="K146" s="55"/>
      <c r="L146" s="55"/>
      <c r="M146" s="55">
        <f t="shared" ca="1" si="29"/>
        <v>0</v>
      </c>
      <c r="N146" s="55">
        <f t="shared" ca="1" si="21"/>
        <v>0</v>
      </c>
    </row>
    <row r="147" spans="1:14" x14ac:dyDescent="0.2">
      <c r="A147" s="105">
        <v>147</v>
      </c>
      <c r="B147" s="105" t="str">
        <f>VLOOKUP( $A147, Aop!$A$2:$P$453, 2, 0)</f>
        <v>BUa</v>
      </c>
      <c r="C147" s="55">
        <v>27</v>
      </c>
      <c r="D147" s="55" t="str">
        <f t="shared" si="22"/>
        <v>1074440</v>
      </c>
      <c r="E147" s="55" t="str">
        <f t="shared" si="23"/>
        <v>4400855640000</v>
      </c>
      <c r="F147" s="55" t="b">
        <f t="shared" si="25"/>
        <v>0</v>
      </c>
      <c r="G147" s="139">
        <f t="shared" si="26"/>
        <v>45930</v>
      </c>
      <c r="H147" s="105">
        <f>VLOOKUP( $A147, Aop!$A$2:$P$453, 4, 0)</f>
        <v>209</v>
      </c>
      <c r="I147" s="55">
        <f t="shared" si="24"/>
        <v>2025</v>
      </c>
      <c r="J147" s="55" t="str">
        <f t="shared" ca="1" si="30"/>
        <v/>
      </c>
      <c r="K147" s="55"/>
      <c r="L147" s="55"/>
      <c r="M147" s="55">
        <f t="shared" ca="1" si="29"/>
        <v>0</v>
      </c>
      <c r="N147" s="55">
        <f t="shared" ca="1" si="21"/>
        <v>0</v>
      </c>
    </row>
    <row r="148" spans="1:14" x14ac:dyDescent="0.2">
      <c r="A148" s="105">
        <v>148</v>
      </c>
      <c r="B148" s="105" t="str">
        <f>VLOOKUP( $A148, Aop!$A$2:$P$453, 2, 0)</f>
        <v>BUa</v>
      </c>
      <c r="C148" s="55">
        <v>27</v>
      </c>
      <c r="D148" s="55" t="str">
        <f t="shared" si="22"/>
        <v>1074440</v>
      </c>
      <c r="E148" s="55" t="str">
        <f t="shared" si="23"/>
        <v>4400855640000</v>
      </c>
      <c r="F148" s="55" t="b">
        <f t="shared" si="25"/>
        <v>0</v>
      </c>
      <c r="G148" s="139">
        <f t="shared" si="26"/>
        <v>45930</v>
      </c>
      <c r="H148" s="105">
        <f>VLOOKUP( $A148, Aop!$A$2:$P$453, 4, 0)</f>
        <v>210</v>
      </c>
      <c r="I148" s="55">
        <f t="shared" si="24"/>
        <v>2025</v>
      </c>
      <c r="J148" s="55" t="str">
        <f t="shared" ca="1" si="30"/>
        <v/>
      </c>
      <c r="K148" s="55"/>
      <c r="L148" s="55"/>
      <c r="M148" s="55">
        <f t="shared" ca="1" si="29"/>
        <v>109034655</v>
      </c>
      <c r="N148" s="55">
        <f t="shared" ca="1" si="21"/>
        <v>109034655</v>
      </c>
    </row>
    <row r="149" spans="1:14" x14ac:dyDescent="0.2">
      <c r="A149" s="105">
        <v>149</v>
      </c>
      <c r="B149" s="105" t="str">
        <f>VLOOKUP( $A149, Aop!$A$2:$P$453, 2, 0)</f>
        <v>BUa</v>
      </c>
      <c r="C149" s="55">
        <v>27</v>
      </c>
      <c r="D149" s="55" t="str">
        <f t="shared" si="22"/>
        <v>1074440</v>
      </c>
      <c r="E149" s="55" t="str">
        <f t="shared" si="23"/>
        <v>4400855640000</v>
      </c>
      <c r="F149" s="55" t="b">
        <f t="shared" si="25"/>
        <v>0</v>
      </c>
      <c r="G149" s="139">
        <f t="shared" si="26"/>
        <v>45930</v>
      </c>
      <c r="H149" s="105">
        <f>VLOOKUP( $A149, Aop!$A$2:$P$453, 4, 0)</f>
        <v>211</v>
      </c>
      <c r="I149" s="55">
        <f t="shared" si="24"/>
        <v>2025</v>
      </c>
      <c r="J149" s="55" t="str">
        <f t="shared" ca="1" si="30"/>
        <v/>
      </c>
      <c r="K149" s="55"/>
      <c r="L149" s="55"/>
      <c r="M149" s="55">
        <f t="shared" ca="1" si="29"/>
        <v>104865607</v>
      </c>
      <c r="N149" s="55">
        <f t="shared" ca="1" si="21"/>
        <v>104865607</v>
      </c>
    </row>
    <row r="150" spans="1:14" x14ac:dyDescent="0.2">
      <c r="A150" s="105">
        <v>150</v>
      </c>
      <c r="B150" s="105" t="str">
        <f>VLOOKUP( $A150, Aop!$A$2:$P$453, 2, 0)</f>
        <v>BUa</v>
      </c>
      <c r="C150" s="55">
        <v>27</v>
      </c>
      <c r="D150" s="55" t="str">
        <f t="shared" si="22"/>
        <v>1074440</v>
      </c>
      <c r="E150" s="55" t="str">
        <f t="shared" si="23"/>
        <v>4400855640000</v>
      </c>
      <c r="F150" s="55" t="b">
        <f t="shared" si="25"/>
        <v>0</v>
      </c>
      <c r="G150" s="139">
        <f t="shared" si="26"/>
        <v>45930</v>
      </c>
      <c r="H150" s="105">
        <f>VLOOKUP( $A150, Aop!$A$2:$P$453, 4, 0)</f>
        <v>212</v>
      </c>
      <c r="I150" s="55">
        <f t="shared" si="24"/>
        <v>2025</v>
      </c>
      <c r="J150" s="55" t="str">
        <f t="shared" ca="1" si="30"/>
        <v/>
      </c>
      <c r="K150" s="55"/>
      <c r="L150" s="55"/>
      <c r="M150" s="55">
        <f t="shared" ca="1" si="29"/>
        <v>4169048</v>
      </c>
      <c r="N150" s="55">
        <f t="shared" ca="1" si="21"/>
        <v>4169048</v>
      </c>
    </row>
    <row r="151" spans="1:14" x14ac:dyDescent="0.2">
      <c r="A151" s="105">
        <v>151</v>
      </c>
      <c r="B151" s="105" t="str">
        <f>VLOOKUP( $A151, Aop!$A$2:$P$453, 2, 0)</f>
        <v>BUa</v>
      </c>
      <c r="C151" s="55">
        <v>27</v>
      </c>
      <c r="D151" s="55" t="str">
        <f t="shared" si="22"/>
        <v>1074440</v>
      </c>
      <c r="E151" s="55" t="str">
        <f t="shared" si="23"/>
        <v>4400855640000</v>
      </c>
      <c r="F151" s="55" t="b">
        <f t="shared" si="25"/>
        <v>0</v>
      </c>
      <c r="G151" s="139">
        <f t="shared" si="26"/>
        <v>45930</v>
      </c>
      <c r="H151" s="105">
        <f>VLOOKUP( $A151, Aop!$A$2:$P$453, 4, 0)</f>
        <v>213</v>
      </c>
      <c r="I151" s="55">
        <f t="shared" si="24"/>
        <v>2025</v>
      </c>
      <c r="J151" s="55" t="str">
        <f t="shared" ca="1" si="30"/>
        <v/>
      </c>
      <c r="K151" s="55"/>
      <c r="L151" s="55"/>
      <c r="M151" s="55">
        <f t="shared" ca="1" si="29"/>
        <v>0</v>
      </c>
      <c r="N151" s="55">
        <f t="shared" ca="1" si="21"/>
        <v>0</v>
      </c>
    </row>
    <row r="152" spans="1:14" x14ac:dyDescent="0.2">
      <c r="A152" s="105">
        <v>152</v>
      </c>
      <c r="B152" s="105" t="str">
        <f>VLOOKUP( $A152, Aop!$A$2:$P$453, 2, 0)</f>
        <v>BUa</v>
      </c>
      <c r="C152" s="55">
        <v>27</v>
      </c>
      <c r="D152" s="55" t="str">
        <f t="shared" si="22"/>
        <v>1074440</v>
      </c>
      <c r="E152" s="55" t="str">
        <f t="shared" si="23"/>
        <v>4400855640000</v>
      </c>
      <c r="F152" s="55" t="b">
        <f t="shared" si="25"/>
        <v>0</v>
      </c>
      <c r="G152" s="139">
        <f t="shared" si="26"/>
        <v>45930</v>
      </c>
      <c r="H152" s="105">
        <f>VLOOKUP( $A152, Aop!$A$2:$P$453, 4, 0)</f>
        <v>214</v>
      </c>
      <c r="I152" s="55">
        <f t="shared" si="24"/>
        <v>2025</v>
      </c>
      <c r="J152" s="55" t="str">
        <f t="shared" ca="1" si="30"/>
        <v/>
      </c>
      <c r="K152" s="55"/>
      <c r="L152" s="55"/>
      <c r="M152" s="55">
        <f t="shared" ca="1" si="29"/>
        <v>0</v>
      </c>
      <c r="N152" s="55">
        <f t="shared" ca="1" si="21"/>
        <v>0</v>
      </c>
    </row>
    <row r="153" spans="1:14" x14ac:dyDescent="0.2">
      <c r="A153" s="105">
        <v>153</v>
      </c>
      <c r="B153" s="105" t="str">
        <f>VLOOKUP( $A153, Aop!$A$2:$P$453, 2, 0)</f>
        <v>BUa</v>
      </c>
      <c r="C153" s="55">
        <v>27</v>
      </c>
      <c r="D153" s="55" t="str">
        <f t="shared" si="22"/>
        <v>1074440</v>
      </c>
      <c r="E153" s="55" t="str">
        <f t="shared" si="23"/>
        <v>4400855640000</v>
      </c>
      <c r="F153" s="55" t="b">
        <f t="shared" si="25"/>
        <v>0</v>
      </c>
      <c r="G153" s="139">
        <f t="shared" si="26"/>
        <v>45930</v>
      </c>
      <c r="H153" s="105">
        <f>VLOOKUP( $A153, Aop!$A$2:$P$453, 4, 0)</f>
        <v>215</v>
      </c>
      <c r="I153" s="55">
        <f t="shared" si="24"/>
        <v>2025</v>
      </c>
      <c r="J153" s="55" t="str">
        <f t="shared" ca="1" si="30"/>
        <v/>
      </c>
      <c r="K153" s="55"/>
      <c r="L153" s="55"/>
      <c r="M153" s="55">
        <f t="shared" ca="1" si="29"/>
        <v>0</v>
      </c>
      <c r="N153" s="55">
        <f t="shared" ca="1" si="21"/>
        <v>0</v>
      </c>
    </row>
    <row r="154" spans="1:14" x14ac:dyDescent="0.2">
      <c r="A154" s="105">
        <v>154</v>
      </c>
      <c r="B154" s="105" t="str">
        <f>VLOOKUP( $A154, Aop!$A$2:$P$453, 2, 0)</f>
        <v>BUa</v>
      </c>
      <c r="C154" s="55">
        <v>27</v>
      </c>
      <c r="D154" s="55" t="str">
        <f t="shared" si="22"/>
        <v>1074440</v>
      </c>
      <c r="E154" s="55" t="str">
        <f t="shared" si="23"/>
        <v>4400855640000</v>
      </c>
      <c r="F154" s="55" t="b">
        <f t="shared" si="25"/>
        <v>0</v>
      </c>
      <c r="G154" s="139">
        <f t="shared" si="26"/>
        <v>45930</v>
      </c>
      <c r="H154" s="105">
        <f>VLOOKUP( $A154, Aop!$A$2:$P$453, 4, 0)</f>
        <v>216</v>
      </c>
      <c r="I154" s="55">
        <f t="shared" si="24"/>
        <v>2025</v>
      </c>
      <c r="J154" s="55" t="str">
        <f t="shared" ca="1" si="30"/>
        <v/>
      </c>
      <c r="K154" s="55"/>
      <c r="L154" s="55"/>
      <c r="M154" s="55">
        <f t="shared" ca="1" si="29"/>
        <v>0</v>
      </c>
      <c r="N154" s="55">
        <f t="shared" ca="1" si="21"/>
        <v>0</v>
      </c>
    </row>
    <row r="155" spans="1:14" x14ac:dyDescent="0.2">
      <c r="A155" s="105">
        <v>155</v>
      </c>
      <c r="B155" s="105" t="str">
        <f>VLOOKUP( $A155, Aop!$A$2:$P$453, 2, 0)</f>
        <v>BUa</v>
      </c>
      <c r="C155" s="55">
        <v>27</v>
      </c>
      <c r="D155" s="55" t="str">
        <f t="shared" si="22"/>
        <v>1074440</v>
      </c>
      <c r="E155" s="55" t="str">
        <f t="shared" si="23"/>
        <v>4400855640000</v>
      </c>
      <c r="F155" s="55" t="b">
        <f t="shared" si="25"/>
        <v>0</v>
      </c>
      <c r="G155" s="139">
        <f t="shared" si="26"/>
        <v>45930</v>
      </c>
      <c r="H155" s="105">
        <f>VLOOKUP( $A155, Aop!$A$2:$P$453, 4, 0)</f>
        <v>217</v>
      </c>
      <c r="I155" s="55">
        <f t="shared" si="24"/>
        <v>2025</v>
      </c>
      <c r="J155" s="55" t="str">
        <f t="shared" ca="1" si="30"/>
        <v/>
      </c>
      <c r="K155" s="55"/>
      <c r="L155" s="55"/>
      <c r="M155" s="55">
        <f t="shared" ca="1" si="29"/>
        <v>0</v>
      </c>
      <c r="N155" s="55">
        <f t="shared" ca="1" si="21"/>
        <v>0</v>
      </c>
    </row>
    <row r="156" spans="1:14" x14ac:dyDescent="0.2">
      <c r="A156" s="105">
        <v>156</v>
      </c>
      <c r="B156" s="105" t="str">
        <f>VLOOKUP( $A156, Aop!$A$2:$P$453, 2, 0)</f>
        <v>BUa</v>
      </c>
      <c r="C156" s="55">
        <v>27</v>
      </c>
      <c r="D156" s="55" t="str">
        <f t="shared" si="22"/>
        <v>1074440</v>
      </c>
      <c r="E156" s="55" t="str">
        <f t="shared" si="23"/>
        <v>4400855640000</v>
      </c>
      <c r="F156" s="55" t="b">
        <f t="shared" si="25"/>
        <v>0</v>
      </c>
      <c r="G156" s="139">
        <f t="shared" si="26"/>
        <v>45930</v>
      </c>
      <c r="H156" s="105">
        <f>VLOOKUP( $A156, Aop!$A$2:$P$453, 4, 0)</f>
        <v>218</v>
      </c>
      <c r="I156" s="55">
        <f t="shared" si="24"/>
        <v>2025</v>
      </c>
      <c r="J156" s="55" t="str">
        <f t="shared" ca="1" si="30"/>
        <v/>
      </c>
      <c r="K156" s="55"/>
      <c r="L156" s="55"/>
      <c r="M156" s="55">
        <f t="shared" ca="1" si="29"/>
        <v>4656781</v>
      </c>
      <c r="N156" s="55">
        <f t="shared" ca="1" si="21"/>
        <v>4656781</v>
      </c>
    </row>
    <row r="157" spans="1:14" x14ac:dyDescent="0.2">
      <c r="A157" s="105">
        <v>157</v>
      </c>
      <c r="B157" s="105" t="str">
        <f>VLOOKUP( $A157, Aop!$A$2:$P$453, 2, 0)</f>
        <v>BUa</v>
      </c>
      <c r="C157" s="55">
        <v>27</v>
      </c>
      <c r="D157" s="55" t="str">
        <f t="shared" si="22"/>
        <v>1074440</v>
      </c>
      <c r="E157" s="55" t="str">
        <f t="shared" si="23"/>
        <v>4400855640000</v>
      </c>
      <c r="F157" s="55" t="b">
        <f t="shared" si="25"/>
        <v>0</v>
      </c>
      <c r="G157" s="139">
        <f t="shared" si="26"/>
        <v>45930</v>
      </c>
      <c r="H157" s="105">
        <f>VLOOKUP( $A157, Aop!$A$2:$P$453, 4, 0)</f>
        <v>219</v>
      </c>
      <c r="I157" s="55">
        <f t="shared" si="24"/>
        <v>2025</v>
      </c>
      <c r="J157" s="55" t="str">
        <f t="shared" ca="1" si="30"/>
        <v/>
      </c>
      <c r="K157" s="55"/>
      <c r="L157" s="55"/>
      <c r="M157" s="55">
        <f t="shared" ca="1" si="29"/>
        <v>109039548</v>
      </c>
      <c r="N157" s="55">
        <f t="shared" ca="1" si="21"/>
        <v>109039548</v>
      </c>
    </row>
    <row r="158" spans="1:14" x14ac:dyDescent="0.2">
      <c r="A158" s="105">
        <v>158</v>
      </c>
      <c r="B158" s="105" t="str">
        <f>VLOOKUP( $A158, Aop!$A$2:$P$453, 2, 0)</f>
        <v>BUa</v>
      </c>
      <c r="C158" s="55">
        <v>27</v>
      </c>
      <c r="D158" s="55" t="str">
        <f t="shared" si="22"/>
        <v>1074440</v>
      </c>
      <c r="E158" s="55" t="str">
        <f t="shared" si="23"/>
        <v>4400855640000</v>
      </c>
      <c r="F158" s="55" t="b">
        <f t="shared" si="25"/>
        <v>0</v>
      </c>
      <c r="G158" s="139">
        <f t="shared" si="26"/>
        <v>45930</v>
      </c>
      <c r="H158" s="105">
        <f>VLOOKUP( $A158, Aop!$A$2:$P$453, 4, 0)</f>
        <v>220</v>
      </c>
      <c r="I158" s="55">
        <f t="shared" si="24"/>
        <v>2025</v>
      </c>
      <c r="J158" s="55" t="str">
        <f t="shared" ca="1" si="30"/>
        <v/>
      </c>
      <c r="K158" s="55"/>
      <c r="L158" s="55"/>
      <c r="M158" s="55">
        <f t="shared" ca="1" si="29"/>
        <v>34848298</v>
      </c>
      <c r="N158" s="55">
        <f t="shared" ca="1" si="21"/>
        <v>34848298</v>
      </c>
    </row>
    <row r="159" spans="1:14" x14ac:dyDescent="0.2">
      <c r="A159" s="105">
        <v>159</v>
      </c>
      <c r="B159" s="55" t="str">
        <f>VLOOKUP( $A159, Aop!$A$2:$P$453, 2, 0)</f>
        <v>BUa</v>
      </c>
      <c r="C159" s="55">
        <v>27</v>
      </c>
      <c r="D159" s="55" t="str">
        <f>Podatak_MB</f>
        <v>1074440</v>
      </c>
      <c r="E159" s="55" t="str">
        <f>Podatak_JIB</f>
        <v>4400855640000</v>
      </c>
      <c r="F159" s="55" t="b">
        <f>Konsolidovan_izvjestaj</f>
        <v>0</v>
      </c>
      <c r="G159" s="139">
        <f>Datum_Broj</f>
        <v>45930</v>
      </c>
      <c r="H159" s="55">
        <f>VLOOKUP( $A159, Aop!$A$2:$P$453, 4, 0)</f>
        <v>221</v>
      </c>
      <c r="I159" s="55">
        <f>Godina</f>
        <v>2025</v>
      </c>
      <c r="J159" s="55" t="str">
        <f t="shared" ca="1" si="30"/>
        <v/>
      </c>
      <c r="K159" s="55"/>
      <c r="L159" s="55"/>
      <c r="M159" s="55">
        <f t="shared" ca="1" si="29"/>
        <v>1250288</v>
      </c>
      <c r="N159" s="55">
        <f t="shared" ca="1" si="21"/>
        <v>1250288</v>
      </c>
    </row>
    <row r="160" spans="1:14" x14ac:dyDescent="0.2">
      <c r="A160" s="105">
        <v>160</v>
      </c>
      <c r="B160" s="105" t="str">
        <f>VLOOKUP( $A160, Aop!$A$2:$P$453, 2, 0)</f>
        <v>BUa</v>
      </c>
      <c r="C160" s="55">
        <v>27</v>
      </c>
      <c r="D160" s="55" t="str">
        <f t="shared" si="22"/>
        <v>1074440</v>
      </c>
      <c r="E160" s="55" t="str">
        <f t="shared" si="23"/>
        <v>4400855640000</v>
      </c>
      <c r="F160" s="55" t="b">
        <f t="shared" si="25"/>
        <v>0</v>
      </c>
      <c r="G160" s="139">
        <f t="shared" si="26"/>
        <v>45930</v>
      </c>
      <c r="H160" s="105">
        <f>VLOOKUP( $A160, Aop!$A$2:$P$453, 4, 0)</f>
        <v>222</v>
      </c>
      <c r="I160" s="55">
        <f t="shared" si="24"/>
        <v>2025</v>
      </c>
      <c r="J160" s="55" t="str">
        <f t="shared" ca="1" si="30"/>
        <v/>
      </c>
      <c r="K160" s="55"/>
      <c r="L160" s="55"/>
      <c r="M160" s="55">
        <f t="shared" ca="1" si="29"/>
        <v>1328333</v>
      </c>
      <c r="N160" s="55">
        <f t="shared" ca="1" si="21"/>
        <v>1328333</v>
      </c>
    </row>
    <row r="161" spans="1:14" x14ac:dyDescent="0.2">
      <c r="A161" s="105">
        <v>161</v>
      </c>
      <c r="B161" s="105" t="str">
        <f>VLOOKUP( $A161, Aop!$A$2:$P$453, 2, 0)</f>
        <v>BUa</v>
      </c>
      <c r="C161" s="55">
        <v>27</v>
      </c>
      <c r="D161" s="55" t="str">
        <f t="shared" si="22"/>
        <v>1074440</v>
      </c>
      <c r="E161" s="55" t="str">
        <f t="shared" si="23"/>
        <v>4400855640000</v>
      </c>
      <c r="F161" s="55" t="b">
        <f t="shared" si="25"/>
        <v>0</v>
      </c>
      <c r="G161" s="139">
        <f t="shared" si="26"/>
        <v>45930</v>
      </c>
      <c r="H161" s="105">
        <f>VLOOKUP( $A161, Aop!$A$2:$P$453, 4, 0)</f>
        <v>223</v>
      </c>
      <c r="I161" s="55">
        <f t="shared" si="24"/>
        <v>2025</v>
      </c>
      <c r="J161" s="55" t="str">
        <f t="shared" ca="1" si="30"/>
        <v/>
      </c>
      <c r="K161" s="55"/>
      <c r="L161" s="55"/>
      <c r="M161" s="55">
        <f t="shared" ca="1" si="29"/>
        <v>37301444</v>
      </c>
      <c r="N161" s="55">
        <f t="shared" ca="1" si="21"/>
        <v>37301444</v>
      </c>
    </row>
    <row r="162" spans="1:14" x14ac:dyDescent="0.2">
      <c r="A162" s="105">
        <v>162</v>
      </c>
      <c r="B162" s="105" t="str">
        <f>VLOOKUP( $A162, Aop!$A$2:$P$453, 2, 0)</f>
        <v>BUa</v>
      </c>
      <c r="C162" s="55">
        <v>27</v>
      </c>
      <c r="D162" s="55" t="str">
        <f t="shared" si="22"/>
        <v>1074440</v>
      </c>
      <c r="E162" s="55" t="str">
        <f t="shared" si="23"/>
        <v>4400855640000</v>
      </c>
      <c r="F162" s="55" t="b">
        <f t="shared" si="25"/>
        <v>0</v>
      </c>
      <c r="G162" s="139">
        <f t="shared" si="26"/>
        <v>45930</v>
      </c>
      <c r="H162" s="105">
        <f>VLOOKUP( $A162, Aop!$A$2:$P$453, 4, 0)</f>
        <v>224</v>
      </c>
      <c r="I162" s="55">
        <f t="shared" si="24"/>
        <v>2025</v>
      </c>
      <c r="J162" s="55" t="str">
        <f t="shared" ca="1" si="30"/>
        <v/>
      </c>
      <c r="K162" s="55"/>
      <c r="L162" s="55"/>
      <c r="M162" s="55">
        <f t="shared" ca="1" si="29"/>
        <v>30133213</v>
      </c>
      <c r="N162" s="55">
        <f t="shared" ca="1" si="21"/>
        <v>30133213</v>
      </c>
    </row>
    <row r="163" spans="1:14" x14ac:dyDescent="0.2">
      <c r="A163" s="105">
        <v>163</v>
      </c>
      <c r="B163" s="105" t="str">
        <f>VLOOKUP( $A163, Aop!$A$2:$P$453, 2, 0)</f>
        <v>BUa</v>
      </c>
      <c r="C163" s="55">
        <v>27</v>
      </c>
      <c r="D163" s="55" t="str">
        <f t="shared" si="22"/>
        <v>1074440</v>
      </c>
      <c r="E163" s="55" t="str">
        <f t="shared" si="23"/>
        <v>4400855640000</v>
      </c>
      <c r="F163" s="55" t="b">
        <f t="shared" si="25"/>
        <v>0</v>
      </c>
      <c r="G163" s="139">
        <f t="shared" si="26"/>
        <v>45930</v>
      </c>
      <c r="H163" s="105">
        <f>VLOOKUP( $A163, Aop!$A$2:$P$453, 4, 0)</f>
        <v>225</v>
      </c>
      <c r="I163" s="55">
        <f t="shared" si="24"/>
        <v>2025</v>
      </c>
      <c r="J163" s="55" t="str">
        <f t="shared" ca="1" si="30"/>
        <v/>
      </c>
      <c r="K163" s="55"/>
      <c r="L163" s="55"/>
      <c r="M163" s="55">
        <f t="shared" ca="1" si="29"/>
        <v>7168231</v>
      </c>
      <c r="N163" s="55">
        <f t="shared" ca="1" si="21"/>
        <v>7168231</v>
      </c>
    </row>
    <row r="164" spans="1:14" x14ac:dyDescent="0.2">
      <c r="A164" s="105">
        <v>164</v>
      </c>
      <c r="B164" s="105" t="str">
        <f>VLOOKUP( $A164, Aop!$A$2:$P$453, 2, 0)</f>
        <v>BUa</v>
      </c>
      <c r="C164" s="55">
        <v>27</v>
      </c>
      <c r="D164" s="55" t="str">
        <f t="shared" si="22"/>
        <v>1074440</v>
      </c>
      <c r="E164" s="55" t="str">
        <f t="shared" si="23"/>
        <v>4400855640000</v>
      </c>
      <c r="F164" s="55" t="b">
        <f t="shared" si="25"/>
        <v>0</v>
      </c>
      <c r="G164" s="139">
        <f t="shared" si="26"/>
        <v>45930</v>
      </c>
      <c r="H164" s="105">
        <f>VLOOKUP( $A164, Aop!$A$2:$P$453, 4, 0)</f>
        <v>226</v>
      </c>
      <c r="I164" s="55">
        <f t="shared" si="24"/>
        <v>2025</v>
      </c>
      <c r="J164" s="55" t="str">
        <f t="shared" ca="1" si="30"/>
        <v/>
      </c>
      <c r="K164" s="55"/>
      <c r="L164" s="55"/>
      <c r="M164" s="55">
        <f t="shared" ca="1" si="29"/>
        <v>2533803</v>
      </c>
      <c r="N164" s="55">
        <f t="shared" ca="1" si="21"/>
        <v>2533803</v>
      </c>
    </row>
    <row r="165" spans="1:14" x14ac:dyDescent="0.2">
      <c r="A165" s="105">
        <v>165</v>
      </c>
      <c r="B165" s="105" t="str">
        <f>VLOOKUP( $A165, Aop!$A$2:$P$453, 2, 0)</f>
        <v>BUa</v>
      </c>
      <c r="C165" s="55">
        <v>27</v>
      </c>
      <c r="D165" s="55" t="str">
        <f t="shared" si="22"/>
        <v>1074440</v>
      </c>
      <c r="E165" s="55" t="str">
        <f t="shared" si="23"/>
        <v>4400855640000</v>
      </c>
      <c r="F165" s="55" t="b">
        <f t="shared" si="25"/>
        <v>0</v>
      </c>
      <c r="G165" s="139">
        <f t="shared" si="26"/>
        <v>45930</v>
      </c>
      <c r="H165" s="105">
        <f>VLOOKUP( $A165, Aop!$A$2:$P$453, 4, 0)</f>
        <v>227</v>
      </c>
      <c r="I165" s="55">
        <f t="shared" si="24"/>
        <v>2025</v>
      </c>
      <c r="J165" s="55" t="str">
        <f t="shared" ca="1" si="30"/>
        <v/>
      </c>
      <c r="K165" s="55"/>
      <c r="L165" s="55"/>
      <c r="M165" s="55">
        <f t="shared" ca="1" si="29"/>
        <v>22910629</v>
      </c>
      <c r="N165" s="55">
        <f t="shared" ca="1" si="21"/>
        <v>22910629</v>
      </c>
    </row>
    <row r="166" spans="1:14" x14ac:dyDescent="0.2">
      <c r="A166" s="105">
        <v>167</v>
      </c>
      <c r="B166" s="105" t="str">
        <f>VLOOKUP( $A166, Aop!$A$2:$P$453, 2, 0)</f>
        <v>BUa</v>
      </c>
      <c r="C166" s="55">
        <v>27</v>
      </c>
      <c r="D166" s="55" t="str">
        <f t="shared" si="22"/>
        <v>1074440</v>
      </c>
      <c r="E166" s="55" t="str">
        <f t="shared" si="23"/>
        <v>4400855640000</v>
      </c>
      <c r="F166" s="55" t="b">
        <f t="shared" si="25"/>
        <v>0</v>
      </c>
      <c r="G166" s="139">
        <f t="shared" si="26"/>
        <v>45930</v>
      </c>
      <c r="H166" s="105">
        <f>VLOOKUP( $A166, Aop!$A$2:$P$453, 4, 0)</f>
        <v>229</v>
      </c>
      <c r="I166" s="55">
        <f t="shared" si="24"/>
        <v>2025</v>
      </c>
      <c r="J166" s="55" t="str">
        <f t="shared" ca="1" si="30"/>
        <v/>
      </c>
      <c r="K166" s="55"/>
      <c r="L166" s="55"/>
      <c r="M166" s="55">
        <f t="shared" ca="1" si="29"/>
        <v>22910629</v>
      </c>
      <c r="N166" s="55">
        <f t="shared" ca="1" si="21"/>
        <v>22910629</v>
      </c>
    </row>
    <row r="167" spans="1:14" x14ac:dyDescent="0.2">
      <c r="A167" s="105">
        <v>168</v>
      </c>
      <c r="B167" s="105" t="str">
        <f>VLOOKUP( $A167, Aop!$A$2:$P$453, 2, 0)</f>
        <v>BUa</v>
      </c>
      <c r="C167" s="55">
        <v>27</v>
      </c>
      <c r="D167" s="55" t="str">
        <f t="shared" si="22"/>
        <v>1074440</v>
      </c>
      <c r="E167" s="55" t="str">
        <f t="shared" si="23"/>
        <v>4400855640000</v>
      </c>
      <c r="F167" s="55" t="b">
        <f t="shared" si="25"/>
        <v>0</v>
      </c>
      <c r="G167" s="139">
        <f t="shared" si="26"/>
        <v>45930</v>
      </c>
      <c r="H167" s="105">
        <f>VLOOKUP( $A167, Aop!$A$2:$P$453, 4, 0)</f>
        <v>230</v>
      </c>
      <c r="I167" s="55">
        <f t="shared" si="24"/>
        <v>2025</v>
      </c>
      <c r="J167" s="55" t="str">
        <f t="shared" ca="1" si="30"/>
        <v/>
      </c>
      <c r="K167" s="55"/>
      <c r="L167" s="55"/>
      <c r="M167" s="55">
        <f t="shared" ca="1" si="29"/>
        <v>0</v>
      </c>
      <c r="N167" s="55">
        <f t="shared" ca="1" si="21"/>
        <v>0</v>
      </c>
    </row>
    <row r="168" spans="1:14" x14ac:dyDescent="0.2">
      <c r="A168" s="105">
        <v>169</v>
      </c>
      <c r="B168" s="105" t="str">
        <f>VLOOKUP( $A168, Aop!$A$2:$P$453, 2, 0)</f>
        <v>BUa</v>
      </c>
      <c r="C168" s="55">
        <v>27</v>
      </c>
      <c r="D168" s="55" t="str">
        <f t="shared" si="22"/>
        <v>1074440</v>
      </c>
      <c r="E168" s="55" t="str">
        <f t="shared" si="23"/>
        <v>4400855640000</v>
      </c>
      <c r="F168" s="55" t="b">
        <f t="shared" si="25"/>
        <v>0</v>
      </c>
      <c r="G168" s="139">
        <f t="shared" si="26"/>
        <v>45930</v>
      </c>
      <c r="H168" s="105">
        <f>VLOOKUP( $A168, Aop!$A$2:$P$453, 4, 0)</f>
        <v>231</v>
      </c>
      <c r="I168" s="55">
        <f t="shared" si="24"/>
        <v>2025</v>
      </c>
      <c r="J168" s="55" t="str">
        <f t="shared" ca="1" si="30"/>
        <v/>
      </c>
      <c r="K168" s="55"/>
      <c r="L168" s="55"/>
      <c r="M168" s="55">
        <f t="shared" ca="1" si="29"/>
        <v>0</v>
      </c>
      <c r="N168" s="55">
        <f t="shared" ca="1" si="21"/>
        <v>0</v>
      </c>
    </row>
    <row r="169" spans="1:14" x14ac:dyDescent="0.2">
      <c r="A169" s="105">
        <v>170</v>
      </c>
      <c r="B169" s="105" t="str">
        <f>VLOOKUP( $A169, Aop!$A$2:$P$453, 2, 0)</f>
        <v>BUa</v>
      </c>
      <c r="C169" s="55">
        <v>27</v>
      </c>
      <c r="D169" s="55" t="str">
        <f t="shared" si="22"/>
        <v>1074440</v>
      </c>
      <c r="E169" s="55" t="str">
        <f t="shared" si="23"/>
        <v>4400855640000</v>
      </c>
      <c r="F169" s="55" t="b">
        <f t="shared" si="25"/>
        <v>0</v>
      </c>
      <c r="G169" s="139">
        <f t="shared" si="26"/>
        <v>45930</v>
      </c>
      <c r="H169" s="105">
        <f>VLOOKUP( $A169, Aop!$A$2:$P$453, 4, 0)</f>
        <v>232</v>
      </c>
      <c r="I169" s="55">
        <f t="shared" si="24"/>
        <v>2025</v>
      </c>
      <c r="J169" s="55" t="str">
        <f t="shared" ca="1" si="30"/>
        <v/>
      </c>
      <c r="K169" s="55"/>
      <c r="L169" s="55"/>
      <c r="M169" s="55">
        <f t="shared" ca="1" si="29"/>
        <v>0</v>
      </c>
      <c r="N169" s="55">
        <f t="shared" ca="1" si="21"/>
        <v>0</v>
      </c>
    </row>
    <row r="170" spans="1:14" x14ac:dyDescent="0.2">
      <c r="A170" s="105">
        <v>171</v>
      </c>
      <c r="B170" s="105" t="str">
        <f>VLOOKUP( $A170, Aop!$A$2:$P$453, 2, 0)</f>
        <v>BUa</v>
      </c>
      <c r="C170" s="55">
        <v>27</v>
      </c>
      <c r="D170" s="55" t="str">
        <f t="shared" si="22"/>
        <v>1074440</v>
      </c>
      <c r="E170" s="55" t="str">
        <f t="shared" si="23"/>
        <v>4400855640000</v>
      </c>
      <c r="F170" s="55" t="b">
        <f t="shared" si="25"/>
        <v>0</v>
      </c>
      <c r="G170" s="139">
        <f t="shared" si="26"/>
        <v>45930</v>
      </c>
      <c r="H170" s="105">
        <f>VLOOKUP( $A170, Aop!$A$2:$P$453, 4, 0)</f>
        <v>233</v>
      </c>
      <c r="I170" s="55">
        <f t="shared" si="24"/>
        <v>2025</v>
      </c>
      <c r="J170" s="55" t="str">
        <f t="shared" ca="1" si="30"/>
        <v/>
      </c>
      <c r="K170" s="55"/>
      <c r="L170" s="55"/>
      <c r="M170" s="55">
        <f t="shared" ca="1" si="29"/>
        <v>0</v>
      </c>
      <c r="N170" s="55">
        <f t="shared" ca="1" si="21"/>
        <v>0</v>
      </c>
    </row>
    <row r="171" spans="1:14" x14ac:dyDescent="0.2">
      <c r="A171" s="105">
        <v>172</v>
      </c>
      <c r="B171" s="105" t="str">
        <f>VLOOKUP( $A171, Aop!$A$2:$P$453, 2, 0)</f>
        <v>BUa</v>
      </c>
      <c r="C171" s="55">
        <v>27</v>
      </c>
      <c r="D171" s="55" t="str">
        <f t="shared" si="22"/>
        <v>1074440</v>
      </c>
      <c r="E171" s="55" t="str">
        <f t="shared" si="23"/>
        <v>4400855640000</v>
      </c>
      <c r="F171" s="55" t="b">
        <f t="shared" si="25"/>
        <v>0</v>
      </c>
      <c r="G171" s="139">
        <f t="shared" si="26"/>
        <v>45930</v>
      </c>
      <c r="H171" s="105">
        <f>VLOOKUP( $A171, Aop!$A$2:$P$453, 4, 0)</f>
        <v>234</v>
      </c>
      <c r="I171" s="55">
        <f t="shared" si="24"/>
        <v>2025</v>
      </c>
      <c r="J171" s="55" t="str">
        <f t="shared" ca="1" si="30"/>
        <v/>
      </c>
      <c r="K171" s="55"/>
      <c r="L171" s="55"/>
      <c r="M171" s="55">
        <f t="shared" ca="1" si="29"/>
        <v>8282342</v>
      </c>
      <c r="N171" s="55">
        <f t="shared" ca="1" si="21"/>
        <v>8282342</v>
      </c>
    </row>
    <row r="172" spans="1:14" x14ac:dyDescent="0.2">
      <c r="A172" s="105">
        <v>173</v>
      </c>
      <c r="B172" s="105" t="str">
        <f>VLOOKUP( $A172, Aop!$A$2:$P$453, 2, 0)</f>
        <v>BUa</v>
      </c>
      <c r="C172" s="55">
        <v>27</v>
      </c>
      <c r="D172" s="55" t="str">
        <f t="shared" si="22"/>
        <v>1074440</v>
      </c>
      <c r="E172" s="55" t="str">
        <f t="shared" si="23"/>
        <v>4400855640000</v>
      </c>
      <c r="F172" s="55" t="b">
        <f t="shared" si="25"/>
        <v>0</v>
      </c>
      <c r="G172" s="139">
        <f t="shared" si="26"/>
        <v>45930</v>
      </c>
      <c r="H172" s="105">
        <f>VLOOKUP( $A172, Aop!$A$2:$P$453, 4, 0)</f>
        <v>235</v>
      </c>
      <c r="I172" s="55">
        <f t="shared" si="24"/>
        <v>2025</v>
      </c>
      <c r="J172" s="55" t="str">
        <f t="shared" ca="1" si="30"/>
        <v/>
      </c>
      <c r="K172" s="55"/>
      <c r="L172" s="55"/>
      <c r="M172" s="55">
        <f t="shared" ca="1" si="29"/>
        <v>338720</v>
      </c>
      <c r="N172" s="55">
        <f t="shared" ca="1" si="21"/>
        <v>338720</v>
      </c>
    </row>
    <row r="173" spans="1:14" x14ac:dyDescent="0.2">
      <c r="A173" s="105">
        <v>174</v>
      </c>
      <c r="B173" s="55" t="str">
        <f>VLOOKUP( $A173, Aop!$A$2:$P$453, 2, 0)</f>
        <v>BUa</v>
      </c>
      <c r="C173" s="55">
        <v>27</v>
      </c>
      <c r="D173" s="55" t="str">
        <f>Podatak_MB</f>
        <v>1074440</v>
      </c>
      <c r="E173" s="55" t="str">
        <f>Podatak_JIB</f>
        <v>4400855640000</v>
      </c>
      <c r="F173" s="55" t="b">
        <f>Konsolidovan_izvjestaj</f>
        <v>0</v>
      </c>
      <c r="G173" s="139">
        <f>Datum_Broj</f>
        <v>45930</v>
      </c>
      <c r="H173" s="55">
        <f>VLOOKUP( $A173, Aop!$A$2:$P$453, 4, 0)</f>
        <v>236</v>
      </c>
      <c r="I173" s="55">
        <f>Godina</f>
        <v>2025</v>
      </c>
      <c r="J173" s="55" t="str">
        <f t="shared" ca="1" si="30"/>
        <v/>
      </c>
      <c r="K173" s="55"/>
      <c r="L173" s="55"/>
      <c r="M173" s="55">
        <f t="shared" ca="1" si="29"/>
        <v>245691</v>
      </c>
      <c r="N173" s="55">
        <f t="shared" ca="1" si="21"/>
        <v>245691</v>
      </c>
    </row>
    <row r="174" spans="1:14" x14ac:dyDescent="0.2">
      <c r="A174" s="105">
        <v>175</v>
      </c>
      <c r="B174" s="105" t="str">
        <f>VLOOKUP( $A174, Aop!$A$2:$P$453, 2, 0)</f>
        <v>BUa</v>
      </c>
      <c r="C174" s="55">
        <v>27</v>
      </c>
      <c r="D174" s="55" t="str">
        <f t="shared" si="22"/>
        <v>1074440</v>
      </c>
      <c r="E174" s="55" t="str">
        <f t="shared" si="23"/>
        <v>4400855640000</v>
      </c>
      <c r="F174" s="55" t="b">
        <f t="shared" si="25"/>
        <v>0</v>
      </c>
      <c r="G174" s="139">
        <f t="shared" si="26"/>
        <v>45930</v>
      </c>
      <c r="H174" s="105">
        <f>VLOOKUP( $A174, Aop!$A$2:$P$453, 4, 0)</f>
        <v>237</v>
      </c>
      <c r="I174" s="55">
        <f t="shared" si="24"/>
        <v>2025</v>
      </c>
      <c r="J174" s="55" t="str">
        <f t="shared" ca="1" si="30"/>
        <v/>
      </c>
      <c r="K174" s="55"/>
      <c r="L174" s="55"/>
      <c r="M174" s="55">
        <f t="shared" ca="1" si="29"/>
        <v>5137420</v>
      </c>
      <c r="N174" s="55">
        <f t="shared" ca="1" si="21"/>
        <v>5137420</v>
      </c>
    </row>
    <row r="175" spans="1:14" x14ac:dyDescent="0.2">
      <c r="A175" s="105">
        <v>176</v>
      </c>
      <c r="B175" s="105" t="str">
        <f>VLOOKUP( $A175, Aop!$A$2:$P$453, 2, 0)</f>
        <v>BUa</v>
      </c>
      <c r="C175" s="55">
        <v>27</v>
      </c>
      <c r="D175" s="55" t="str">
        <f t="shared" si="22"/>
        <v>1074440</v>
      </c>
      <c r="E175" s="55" t="str">
        <f t="shared" si="23"/>
        <v>4400855640000</v>
      </c>
      <c r="F175" s="55" t="b">
        <f t="shared" si="25"/>
        <v>0</v>
      </c>
      <c r="G175" s="139">
        <f t="shared" si="26"/>
        <v>45930</v>
      </c>
      <c r="H175" s="105">
        <f>VLOOKUP( $A175, Aop!$A$2:$P$453, 4, 0)</f>
        <v>238</v>
      </c>
      <c r="I175" s="55">
        <f t="shared" si="24"/>
        <v>2025</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1074440</v>
      </c>
      <c r="E176" s="55" t="str">
        <f t="shared" si="23"/>
        <v>4400855640000</v>
      </c>
      <c r="F176" s="55" t="b">
        <f t="shared" si="25"/>
        <v>0</v>
      </c>
      <c r="G176" s="139">
        <f t="shared" si="26"/>
        <v>45930</v>
      </c>
      <c r="H176" s="105">
        <f>VLOOKUP( $A176, Aop!$A$2:$P$453, 4, 0)</f>
        <v>239</v>
      </c>
      <c r="I176" s="55">
        <f t="shared" si="24"/>
        <v>2025</v>
      </c>
      <c r="J176" s="55" t="str">
        <f t="shared" ca="1" si="30"/>
        <v/>
      </c>
      <c r="K176" s="55"/>
      <c r="L176" s="55"/>
      <c r="M176" s="55">
        <f t="shared" ca="1" si="29"/>
        <v>448481</v>
      </c>
      <c r="N176" s="55">
        <f t="shared" ca="1" si="21"/>
        <v>448481</v>
      </c>
    </row>
    <row r="177" spans="1:14" x14ac:dyDescent="0.2">
      <c r="A177" s="105">
        <v>178</v>
      </c>
      <c r="B177" s="105" t="str">
        <f>VLOOKUP( $A177, Aop!$A$2:$P$453, 2, 0)</f>
        <v>BUa</v>
      </c>
      <c r="C177" s="55">
        <v>27</v>
      </c>
      <c r="D177" s="55" t="str">
        <f t="shared" si="22"/>
        <v>1074440</v>
      </c>
      <c r="E177" s="55" t="str">
        <f t="shared" si="23"/>
        <v>4400855640000</v>
      </c>
      <c r="F177" s="55" t="b">
        <f t="shared" si="25"/>
        <v>0</v>
      </c>
      <c r="G177" s="139">
        <f t="shared" si="26"/>
        <v>45930</v>
      </c>
      <c r="H177" s="105">
        <f>VLOOKUP( $A177, Aop!$A$2:$P$453, 4, 0)</f>
        <v>240</v>
      </c>
      <c r="I177" s="55">
        <f t="shared" si="24"/>
        <v>2025</v>
      </c>
      <c r="J177" s="55" t="str">
        <f t="shared" ca="1" si="30"/>
        <v/>
      </c>
      <c r="K177" s="55"/>
      <c r="L177" s="55"/>
      <c r="M177" s="55">
        <f t="shared" ca="1" si="29"/>
        <v>448473</v>
      </c>
      <c r="N177" s="55">
        <f t="shared" ca="1" si="21"/>
        <v>448473</v>
      </c>
    </row>
    <row r="178" spans="1:14" x14ac:dyDescent="0.2">
      <c r="A178" s="105">
        <v>179</v>
      </c>
      <c r="B178" s="105" t="str">
        <f>VLOOKUP( $A178, Aop!$A$2:$P$453, 2, 0)</f>
        <v>BUa</v>
      </c>
      <c r="C178" s="55">
        <v>27</v>
      </c>
      <c r="D178" s="55" t="str">
        <f t="shared" si="22"/>
        <v>1074440</v>
      </c>
      <c r="E178" s="55" t="str">
        <f t="shared" si="23"/>
        <v>4400855640000</v>
      </c>
      <c r="F178" s="55" t="b">
        <f t="shared" si="25"/>
        <v>0</v>
      </c>
      <c r="G178" s="139">
        <f t="shared" si="26"/>
        <v>45930</v>
      </c>
      <c r="H178" s="105">
        <f>VLOOKUP( $A178, Aop!$A$2:$P$453, 4, 0)</f>
        <v>241</v>
      </c>
      <c r="I178" s="55">
        <f t="shared" si="24"/>
        <v>2025</v>
      </c>
      <c r="J178" s="55" t="str">
        <f t="shared" ca="1" si="30"/>
        <v/>
      </c>
      <c r="K178" s="55"/>
      <c r="L178" s="55"/>
      <c r="M178" s="55">
        <f t="shared" ca="1" si="29"/>
        <v>0</v>
      </c>
      <c r="N178" s="55">
        <f t="shared" ca="1" si="21"/>
        <v>0</v>
      </c>
    </row>
    <row r="179" spans="1:14" x14ac:dyDescent="0.2">
      <c r="A179" s="105">
        <v>180</v>
      </c>
      <c r="B179" s="105" t="str">
        <f>VLOOKUP( $A179, Aop!$A$2:$P$453, 2, 0)</f>
        <v>BUa</v>
      </c>
      <c r="C179" s="55">
        <v>27</v>
      </c>
      <c r="D179" s="55" t="str">
        <f t="shared" si="22"/>
        <v>1074440</v>
      </c>
      <c r="E179" s="55" t="str">
        <f t="shared" si="23"/>
        <v>4400855640000</v>
      </c>
      <c r="F179" s="55" t="b">
        <f t="shared" si="25"/>
        <v>0</v>
      </c>
      <c r="G179" s="139">
        <f t="shared" si="26"/>
        <v>45930</v>
      </c>
      <c r="H179" s="105">
        <f>VLOOKUP( $A179, Aop!$A$2:$P$453, 4, 0)</f>
        <v>242</v>
      </c>
      <c r="I179" s="55">
        <f t="shared" si="24"/>
        <v>2025</v>
      </c>
      <c r="J179" s="55" t="str">
        <f t="shared" ca="1" si="30"/>
        <v/>
      </c>
      <c r="K179" s="55"/>
      <c r="L179" s="55"/>
      <c r="M179" s="55">
        <f t="shared" ca="1" si="29"/>
        <v>0</v>
      </c>
      <c r="N179" s="55">
        <f t="shared" ca="1" si="21"/>
        <v>0</v>
      </c>
    </row>
    <row r="180" spans="1:14" x14ac:dyDescent="0.2">
      <c r="A180" s="105">
        <v>181</v>
      </c>
      <c r="B180" s="105" t="str">
        <f>VLOOKUP( $A180, Aop!$A$2:$P$453, 2, 0)</f>
        <v>BUa</v>
      </c>
      <c r="C180" s="55">
        <v>27</v>
      </c>
      <c r="D180" s="55" t="str">
        <f t="shared" si="22"/>
        <v>1074440</v>
      </c>
      <c r="E180" s="55" t="str">
        <f t="shared" si="23"/>
        <v>4400855640000</v>
      </c>
      <c r="F180" s="55" t="b">
        <f t="shared" si="25"/>
        <v>0</v>
      </c>
      <c r="G180" s="139">
        <f t="shared" si="26"/>
        <v>45930</v>
      </c>
      <c r="H180" s="105">
        <f>VLOOKUP( $A180, Aop!$A$2:$P$453, 4, 0)</f>
        <v>243</v>
      </c>
      <c r="I180" s="55">
        <f t="shared" si="24"/>
        <v>2025</v>
      </c>
      <c r="J180" s="55" t="str">
        <f t="shared" ca="1" si="30"/>
        <v/>
      </c>
      <c r="K180" s="55"/>
      <c r="L180" s="55"/>
      <c r="M180" s="55">
        <f t="shared" ca="1" si="29"/>
        <v>8</v>
      </c>
      <c r="N180" s="55">
        <f t="shared" ca="1" si="21"/>
        <v>8</v>
      </c>
    </row>
    <row r="181" spans="1:14" x14ac:dyDescent="0.2">
      <c r="A181" s="105">
        <v>183</v>
      </c>
      <c r="B181" s="105" t="str">
        <f>VLOOKUP( $A181, Aop!$A$2:$P$453, 2, 0)</f>
        <v>BUa</v>
      </c>
      <c r="C181" s="55">
        <v>27</v>
      </c>
      <c r="D181" s="55" t="str">
        <f t="shared" si="22"/>
        <v>1074440</v>
      </c>
      <c r="E181" s="55" t="str">
        <f t="shared" si="23"/>
        <v>4400855640000</v>
      </c>
      <c r="F181" s="55" t="b">
        <f t="shared" si="25"/>
        <v>0</v>
      </c>
      <c r="G181" s="139">
        <f t="shared" si="26"/>
        <v>45930</v>
      </c>
      <c r="H181" s="105">
        <f>VLOOKUP( $A181, Aop!$A$2:$P$453, 4, 0)</f>
        <v>245</v>
      </c>
      <c r="I181" s="55">
        <f t="shared" si="24"/>
        <v>2025</v>
      </c>
      <c r="J181" s="55" t="str">
        <f t="shared" ca="1" si="30"/>
        <v/>
      </c>
      <c r="K181" s="55"/>
      <c r="L181" s="55"/>
      <c r="M181" s="55">
        <f t="shared" ca="1" si="29"/>
        <v>2564029</v>
      </c>
      <c r="N181" s="55">
        <f t="shared" ca="1" si="21"/>
        <v>2564029</v>
      </c>
    </row>
    <row r="182" spans="1:14" x14ac:dyDescent="0.2">
      <c r="A182" s="105">
        <v>184</v>
      </c>
      <c r="B182" s="105" t="str">
        <f>VLOOKUP( $A182, Aop!$A$2:$P$453, 2, 0)</f>
        <v>BUa</v>
      </c>
      <c r="C182" s="55">
        <v>27</v>
      </c>
      <c r="D182" s="55" t="str">
        <f t="shared" si="22"/>
        <v>1074440</v>
      </c>
      <c r="E182" s="55" t="str">
        <f t="shared" si="23"/>
        <v>4400855640000</v>
      </c>
      <c r="F182" s="55" t="b">
        <f t="shared" si="25"/>
        <v>0</v>
      </c>
      <c r="G182" s="139">
        <f t="shared" si="26"/>
        <v>45930</v>
      </c>
      <c r="H182" s="105">
        <f>VLOOKUP( $A182, Aop!$A$2:$P$453, 4, 0)</f>
        <v>246</v>
      </c>
      <c r="I182" s="55">
        <f t="shared" si="24"/>
        <v>2025</v>
      </c>
      <c r="J182" s="55" t="str">
        <f t="shared" ca="1" si="30"/>
        <v/>
      </c>
      <c r="K182" s="55"/>
      <c r="L182" s="55"/>
      <c r="M182" s="55">
        <f t="shared" ca="1" si="29"/>
        <v>0</v>
      </c>
      <c r="N182" s="55">
        <f t="shared" ca="1" si="21"/>
        <v>0</v>
      </c>
    </row>
    <row r="183" spans="1:14" x14ac:dyDescent="0.2">
      <c r="A183" s="105">
        <v>185</v>
      </c>
      <c r="B183" s="105" t="str">
        <f>VLOOKUP( $A183, Aop!$A$2:$P$453, 2, 0)</f>
        <v>BUa</v>
      </c>
      <c r="C183" s="55">
        <v>27</v>
      </c>
      <c r="D183" s="55" t="str">
        <f t="shared" si="22"/>
        <v>1074440</v>
      </c>
      <c r="E183" s="55" t="str">
        <f t="shared" si="23"/>
        <v>4400855640000</v>
      </c>
      <c r="F183" s="55" t="b">
        <f t="shared" si="25"/>
        <v>0</v>
      </c>
      <c r="G183" s="139">
        <f t="shared" si="26"/>
        <v>45930</v>
      </c>
      <c r="H183" s="105">
        <f>VLOOKUP( $A183, Aop!$A$2:$P$453, 4, 0)</f>
        <v>247</v>
      </c>
      <c r="I183" s="55">
        <f t="shared" si="24"/>
        <v>2025</v>
      </c>
      <c r="J183" s="55" t="str">
        <f t="shared" ca="1" si="30"/>
        <v/>
      </c>
      <c r="K183" s="55"/>
      <c r="L183" s="55"/>
      <c r="M183" s="55">
        <f t="shared" ca="1" si="29"/>
        <v>0</v>
      </c>
      <c r="N183" s="55">
        <f t="shared" ca="1" si="21"/>
        <v>0</v>
      </c>
    </row>
    <row r="184" spans="1:14" x14ac:dyDescent="0.2">
      <c r="A184" s="105">
        <v>186</v>
      </c>
      <c r="B184" s="105" t="str">
        <f>VLOOKUP( $A184, Aop!$A$2:$P$453, 2, 0)</f>
        <v>BUa</v>
      </c>
      <c r="C184" s="55">
        <v>27</v>
      </c>
      <c r="D184" s="55" t="str">
        <f t="shared" si="22"/>
        <v>1074440</v>
      </c>
      <c r="E184" s="55" t="str">
        <f t="shared" si="23"/>
        <v>4400855640000</v>
      </c>
      <c r="F184" s="55" t="b">
        <f t="shared" si="25"/>
        <v>0</v>
      </c>
      <c r="G184" s="139">
        <f t="shared" si="26"/>
        <v>45930</v>
      </c>
      <c r="H184" s="105">
        <f>VLOOKUP( $A184, Aop!$A$2:$P$453, 4, 0)</f>
        <v>248</v>
      </c>
      <c r="I184" s="55">
        <f t="shared" si="24"/>
        <v>2025</v>
      </c>
      <c r="J184" s="55" t="str">
        <f t="shared" ca="1" si="30"/>
        <v/>
      </c>
      <c r="K184" s="55"/>
      <c r="L184" s="55"/>
      <c r="M184" s="55">
        <f t="shared" ca="1" si="29"/>
        <v>2</v>
      </c>
      <c r="N184" s="55">
        <f t="shared" ca="1" si="21"/>
        <v>2</v>
      </c>
    </row>
    <row r="185" spans="1:14" x14ac:dyDescent="0.2">
      <c r="A185" s="105">
        <v>187</v>
      </c>
      <c r="B185" s="105" t="str">
        <f>VLOOKUP( $A185, Aop!$A$2:$P$453, 2, 0)</f>
        <v>BUa</v>
      </c>
      <c r="C185" s="55">
        <v>27</v>
      </c>
      <c r="D185" s="55" t="str">
        <f t="shared" si="22"/>
        <v>1074440</v>
      </c>
      <c r="E185" s="55" t="str">
        <f t="shared" si="23"/>
        <v>4400855640000</v>
      </c>
      <c r="F185" s="55" t="b">
        <f t="shared" si="25"/>
        <v>0</v>
      </c>
      <c r="G185" s="139">
        <f t="shared" si="26"/>
        <v>45930</v>
      </c>
      <c r="H185" s="105">
        <f>VLOOKUP( $A185, Aop!$A$2:$P$453, 4, 0)</f>
        <v>249</v>
      </c>
      <c r="I185" s="55">
        <f t="shared" si="24"/>
        <v>2025</v>
      </c>
      <c r="J185" s="55" t="str">
        <f t="shared" ca="1" si="30"/>
        <v/>
      </c>
      <c r="K185" s="55"/>
      <c r="L185" s="55"/>
      <c r="M185" s="55">
        <f t="shared" ca="1" si="29"/>
        <v>3021870</v>
      </c>
      <c r="N185" s="55">
        <f t="shared" ca="1" si="21"/>
        <v>3021870</v>
      </c>
    </row>
    <row r="186" spans="1:14" x14ac:dyDescent="0.2">
      <c r="A186" s="105">
        <v>188</v>
      </c>
      <c r="B186" s="105" t="str">
        <f>VLOOKUP( $A186, Aop!$A$2:$P$453, 2, 0)</f>
        <v>BUa</v>
      </c>
      <c r="C186" s="55">
        <v>27</v>
      </c>
      <c r="D186" s="55" t="str">
        <f t="shared" si="22"/>
        <v>1074440</v>
      </c>
      <c r="E186" s="55" t="str">
        <f t="shared" si="23"/>
        <v>4400855640000</v>
      </c>
      <c r="F186" s="55" t="b">
        <f t="shared" si="25"/>
        <v>0</v>
      </c>
      <c r="G186" s="139">
        <f t="shared" si="26"/>
        <v>45930</v>
      </c>
      <c r="H186" s="105">
        <f>VLOOKUP( $A186, Aop!$A$2:$P$453, 4, 0)</f>
        <v>250</v>
      </c>
      <c r="I186" s="55">
        <f t="shared" si="24"/>
        <v>2025</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1074440</v>
      </c>
      <c r="E187" s="55" t="str">
        <f t="shared" si="23"/>
        <v>4400855640000</v>
      </c>
      <c r="F187" s="55" t="b">
        <f t="shared" si="25"/>
        <v>0</v>
      </c>
      <c r="G187" s="139">
        <f t="shared" si="26"/>
        <v>45930</v>
      </c>
      <c r="H187" s="105">
        <f>VLOOKUP( $A187, Aop!$A$2:$P$453, 4, 0)</f>
        <v>251</v>
      </c>
      <c r="I187" s="55">
        <f t="shared" si="24"/>
        <v>2025</v>
      </c>
      <c r="J187" s="55" t="str">
        <f t="shared" ca="1" si="30"/>
        <v/>
      </c>
      <c r="K187" s="55"/>
      <c r="L187" s="55"/>
      <c r="M187" s="55">
        <f t="shared" ca="1" si="29"/>
        <v>1498566</v>
      </c>
      <c r="N187" s="55">
        <f t="shared" ca="1" si="21"/>
        <v>1498566</v>
      </c>
    </row>
    <row r="188" spans="1:14" x14ac:dyDescent="0.2">
      <c r="A188" s="105">
        <v>190</v>
      </c>
      <c r="B188" s="105" t="str">
        <f>VLOOKUP( $A188, Aop!$A$2:$P$453, 2, 0)</f>
        <v>BUa</v>
      </c>
      <c r="C188" s="55">
        <v>27</v>
      </c>
      <c r="D188" s="55" t="str">
        <f t="shared" si="22"/>
        <v>1074440</v>
      </c>
      <c r="E188" s="55" t="str">
        <f t="shared" si="23"/>
        <v>4400855640000</v>
      </c>
      <c r="F188" s="55" t="b">
        <f t="shared" si="25"/>
        <v>0</v>
      </c>
      <c r="G188" s="139">
        <f t="shared" si="26"/>
        <v>45930</v>
      </c>
      <c r="H188" s="105">
        <f>VLOOKUP( $A188, Aop!$A$2:$P$453, 4, 0)</f>
        <v>252</v>
      </c>
      <c r="I188" s="55">
        <f t="shared" si="24"/>
        <v>2025</v>
      </c>
      <c r="J188" s="55" t="str">
        <f t="shared" ca="1" si="30"/>
        <v/>
      </c>
      <c r="K188" s="55"/>
      <c r="L188" s="55"/>
      <c r="M188" s="55">
        <f t="shared" ca="1" si="29"/>
        <v>91</v>
      </c>
      <c r="N188" s="55">
        <f t="shared" ca="1" si="21"/>
        <v>91</v>
      </c>
    </row>
    <row r="189" spans="1:14" x14ac:dyDescent="0.2">
      <c r="A189" s="105">
        <v>191</v>
      </c>
      <c r="B189" s="105" t="str">
        <f>VLOOKUP( $A189, Aop!$A$2:$P$453, 2, 0)</f>
        <v>BUa</v>
      </c>
      <c r="C189" s="55">
        <v>27</v>
      </c>
      <c r="D189" s="55" t="str">
        <f t="shared" si="22"/>
        <v>1074440</v>
      </c>
      <c r="E189" s="55" t="str">
        <f t="shared" si="23"/>
        <v>4400855640000</v>
      </c>
      <c r="F189" s="55" t="b">
        <f t="shared" si="25"/>
        <v>0</v>
      </c>
      <c r="G189" s="139">
        <f t="shared" si="26"/>
        <v>45930</v>
      </c>
      <c r="H189" s="105">
        <f>VLOOKUP( $A189, Aop!$A$2:$P$453, 4, 0)</f>
        <v>253</v>
      </c>
      <c r="I189" s="55">
        <f t="shared" si="24"/>
        <v>2025</v>
      </c>
      <c r="J189" s="55" t="str">
        <f t="shared" ca="1" si="30"/>
        <v/>
      </c>
      <c r="K189" s="55"/>
      <c r="L189" s="55"/>
      <c r="M189" s="55">
        <f t="shared" ca="1" si="29"/>
        <v>9</v>
      </c>
      <c r="N189" s="55">
        <f t="shared" ca="1" si="21"/>
        <v>9</v>
      </c>
    </row>
    <row r="190" spans="1:14" x14ac:dyDescent="0.2">
      <c r="A190" s="105">
        <v>192</v>
      </c>
      <c r="B190" s="105" t="str">
        <f>VLOOKUP( $A190, Aop!$A$2:$P$453, 2, 0)</f>
        <v>BUa</v>
      </c>
      <c r="C190" s="55">
        <v>27</v>
      </c>
      <c r="D190" s="55" t="str">
        <f t="shared" si="22"/>
        <v>1074440</v>
      </c>
      <c r="E190" s="55" t="str">
        <f t="shared" si="23"/>
        <v>4400855640000</v>
      </c>
      <c r="F190" s="55" t="b">
        <f t="shared" si="25"/>
        <v>0</v>
      </c>
      <c r="G190" s="139">
        <f t="shared" si="26"/>
        <v>45930</v>
      </c>
      <c r="H190" s="105">
        <f>VLOOKUP( $A190, Aop!$A$2:$P$453, 4, 0)</f>
        <v>254</v>
      </c>
      <c r="I190" s="55">
        <f t="shared" si="24"/>
        <v>2025</v>
      </c>
      <c r="J190" s="55" t="str">
        <f t="shared" ca="1" si="30"/>
        <v/>
      </c>
      <c r="K190" s="55"/>
      <c r="L190" s="55"/>
      <c r="M190" s="55">
        <f t="shared" ca="1" si="29"/>
        <v>0</v>
      </c>
      <c r="N190" s="55">
        <f t="shared" ca="1" si="21"/>
        <v>0</v>
      </c>
    </row>
    <row r="191" spans="1:14" x14ac:dyDescent="0.2">
      <c r="A191" s="105">
        <v>193</v>
      </c>
      <c r="B191" s="105" t="str">
        <f>VLOOKUP( $A191, Aop!$A$2:$P$453, 2, 0)</f>
        <v>BUa</v>
      </c>
      <c r="C191" s="55">
        <v>27</v>
      </c>
      <c r="D191" s="55" t="str">
        <f t="shared" ref="D191:D252" si="31">Podatak_MB</f>
        <v>1074440</v>
      </c>
      <c r="E191" s="55" t="str">
        <f t="shared" ref="E191:E252" si="32">Podatak_JIB</f>
        <v>4400855640000</v>
      </c>
      <c r="F191" s="55" t="b">
        <f t="shared" si="25"/>
        <v>0</v>
      </c>
      <c r="G191" s="139">
        <f t="shared" si="26"/>
        <v>45930</v>
      </c>
      <c r="H191" s="105">
        <f>VLOOKUP( $A191, Aop!$A$2:$P$453, 4, 0)</f>
        <v>255</v>
      </c>
      <c r="I191" s="55">
        <f t="shared" ref="I191:I252" si="33">Godina</f>
        <v>2025</v>
      </c>
      <c r="J191" s="55" t="str">
        <f t="shared" ca="1" si="30"/>
        <v/>
      </c>
      <c r="K191" s="55"/>
      <c r="L191" s="55"/>
      <c r="M191" s="55">
        <f t="shared" ca="1" si="29"/>
        <v>0</v>
      </c>
      <c r="N191" s="55">
        <f t="shared" ca="1" si="21"/>
        <v>0</v>
      </c>
    </row>
    <row r="192" spans="1:14" x14ac:dyDescent="0.2">
      <c r="A192" s="105">
        <v>194</v>
      </c>
      <c r="B192" s="105" t="str">
        <f>VLOOKUP( $A192, Aop!$A$2:$P$453, 2, 0)</f>
        <v>BUa</v>
      </c>
      <c r="C192" s="55">
        <v>27</v>
      </c>
      <c r="D192" s="55" t="str">
        <f t="shared" si="31"/>
        <v>1074440</v>
      </c>
      <c r="E192" s="55" t="str">
        <f t="shared" si="32"/>
        <v>4400855640000</v>
      </c>
      <c r="F192" s="55" t="b">
        <f t="shared" ref="F192:F253" si="34">Konsolidovan_izvjestaj</f>
        <v>0</v>
      </c>
      <c r="G192" s="139">
        <f t="shared" ref="G192:G253" si="35">Datum_Broj</f>
        <v>45930</v>
      </c>
      <c r="H192" s="105">
        <f>VLOOKUP( $A192, Aop!$A$2:$P$453, 4, 0)</f>
        <v>256</v>
      </c>
      <c r="I192" s="55">
        <f t="shared" si="33"/>
        <v>2025</v>
      </c>
      <c r="J192" s="55" t="str">
        <f t="shared" ca="1" si="30"/>
        <v/>
      </c>
      <c r="K192" s="55"/>
      <c r="L192" s="55"/>
      <c r="M192" s="55">
        <f t="shared" ca="1" si="29"/>
        <v>0</v>
      </c>
      <c r="N192" s="55">
        <f t="shared" ca="1" si="21"/>
        <v>0</v>
      </c>
    </row>
    <row r="193" spans="1:14" x14ac:dyDescent="0.2">
      <c r="A193" s="105">
        <v>195</v>
      </c>
      <c r="B193" s="105" t="str">
        <f>VLOOKUP( $A193, Aop!$A$2:$P$453, 2, 0)</f>
        <v>BUa</v>
      </c>
      <c r="C193" s="55">
        <v>27</v>
      </c>
      <c r="D193" s="55" t="str">
        <f t="shared" si="31"/>
        <v>1074440</v>
      </c>
      <c r="E193" s="55" t="str">
        <f t="shared" si="32"/>
        <v>4400855640000</v>
      </c>
      <c r="F193" s="55" t="b">
        <f t="shared" si="34"/>
        <v>0</v>
      </c>
      <c r="G193" s="139">
        <f t="shared" si="35"/>
        <v>45930</v>
      </c>
      <c r="H193" s="105">
        <f>VLOOKUP( $A193, Aop!$A$2:$P$453, 4, 0)</f>
        <v>257</v>
      </c>
      <c r="I193" s="55">
        <f t="shared" si="33"/>
        <v>2025</v>
      </c>
      <c r="J193" s="55" t="str">
        <f t="shared" ca="1" si="30"/>
        <v/>
      </c>
      <c r="K193" s="55"/>
      <c r="L193" s="55"/>
      <c r="M193" s="55">
        <f t="shared" ca="1" si="29"/>
        <v>3107</v>
      </c>
      <c r="N193" s="55">
        <f t="shared" ca="1" si="21"/>
        <v>3107</v>
      </c>
    </row>
    <row r="194" spans="1:14" x14ac:dyDescent="0.2">
      <c r="A194" s="105">
        <v>196</v>
      </c>
      <c r="B194" s="105" t="str">
        <f>VLOOKUP( $A194, Aop!$A$2:$P$453, 2, 0)</f>
        <v>BUa</v>
      </c>
      <c r="C194" s="55">
        <v>27</v>
      </c>
      <c r="D194" s="55" t="str">
        <f t="shared" si="31"/>
        <v>1074440</v>
      </c>
      <c r="E194" s="55" t="str">
        <f t="shared" si="32"/>
        <v>4400855640000</v>
      </c>
      <c r="F194" s="55" t="b">
        <f t="shared" si="34"/>
        <v>0</v>
      </c>
      <c r="G194" s="139">
        <f t="shared" si="35"/>
        <v>45930</v>
      </c>
      <c r="H194" s="105">
        <f>VLOOKUP( $A194, Aop!$A$2:$P$453, 4, 0)</f>
        <v>258</v>
      </c>
      <c r="I194" s="55">
        <f t="shared" si="33"/>
        <v>2025</v>
      </c>
      <c r="J194" s="55" t="str">
        <f t="shared" ca="1" si="30"/>
        <v/>
      </c>
      <c r="K194" s="55"/>
      <c r="L194" s="55"/>
      <c r="M194" s="55">
        <f t="shared" ca="1" si="29"/>
        <v>35471</v>
      </c>
      <c r="N194" s="55">
        <f t="shared" ref="N194:N257" ca="1" si="36">IF( VLOOKUP( $H194, INDIRECT( "Lookup_" &amp; $B194), IF( LEFT( $B194, 2) = "BS", S$2, S$1), 0) = "", "", VLOOKUP( $H194, INDIRECT( "Lookup_" &amp; $B194), IF( LEFT( $B194, 2) = "BS", S$2, S$1), 0))</f>
        <v>35471</v>
      </c>
    </row>
    <row r="195" spans="1:14" x14ac:dyDescent="0.2">
      <c r="A195" s="105">
        <v>197</v>
      </c>
      <c r="B195" s="105" t="str">
        <f>VLOOKUP( $A195, Aop!$A$2:$P$453, 2, 0)</f>
        <v>BUa</v>
      </c>
      <c r="C195" s="55">
        <v>27</v>
      </c>
      <c r="D195" s="55" t="str">
        <f t="shared" si="31"/>
        <v>1074440</v>
      </c>
      <c r="E195" s="55" t="str">
        <f t="shared" si="32"/>
        <v>4400855640000</v>
      </c>
      <c r="F195" s="55" t="b">
        <f t="shared" si="34"/>
        <v>0</v>
      </c>
      <c r="G195" s="139">
        <f t="shared" si="35"/>
        <v>45930</v>
      </c>
      <c r="H195" s="105">
        <f>VLOOKUP( $A195, Aop!$A$2:$P$453, 4, 0)</f>
        <v>259</v>
      </c>
      <c r="I195" s="55">
        <f t="shared" si="33"/>
        <v>2025</v>
      </c>
      <c r="J195" s="55" t="str">
        <f t="shared" ca="1" si="30"/>
        <v/>
      </c>
      <c r="K195" s="55"/>
      <c r="L195" s="55"/>
      <c r="M195" s="55">
        <f t="shared" ca="1" si="29"/>
        <v>1459888</v>
      </c>
      <c r="N195" s="55">
        <f t="shared" ca="1" si="36"/>
        <v>1459888</v>
      </c>
    </row>
    <row r="196" spans="1:14" x14ac:dyDescent="0.2">
      <c r="A196" s="105">
        <v>198</v>
      </c>
      <c r="B196" s="55" t="str">
        <f>VLOOKUP( $A196, Aop!$A$2:$P$453, 2, 0)</f>
        <v>BUa</v>
      </c>
      <c r="C196" s="55">
        <v>27</v>
      </c>
      <c r="D196" s="55" t="str">
        <f>Podatak_MB</f>
        <v>1074440</v>
      </c>
      <c r="E196" s="55" t="str">
        <f>Podatak_JIB</f>
        <v>4400855640000</v>
      </c>
      <c r="F196" s="55" t="b">
        <f>Konsolidovan_izvjestaj</f>
        <v>0</v>
      </c>
      <c r="G196" s="139">
        <f>Datum_Broj</f>
        <v>45930</v>
      </c>
      <c r="H196" s="55">
        <f>VLOOKUP( $A196, Aop!$A$2:$P$453, 4, 0)</f>
        <v>260</v>
      </c>
      <c r="I196" s="55">
        <f>Godina</f>
        <v>2025</v>
      </c>
      <c r="J196" s="55" t="str">
        <f t="shared" ca="1" si="30"/>
        <v/>
      </c>
      <c r="K196" s="55"/>
      <c r="L196" s="55"/>
      <c r="M196" s="55">
        <f t="shared" ca="1" si="29"/>
        <v>0</v>
      </c>
      <c r="N196" s="55">
        <f t="shared" ca="1" si="36"/>
        <v>0</v>
      </c>
    </row>
    <row r="197" spans="1:14" x14ac:dyDescent="0.2">
      <c r="A197" s="105">
        <v>199</v>
      </c>
      <c r="B197" s="105" t="str">
        <f>VLOOKUP( $A197, Aop!$A$2:$P$453, 2, 0)</f>
        <v>BUa</v>
      </c>
      <c r="C197" s="55">
        <v>27</v>
      </c>
      <c r="D197" s="55" t="str">
        <f t="shared" si="31"/>
        <v>1074440</v>
      </c>
      <c r="E197" s="55" t="str">
        <f t="shared" si="32"/>
        <v>4400855640000</v>
      </c>
      <c r="F197" s="55" t="b">
        <f t="shared" si="34"/>
        <v>0</v>
      </c>
      <c r="G197" s="139">
        <f t="shared" si="35"/>
        <v>45930</v>
      </c>
      <c r="H197" s="105">
        <f>VLOOKUP( $A197, Aop!$A$2:$P$453, 4, 0)</f>
        <v>261</v>
      </c>
      <c r="I197" s="55">
        <f t="shared" si="33"/>
        <v>2025</v>
      </c>
      <c r="J197" s="55" t="str">
        <f t="shared" ca="1" si="30"/>
        <v/>
      </c>
      <c r="K197" s="55"/>
      <c r="L197" s="55"/>
      <c r="M197" s="55">
        <f t="shared" ca="1" si="29"/>
        <v>288032</v>
      </c>
      <c r="N197" s="55">
        <f t="shared" ca="1" si="36"/>
        <v>288032</v>
      </c>
    </row>
    <row r="198" spans="1:14" x14ac:dyDescent="0.2">
      <c r="A198" s="105">
        <v>200</v>
      </c>
      <c r="B198" s="105" t="str">
        <f>VLOOKUP( $A198, Aop!$A$2:$P$453, 2, 0)</f>
        <v>BUa</v>
      </c>
      <c r="C198" s="55">
        <v>27</v>
      </c>
      <c r="D198" s="55" t="str">
        <f t="shared" si="31"/>
        <v>1074440</v>
      </c>
      <c r="E198" s="55" t="str">
        <f t="shared" si="32"/>
        <v>4400855640000</v>
      </c>
      <c r="F198" s="55" t="b">
        <f t="shared" si="34"/>
        <v>0</v>
      </c>
      <c r="G198" s="139">
        <f t="shared" si="35"/>
        <v>45930</v>
      </c>
      <c r="H198" s="105">
        <f>VLOOKUP( $A198, Aop!$A$2:$P$453, 4, 0)</f>
        <v>262</v>
      </c>
      <c r="I198" s="55">
        <f t="shared" si="33"/>
        <v>2025</v>
      </c>
      <c r="J198" s="55" t="str">
        <f t="shared" ca="1" si="30"/>
        <v/>
      </c>
      <c r="K198" s="55"/>
      <c r="L198" s="55"/>
      <c r="M198" s="55">
        <f t="shared" ref="M198:M261" ca="1" si="37">IF( VLOOKUP( $H198, INDIRECT( "Lookup_" &amp; $B198), IF( LEFT( $B198, 2) = "BS", S$2, S$1), 0) = "", "", VLOOKUP( $H198, INDIRECT( "Lookup_" &amp; $B198), IF( LEFT( $B198, 2) = "BS", S$2, S$1), 0))</f>
        <v>0</v>
      </c>
      <c r="N198" s="55">
        <f t="shared" ca="1" si="36"/>
        <v>0</v>
      </c>
    </row>
    <row r="199" spans="1:14" x14ac:dyDescent="0.2">
      <c r="A199" s="105">
        <v>201</v>
      </c>
      <c r="B199" s="105" t="str">
        <f>VLOOKUP( $A199, Aop!$A$2:$P$453, 2, 0)</f>
        <v>BUa</v>
      </c>
      <c r="C199" s="55">
        <v>27</v>
      </c>
      <c r="D199" s="55" t="str">
        <f t="shared" si="31"/>
        <v>1074440</v>
      </c>
      <c r="E199" s="55" t="str">
        <f t="shared" si="32"/>
        <v>4400855640000</v>
      </c>
      <c r="F199" s="55" t="b">
        <f t="shared" si="34"/>
        <v>0</v>
      </c>
      <c r="G199" s="139">
        <f t="shared" si="35"/>
        <v>45930</v>
      </c>
      <c r="H199" s="105">
        <f>VLOOKUP( $A199, Aop!$A$2:$P$453, 4, 0)</f>
        <v>263</v>
      </c>
      <c r="I199" s="55">
        <f t="shared" si="33"/>
        <v>2025</v>
      </c>
      <c r="J199" s="55" t="str">
        <f t="shared" ca="1" si="30"/>
        <v/>
      </c>
      <c r="K199" s="55"/>
      <c r="L199" s="55"/>
      <c r="M199" s="55">
        <f t="shared" ca="1" si="37"/>
        <v>0</v>
      </c>
      <c r="N199" s="55">
        <f t="shared" ca="1" si="36"/>
        <v>0</v>
      </c>
    </row>
    <row r="200" spans="1:14" x14ac:dyDescent="0.2">
      <c r="A200" s="105">
        <v>202</v>
      </c>
      <c r="B200" s="105" t="str">
        <f>VLOOKUP( $A200, Aop!$A$2:$P$453, 2, 0)</f>
        <v>BUa</v>
      </c>
      <c r="C200" s="55">
        <v>27</v>
      </c>
      <c r="D200" s="55" t="str">
        <f t="shared" si="31"/>
        <v>1074440</v>
      </c>
      <c r="E200" s="55" t="str">
        <f t="shared" si="32"/>
        <v>4400855640000</v>
      </c>
      <c r="F200" s="55" t="b">
        <f t="shared" si="34"/>
        <v>0</v>
      </c>
      <c r="G200" s="139">
        <f t="shared" si="35"/>
        <v>45930</v>
      </c>
      <c r="H200" s="105">
        <f>VLOOKUP( $A200, Aop!$A$2:$P$453, 4, 0)</f>
        <v>264</v>
      </c>
      <c r="I200" s="55">
        <f t="shared" si="33"/>
        <v>2025</v>
      </c>
      <c r="J200" s="55" t="str">
        <f t="shared" ca="1" si="30"/>
        <v/>
      </c>
      <c r="K200" s="55"/>
      <c r="L200" s="55"/>
      <c r="M200" s="55">
        <f t="shared" ca="1" si="37"/>
        <v>0</v>
      </c>
      <c r="N200" s="55">
        <f t="shared" ca="1" si="36"/>
        <v>0</v>
      </c>
    </row>
    <row r="201" spans="1:14" x14ac:dyDescent="0.2">
      <c r="A201" s="105">
        <v>203</v>
      </c>
      <c r="B201" s="105" t="str">
        <f>VLOOKUP( $A201, Aop!$A$2:$P$453, 2, 0)</f>
        <v>BUa</v>
      </c>
      <c r="C201" s="55">
        <v>27</v>
      </c>
      <c r="D201" s="55" t="str">
        <f t="shared" si="31"/>
        <v>1074440</v>
      </c>
      <c r="E201" s="55" t="str">
        <f t="shared" si="32"/>
        <v>4400855640000</v>
      </c>
      <c r="F201" s="55" t="b">
        <f t="shared" si="34"/>
        <v>0</v>
      </c>
      <c r="G201" s="139">
        <f t="shared" si="35"/>
        <v>45930</v>
      </c>
      <c r="H201" s="105">
        <f>VLOOKUP( $A201, Aop!$A$2:$P$453, 4, 0)</f>
        <v>265</v>
      </c>
      <c r="I201" s="55">
        <f t="shared" si="33"/>
        <v>2025</v>
      </c>
      <c r="J201" s="55" t="str">
        <f t="shared" ca="1" si="30"/>
        <v/>
      </c>
      <c r="K201" s="55"/>
      <c r="L201" s="55"/>
      <c r="M201" s="55">
        <f t="shared" ca="1" si="37"/>
        <v>0</v>
      </c>
      <c r="N201" s="55">
        <f t="shared" ca="1" si="36"/>
        <v>0</v>
      </c>
    </row>
    <row r="202" spans="1:14" x14ac:dyDescent="0.2">
      <c r="A202" s="105">
        <v>204</v>
      </c>
      <c r="B202" s="105" t="str">
        <f>VLOOKUP( $A202, Aop!$A$2:$P$453, 2, 0)</f>
        <v>BUa</v>
      </c>
      <c r="C202" s="55">
        <v>27</v>
      </c>
      <c r="D202" s="55" t="str">
        <f t="shared" si="31"/>
        <v>1074440</v>
      </c>
      <c r="E202" s="55" t="str">
        <f t="shared" si="32"/>
        <v>4400855640000</v>
      </c>
      <c r="F202" s="55" t="b">
        <f t="shared" si="34"/>
        <v>0</v>
      </c>
      <c r="G202" s="139">
        <f t="shared" si="35"/>
        <v>45930</v>
      </c>
      <c r="H202" s="105">
        <f>VLOOKUP( $A202, Aop!$A$2:$P$453, 4, 0)</f>
        <v>266</v>
      </c>
      <c r="I202" s="55">
        <f t="shared" si="33"/>
        <v>2025</v>
      </c>
      <c r="J202" s="55" t="str">
        <f t="shared" ca="1" si="30"/>
        <v/>
      </c>
      <c r="K202" s="55"/>
      <c r="L202" s="55"/>
      <c r="M202" s="55">
        <f t="shared" ca="1" si="37"/>
        <v>0</v>
      </c>
      <c r="N202" s="55">
        <f t="shared" ca="1" si="36"/>
        <v>0</v>
      </c>
    </row>
    <row r="203" spans="1:14" x14ac:dyDescent="0.2">
      <c r="A203" s="105">
        <v>205</v>
      </c>
      <c r="B203" s="105" t="str">
        <f>VLOOKUP( $A203, Aop!$A$2:$P$453, 2, 0)</f>
        <v>BUa</v>
      </c>
      <c r="C203" s="55">
        <v>27</v>
      </c>
      <c r="D203" s="55" t="str">
        <f t="shared" si="31"/>
        <v>1074440</v>
      </c>
      <c r="E203" s="55" t="str">
        <f t="shared" si="32"/>
        <v>4400855640000</v>
      </c>
      <c r="F203" s="55" t="b">
        <f t="shared" si="34"/>
        <v>0</v>
      </c>
      <c r="G203" s="139">
        <f t="shared" si="35"/>
        <v>45930</v>
      </c>
      <c r="H203" s="105">
        <f>VLOOKUP( $A203, Aop!$A$2:$P$453, 4, 0)</f>
        <v>267</v>
      </c>
      <c r="I203" s="55">
        <f t="shared" si="33"/>
        <v>2025</v>
      </c>
      <c r="J203" s="55" t="str">
        <f t="shared" ca="1" si="30"/>
        <v/>
      </c>
      <c r="K203" s="55"/>
      <c r="L203" s="55"/>
      <c r="M203" s="55">
        <f t="shared" ca="1" si="37"/>
        <v>0</v>
      </c>
      <c r="N203" s="55">
        <f t="shared" ca="1" si="36"/>
        <v>0</v>
      </c>
    </row>
    <row r="204" spans="1:14" x14ac:dyDescent="0.2">
      <c r="A204" s="105">
        <v>206</v>
      </c>
      <c r="B204" s="105" t="str">
        <f>VLOOKUP( $A204, Aop!$A$2:$P$453, 2, 0)</f>
        <v>BUa</v>
      </c>
      <c r="C204" s="55">
        <v>27</v>
      </c>
      <c r="D204" s="55" t="str">
        <f t="shared" si="31"/>
        <v>1074440</v>
      </c>
      <c r="E204" s="55" t="str">
        <f t="shared" si="32"/>
        <v>4400855640000</v>
      </c>
      <c r="F204" s="55" t="b">
        <f t="shared" si="34"/>
        <v>0</v>
      </c>
      <c r="G204" s="139">
        <f t="shared" si="35"/>
        <v>45930</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f t="shared" ca="1" si="37"/>
        <v>0</v>
      </c>
      <c r="N204" s="55">
        <f t="shared" ca="1" si="36"/>
        <v>0</v>
      </c>
    </row>
    <row r="205" spans="1:14" x14ac:dyDescent="0.2">
      <c r="A205" s="105">
        <v>208</v>
      </c>
      <c r="B205" s="105" t="str">
        <f>VLOOKUP( $A205, Aop!$A$2:$P$453, 2, 0)</f>
        <v>BUa</v>
      </c>
      <c r="C205" s="55">
        <v>27</v>
      </c>
      <c r="D205" s="55" t="str">
        <f t="shared" si="31"/>
        <v>1074440</v>
      </c>
      <c r="E205" s="55" t="str">
        <f t="shared" si="32"/>
        <v>4400855640000</v>
      </c>
      <c r="F205" s="55" t="b">
        <f t="shared" si="34"/>
        <v>0</v>
      </c>
      <c r="G205" s="139">
        <f t="shared" si="35"/>
        <v>45930</v>
      </c>
      <c r="H205" s="105">
        <f>VLOOKUP( $A205, Aop!$A$2:$P$453, 4, 0)</f>
        <v>270</v>
      </c>
      <c r="I205" s="55">
        <f t="shared" si="33"/>
        <v>2025</v>
      </c>
      <c r="J205" s="55" t="str">
        <f t="shared" ca="1" si="38"/>
        <v/>
      </c>
      <c r="K205" s="55"/>
      <c r="L205" s="55"/>
      <c r="M205" s="55">
        <f t="shared" ca="1" si="37"/>
        <v>288032</v>
      </c>
      <c r="N205" s="55">
        <f t="shared" ca="1" si="36"/>
        <v>288032</v>
      </c>
    </row>
    <row r="206" spans="1:14" x14ac:dyDescent="0.2">
      <c r="A206" s="105">
        <v>209</v>
      </c>
      <c r="B206" s="105" t="str">
        <f>VLOOKUP( $A206, Aop!$A$2:$P$453, 2, 0)</f>
        <v>BUa</v>
      </c>
      <c r="C206" s="55">
        <v>27</v>
      </c>
      <c r="D206" s="55" t="str">
        <f t="shared" si="31"/>
        <v>1074440</v>
      </c>
      <c r="E206" s="55" t="str">
        <f t="shared" si="32"/>
        <v>4400855640000</v>
      </c>
      <c r="F206" s="55" t="b">
        <f t="shared" si="34"/>
        <v>0</v>
      </c>
      <c r="G206" s="139">
        <f t="shared" si="35"/>
        <v>45930</v>
      </c>
      <c r="H206" s="105">
        <f>VLOOKUP( $A206, Aop!$A$2:$P$453, 4, 0)</f>
        <v>271</v>
      </c>
      <c r="I206" s="55">
        <f t="shared" si="33"/>
        <v>2025</v>
      </c>
      <c r="J206" s="55" t="str">
        <f t="shared" ca="1" si="38"/>
        <v/>
      </c>
      <c r="K206" s="55"/>
      <c r="L206" s="55"/>
      <c r="M206" s="55">
        <f t="shared" ca="1" si="37"/>
        <v>1210534</v>
      </c>
      <c r="N206" s="55">
        <f t="shared" ca="1" si="36"/>
        <v>1210534</v>
      </c>
    </row>
    <row r="207" spans="1:14" x14ac:dyDescent="0.2">
      <c r="A207" s="105">
        <v>210</v>
      </c>
      <c r="B207" s="105" t="str">
        <f>VLOOKUP( $A207, Aop!$A$2:$P$453, 2, 0)</f>
        <v>BUa</v>
      </c>
      <c r="C207" s="55">
        <v>27</v>
      </c>
      <c r="D207" s="55" t="str">
        <f t="shared" si="31"/>
        <v>1074440</v>
      </c>
      <c r="E207" s="55" t="str">
        <f t="shared" si="32"/>
        <v>4400855640000</v>
      </c>
      <c r="F207" s="55" t="b">
        <f t="shared" si="34"/>
        <v>0</v>
      </c>
      <c r="G207" s="139">
        <f t="shared" si="35"/>
        <v>45930</v>
      </c>
      <c r="H207" s="105">
        <f>VLOOKUP( $A207, Aop!$A$2:$P$453, 4, 0)</f>
        <v>272</v>
      </c>
      <c r="I207" s="55">
        <f t="shared" si="33"/>
        <v>2025</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1074440</v>
      </c>
      <c r="E208" s="55" t="str">
        <f t="shared" si="32"/>
        <v>4400855640000</v>
      </c>
      <c r="F208" s="55" t="b">
        <f t="shared" si="34"/>
        <v>0</v>
      </c>
      <c r="G208" s="139">
        <f t="shared" si="35"/>
        <v>45930</v>
      </c>
      <c r="H208" s="105">
        <f>VLOOKUP( $A208, Aop!$A$2:$P$453, 4, 0)</f>
        <v>273</v>
      </c>
      <c r="I208" s="55">
        <f t="shared" si="33"/>
        <v>2025</v>
      </c>
      <c r="J208" s="55" t="str">
        <f t="shared" ca="1" si="38"/>
        <v/>
      </c>
      <c r="K208" s="55"/>
      <c r="L208" s="55"/>
      <c r="M208" s="55">
        <f t="shared" ca="1" si="37"/>
        <v>1610299</v>
      </c>
      <c r="N208" s="55">
        <f t="shared" ca="1" si="36"/>
        <v>1610299</v>
      </c>
    </row>
    <row r="209" spans="1:14" x14ac:dyDescent="0.2">
      <c r="A209" s="105">
        <v>212</v>
      </c>
      <c r="B209" s="105" t="str">
        <f>VLOOKUP( $A209, Aop!$A$2:$P$453, 2, 0)</f>
        <v>BUa</v>
      </c>
      <c r="C209" s="55">
        <v>27</v>
      </c>
      <c r="D209" s="55" t="str">
        <f t="shared" si="31"/>
        <v>1074440</v>
      </c>
      <c r="E209" s="55" t="str">
        <f t="shared" si="32"/>
        <v>4400855640000</v>
      </c>
      <c r="F209" s="55" t="b">
        <f t="shared" si="34"/>
        <v>0</v>
      </c>
      <c r="G209" s="139">
        <f t="shared" si="35"/>
        <v>45930</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1074440</v>
      </c>
      <c r="E210" s="55" t="str">
        <f t="shared" si="32"/>
        <v>4400855640000</v>
      </c>
      <c r="F210" s="55" t="b">
        <f t="shared" si="34"/>
        <v>0</v>
      </c>
      <c r="G210" s="139">
        <f t="shared" si="35"/>
        <v>45930</v>
      </c>
      <c r="H210" s="105">
        <f>VLOOKUP( $A210, Aop!$A$2:$P$453, 4, 0)</f>
        <v>275</v>
      </c>
      <c r="I210" s="55">
        <f t="shared" si="33"/>
        <v>2025</v>
      </c>
      <c r="J210" s="55" t="str">
        <f t="shared" ca="1" si="38"/>
        <v/>
      </c>
      <c r="K210" s="55"/>
      <c r="L210" s="55"/>
      <c r="M210" s="55">
        <f t="shared" ca="1" si="37"/>
        <v>0</v>
      </c>
      <c r="N210" s="55">
        <f t="shared" ca="1" si="36"/>
        <v>0</v>
      </c>
    </row>
    <row r="211" spans="1:14" x14ac:dyDescent="0.2">
      <c r="A211" s="105">
        <v>214</v>
      </c>
      <c r="B211" s="105" t="str">
        <f>VLOOKUP( $A211, Aop!$A$2:$P$453, 2, 0)</f>
        <v>BUa</v>
      </c>
      <c r="C211" s="55">
        <v>27</v>
      </c>
      <c r="D211" s="55" t="str">
        <f t="shared" si="31"/>
        <v>1074440</v>
      </c>
      <c r="E211" s="55" t="str">
        <f t="shared" si="32"/>
        <v>4400855640000</v>
      </c>
      <c r="F211" s="55" t="b">
        <f t="shared" si="34"/>
        <v>0</v>
      </c>
      <c r="G211" s="139">
        <f t="shared" si="35"/>
        <v>45930</v>
      </c>
      <c r="H211" s="105">
        <f>VLOOKUP( $A211, Aop!$A$2:$P$453, 4, 0)</f>
        <v>276</v>
      </c>
      <c r="I211" s="55">
        <f t="shared" si="33"/>
        <v>2025</v>
      </c>
      <c r="J211" s="55" t="str">
        <f t="shared" ca="1" si="38"/>
        <v/>
      </c>
      <c r="K211" s="55"/>
      <c r="L211" s="55"/>
      <c r="M211" s="55">
        <f t="shared" ca="1" si="37"/>
        <v>0</v>
      </c>
      <c r="N211" s="55">
        <f t="shared" ca="1" si="36"/>
        <v>0</v>
      </c>
    </row>
    <row r="212" spans="1:14" x14ac:dyDescent="0.2">
      <c r="A212" s="105">
        <v>215</v>
      </c>
      <c r="B212" s="105" t="str">
        <f>VLOOKUP( $A212, Aop!$A$2:$P$453, 2, 0)</f>
        <v>BUa</v>
      </c>
      <c r="C212" s="55">
        <v>27</v>
      </c>
      <c r="D212" s="55" t="str">
        <f t="shared" si="31"/>
        <v>1074440</v>
      </c>
      <c r="E212" s="55" t="str">
        <f t="shared" si="32"/>
        <v>4400855640000</v>
      </c>
      <c r="F212" s="55" t="b">
        <f t="shared" si="34"/>
        <v>0</v>
      </c>
      <c r="G212" s="139">
        <f t="shared" si="35"/>
        <v>45930</v>
      </c>
      <c r="H212" s="105">
        <f>VLOOKUP( $A212, Aop!$A$2:$P$453, 4, 0)</f>
        <v>277</v>
      </c>
      <c r="I212" s="55">
        <f t="shared" si="33"/>
        <v>2025</v>
      </c>
      <c r="J212" s="55" t="str">
        <f t="shared" ca="1" si="38"/>
        <v/>
      </c>
      <c r="K212" s="55"/>
      <c r="L212" s="55"/>
      <c r="M212" s="55">
        <f t="shared" ca="1" si="37"/>
        <v>0</v>
      </c>
      <c r="N212" s="55">
        <f t="shared" ca="1" si="36"/>
        <v>0</v>
      </c>
    </row>
    <row r="213" spans="1:14" x14ac:dyDescent="0.2">
      <c r="A213" s="105">
        <v>216</v>
      </c>
      <c r="B213" s="105" t="str">
        <f>VLOOKUP( $A213, Aop!$A$2:$P$453, 2, 0)</f>
        <v>BUa</v>
      </c>
      <c r="C213" s="55">
        <v>27</v>
      </c>
      <c r="D213" s="55" t="str">
        <f t="shared" si="31"/>
        <v>1074440</v>
      </c>
      <c r="E213" s="55" t="str">
        <f t="shared" si="32"/>
        <v>4400855640000</v>
      </c>
      <c r="F213" s="55" t="b">
        <f t="shared" si="34"/>
        <v>0</v>
      </c>
      <c r="G213" s="139">
        <f t="shared" si="35"/>
        <v>45930</v>
      </c>
      <c r="H213" s="105">
        <f>VLOOKUP( $A213, Aop!$A$2:$P$453, 4, 0)</f>
        <v>278</v>
      </c>
      <c r="I213" s="55">
        <f t="shared" si="33"/>
        <v>2025</v>
      </c>
      <c r="J213" s="55" t="str">
        <f t="shared" ca="1" si="38"/>
        <v/>
      </c>
      <c r="K213" s="55"/>
      <c r="L213" s="55"/>
      <c r="M213" s="55">
        <f t="shared" ca="1" si="37"/>
        <v>0</v>
      </c>
      <c r="N213" s="55">
        <f t="shared" ca="1" si="36"/>
        <v>0</v>
      </c>
    </row>
    <row r="214" spans="1:14" x14ac:dyDescent="0.2">
      <c r="A214" s="105">
        <v>217</v>
      </c>
      <c r="B214" s="105" t="str">
        <f>VLOOKUP( $A214, Aop!$A$2:$P$453, 2, 0)</f>
        <v>BUa</v>
      </c>
      <c r="C214" s="55">
        <v>27</v>
      </c>
      <c r="D214" s="55" t="str">
        <f t="shared" si="31"/>
        <v>1074440</v>
      </c>
      <c r="E214" s="55" t="str">
        <f t="shared" si="32"/>
        <v>4400855640000</v>
      </c>
      <c r="F214" s="55" t="b">
        <f t="shared" si="34"/>
        <v>0</v>
      </c>
      <c r="G214" s="139">
        <f t="shared" si="35"/>
        <v>45930</v>
      </c>
      <c r="H214" s="105">
        <f>VLOOKUP( $A214, Aop!$A$2:$P$453, 4, 0)</f>
        <v>279</v>
      </c>
      <c r="I214" s="55">
        <f t="shared" si="33"/>
        <v>2025</v>
      </c>
      <c r="J214" s="55" t="str">
        <f t="shared" ca="1" si="38"/>
        <v/>
      </c>
      <c r="K214" s="55"/>
      <c r="L214" s="55"/>
      <c r="M214" s="55">
        <f t="shared" ca="1" si="37"/>
        <v>0</v>
      </c>
      <c r="N214" s="55">
        <f t="shared" ca="1" si="36"/>
        <v>0</v>
      </c>
    </row>
    <row r="215" spans="1:14" x14ac:dyDescent="0.2">
      <c r="A215" s="105">
        <v>218</v>
      </c>
      <c r="B215" s="105" t="str">
        <f>VLOOKUP( $A215, Aop!$A$2:$P$453, 2, 0)</f>
        <v>BUa</v>
      </c>
      <c r="C215" s="55">
        <v>27</v>
      </c>
      <c r="D215" s="55" t="str">
        <f t="shared" si="31"/>
        <v>1074440</v>
      </c>
      <c r="E215" s="55" t="str">
        <f t="shared" si="32"/>
        <v>4400855640000</v>
      </c>
      <c r="F215" s="55" t="b">
        <f t="shared" si="34"/>
        <v>0</v>
      </c>
      <c r="G215" s="139">
        <f t="shared" si="35"/>
        <v>45930</v>
      </c>
      <c r="H215" s="105">
        <f>VLOOKUP( $A215, Aop!$A$2:$P$453, 4, 0)</f>
        <v>280</v>
      </c>
      <c r="I215" s="55">
        <f t="shared" si="33"/>
        <v>2025</v>
      </c>
      <c r="J215" s="55" t="str">
        <f t="shared" ca="1" si="38"/>
        <v/>
      </c>
      <c r="K215" s="55"/>
      <c r="L215" s="55"/>
      <c r="M215" s="55">
        <f t="shared" ca="1" si="37"/>
        <v>0</v>
      </c>
      <c r="N215" s="55">
        <f t="shared" ca="1" si="36"/>
        <v>0</v>
      </c>
    </row>
    <row r="216" spans="1:14" x14ac:dyDescent="0.2">
      <c r="A216" s="105">
        <v>219</v>
      </c>
      <c r="B216" s="105" t="str">
        <f>VLOOKUP( $A216, Aop!$A$2:$P$453, 2, 0)</f>
        <v>BUa</v>
      </c>
      <c r="C216" s="55">
        <v>27</v>
      </c>
      <c r="D216" s="55" t="str">
        <f t="shared" si="31"/>
        <v>1074440</v>
      </c>
      <c r="E216" s="55" t="str">
        <f t="shared" si="32"/>
        <v>4400855640000</v>
      </c>
      <c r="F216" s="55" t="b">
        <f t="shared" si="34"/>
        <v>0</v>
      </c>
      <c r="G216" s="139">
        <f t="shared" si="35"/>
        <v>45930</v>
      </c>
      <c r="H216" s="105">
        <f>VLOOKUP( $A216, Aop!$A$2:$P$453, 4, 0)</f>
        <v>281</v>
      </c>
      <c r="I216" s="55">
        <f t="shared" si="33"/>
        <v>2025</v>
      </c>
      <c r="J216" s="55" t="str">
        <f t="shared" ca="1" si="38"/>
        <v/>
      </c>
      <c r="K216" s="55"/>
      <c r="L216" s="55"/>
      <c r="M216" s="55">
        <f t="shared" ca="1" si="37"/>
        <v>1610299</v>
      </c>
      <c r="N216" s="55">
        <f t="shared" ca="1" si="36"/>
        <v>1610299</v>
      </c>
    </row>
    <row r="217" spans="1:14" x14ac:dyDescent="0.2">
      <c r="A217" s="105">
        <v>220</v>
      </c>
      <c r="B217" s="105" t="str">
        <f>VLOOKUP( $A217, Aop!$A$2:$P$453, 2, 0)</f>
        <v>BUa</v>
      </c>
      <c r="C217" s="55">
        <v>27</v>
      </c>
      <c r="D217" s="55" t="str">
        <f t="shared" si="31"/>
        <v>1074440</v>
      </c>
      <c r="E217" s="55" t="str">
        <f t="shared" si="32"/>
        <v>4400855640000</v>
      </c>
      <c r="F217" s="55" t="b">
        <f t="shared" si="34"/>
        <v>0</v>
      </c>
      <c r="G217" s="139">
        <f t="shared" si="35"/>
        <v>45930</v>
      </c>
      <c r="H217" s="105">
        <f>VLOOKUP( $A217, Aop!$A$2:$P$453, 4, 0)</f>
        <v>282</v>
      </c>
      <c r="I217" s="55">
        <f t="shared" si="33"/>
        <v>2025</v>
      </c>
      <c r="J217" s="55" t="str">
        <f t="shared" ca="1" si="38"/>
        <v/>
      </c>
      <c r="K217" s="55"/>
      <c r="L217" s="55"/>
      <c r="M217" s="55">
        <f t="shared" ca="1" si="37"/>
        <v>910738</v>
      </c>
      <c r="N217" s="55">
        <f t="shared" ca="1" si="36"/>
        <v>910738</v>
      </c>
    </row>
    <row r="218" spans="1:14" x14ac:dyDescent="0.2">
      <c r="A218" s="105">
        <v>221</v>
      </c>
      <c r="B218" s="55" t="str">
        <f>VLOOKUP( $A218, Aop!$A$2:$P$453, 2, 0)</f>
        <v>BUa</v>
      </c>
      <c r="C218" s="55">
        <v>27</v>
      </c>
      <c r="D218" s="55" t="str">
        <f>Podatak_MB</f>
        <v>1074440</v>
      </c>
      <c r="E218" s="55" t="str">
        <f>Podatak_JIB</f>
        <v>4400855640000</v>
      </c>
      <c r="F218" s="55" t="b">
        <f>Konsolidovan_izvjestaj</f>
        <v>0</v>
      </c>
      <c r="G218" s="139">
        <f>Datum_Broj</f>
        <v>45930</v>
      </c>
      <c r="H218" s="55">
        <f>VLOOKUP( $A218, Aop!$A$2:$P$453, 4, 0)</f>
        <v>283</v>
      </c>
      <c r="I218" s="55">
        <f>Godina</f>
        <v>2025</v>
      </c>
      <c r="J218" s="55" t="str">
        <f t="shared" ca="1" si="38"/>
        <v/>
      </c>
      <c r="K218" s="55"/>
      <c r="L218" s="55"/>
      <c r="M218" s="55">
        <f t="shared" ca="1" si="37"/>
        <v>0</v>
      </c>
      <c r="N218" s="55">
        <f t="shared" ca="1" si="36"/>
        <v>0</v>
      </c>
    </row>
    <row r="219" spans="1:14" x14ac:dyDescent="0.2">
      <c r="A219" s="105">
        <v>222</v>
      </c>
      <c r="B219" s="105" t="str">
        <f>VLOOKUP( $A219, Aop!$A$2:$P$453, 2, 0)</f>
        <v>BUa</v>
      </c>
      <c r="C219" s="55">
        <v>27</v>
      </c>
      <c r="D219" s="55" t="str">
        <f t="shared" si="31"/>
        <v>1074440</v>
      </c>
      <c r="E219" s="55" t="str">
        <f t="shared" si="32"/>
        <v>4400855640000</v>
      </c>
      <c r="F219" s="55" t="b">
        <f t="shared" si="34"/>
        <v>0</v>
      </c>
      <c r="G219" s="139">
        <f t="shared" si="35"/>
        <v>45930</v>
      </c>
      <c r="H219" s="105">
        <f>VLOOKUP( $A219, Aop!$A$2:$P$453, 4, 0)</f>
        <v>284</v>
      </c>
      <c r="I219" s="55">
        <f t="shared" si="33"/>
        <v>2025</v>
      </c>
      <c r="J219" s="55" t="str">
        <f t="shared" ca="1" si="38"/>
        <v/>
      </c>
      <c r="K219" s="55"/>
      <c r="L219" s="55"/>
      <c r="M219" s="55">
        <f t="shared" ca="1" si="37"/>
        <v>699561</v>
      </c>
      <c r="N219" s="55">
        <f t="shared" ca="1" si="36"/>
        <v>699561</v>
      </c>
    </row>
    <row r="220" spans="1:14" x14ac:dyDescent="0.2">
      <c r="A220" s="105">
        <v>223</v>
      </c>
      <c r="B220" s="105" t="str">
        <f>VLOOKUP( $A220, Aop!$A$2:$P$453, 2, 0)</f>
        <v>BUa</v>
      </c>
      <c r="C220" s="55">
        <v>27</v>
      </c>
      <c r="D220" s="55" t="str">
        <f t="shared" si="31"/>
        <v>1074440</v>
      </c>
      <c r="E220" s="55" t="str">
        <f t="shared" si="32"/>
        <v>4400855640000</v>
      </c>
      <c r="F220" s="55" t="b">
        <f t="shared" si="34"/>
        <v>0</v>
      </c>
      <c r="G220" s="139">
        <f t="shared" si="35"/>
        <v>45930</v>
      </c>
      <c r="H220" s="105">
        <f>VLOOKUP( $A220, Aop!$A$2:$P$453, 4, 0)</f>
        <v>285</v>
      </c>
      <c r="I220" s="55">
        <f t="shared" si="33"/>
        <v>2025</v>
      </c>
      <c r="J220" s="55" t="str">
        <f t="shared" ca="1" si="38"/>
        <v/>
      </c>
      <c r="K220" s="55"/>
      <c r="L220" s="55"/>
      <c r="M220" s="55">
        <f t="shared" ca="1" si="37"/>
        <v>0</v>
      </c>
      <c r="N220" s="55">
        <f t="shared" ca="1" si="36"/>
        <v>0</v>
      </c>
    </row>
    <row r="221" spans="1:14" x14ac:dyDescent="0.2">
      <c r="A221" s="105">
        <v>224</v>
      </c>
      <c r="B221" s="55" t="str">
        <f>VLOOKUP( $A221, Aop!$A$2:$P$453, 2, 0)</f>
        <v>BUa</v>
      </c>
      <c r="C221" s="55">
        <v>27</v>
      </c>
      <c r="D221" s="55" t="str">
        <f>Podatak_MB</f>
        <v>1074440</v>
      </c>
      <c r="E221" s="55" t="str">
        <f>Podatak_JIB</f>
        <v>4400855640000</v>
      </c>
      <c r="F221" s="55" t="b">
        <f>Konsolidovan_izvjestaj</f>
        <v>0</v>
      </c>
      <c r="G221" s="139">
        <f>Datum_Broj</f>
        <v>45930</v>
      </c>
      <c r="H221" s="55">
        <f>VLOOKUP( $A221, Aop!$A$2:$P$453, 4, 0)</f>
        <v>286</v>
      </c>
      <c r="I221" s="55">
        <f>Godina</f>
        <v>2025</v>
      </c>
      <c r="J221" s="55" t="str">
        <f t="shared" ca="1" si="38"/>
        <v/>
      </c>
      <c r="K221" s="55"/>
      <c r="L221" s="55"/>
      <c r="M221" s="55">
        <f t="shared" ca="1" si="37"/>
        <v>213667</v>
      </c>
      <c r="N221" s="55">
        <f t="shared" ca="1" si="36"/>
        <v>213667</v>
      </c>
    </row>
    <row r="222" spans="1:14" x14ac:dyDescent="0.2">
      <c r="A222" s="105">
        <v>225</v>
      </c>
      <c r="B222" s="105" t="str">
        <f>VLOOKUP( $A222, Aop!$A$2:$P$453, 2, 0)</f>
        <v>BUa</v>
      </c>
      <c r="C222" s="55">
        <v>27</v>
      </c>
      <c r="D222" s="55" t="str">
        <f t="shared" si="31"/>
        <v>1074440</v>
      </c>
      <c r="E222" s="55" t="str">
        <f t="shared" si="32"/>
        <v>4400855640000</v>
      </c>
      <c r="F222" s="55" t="b">
        <f t="shared" si="34"/>
        <v>0</v>
      </c>
      <c r="G222" s="139">
        <f t="shared" si="35"/>
        <v>45930</v>
      </c>
      <c r="H222" s="105">
        <f>VLOOKUP( $A222, Aop!$A$2:$P$453, 4, 0)</f>
        <v>287</v>
      </c>
      <c r="I222" s="55">
        <f t="shared" si="33"/>
        <v>2025</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1074440</v>
      </c>
      <c r="E223" s="55" t="str">
        <f t="shared" si="32"/>
        <v>4400855640000</v>
      </c>
      <c r="F223" s="55" t="b">
        <f t="shared" si="34"/>
        <v>0</v>
      </c>
      <c r="G223" s="139">
        <f t="shared" si="35"/>
        <v>45930</v>
      </c>
      <c r="H223" s="105">
        <f>VLOOKUP( $A223, Aop!$A$2:$P$453, 4, 0)</f>
        <v>288</v>
      </c>
      <c r="I223" s="55">
        <f t="shared" si="33"/>
        <v>2025</v>
      </c>
      <c r="J223" s="55" t="str">
        <f t="shared" ca="1" si="38"/>
        <v/>
      </c>
      <c r="K223" s="55"/>
      <c r="L223" s="55"/>
      <c r="M223" s="55">
        <f t="shared" ca="1" si="37"/>
        <v>0</v>
      </c>
      <c r="N223" s="55">
        <f t="shared" ca="1" si="36"/>
        <v>0</v>
      </c>
    </row>
    <row r="224" spans="1:14" x14ac:dyDescent="0.2">
      <c r="A224" s="105">
        <v>227</v>
      </c>
      <c r="B224" s="55" t="str">
        <f>VLOOKUP( $A224, Aop!$A$2:$P$453, 2, 0)</f>
        <v>BUa</v>
      </c>
      <c r="C224" s="55">
        <v>27</v>
      </c>
      <c r="D224" s="55" t="str">
        <f>Podatak_MB</f>
        <v>1074440</v>
      </c>
      <c r="E224" s="55" t="str">
        <f>Podatak_JIB</f>
        <v>4400855640000</v>
      </c>
      <c r="F224" s="55" t="b">
        <f>Konsolidovan_izvjestaj</f>
        <v>0</v>
      </c>
      <c r="G224" s="139">
        <f>Datum_Broj</f>
        <v>45930</v>
      </c>
      <c r="H224" s="55">
        <f>VLOOKUP( $A224, Aop!$A$2:$P$453, 4, 0)</f>
        <v>289</v>
      </c>
      <c r="I224" s="55">
        <f>Godina</f>
        <v>2025</v>
      </c>
      <c r="J224" s="55" t="str">
        <f t="shared" ca="1" si="38"/>
        <v/>
      </c>
      <c r="K224" s="55"/>
      <c r="L224" s="55"/>
      <c r="M224" s="55">
        <f t="shared" ca="1" si="37"/>
        <v>0</v>
      </c>
      <c r="N224" s="55">
        <f t="shared" ca="1" si="36"/>
        <v>0</v>
      </c>
    </row>
    <row r="225" spans="1:14" x14ac:dyDescent="0.2">
      <c r="A225" s="105">
        <v>228</v>
      </c>
      <c r="B225" s="105" t="str">
        <f>VLOOKUP( $A225, Aop!$A$2:$P$453, 2, 0)</f>
        <v>BUa</v>
      </c>
      <c r="C225" s="55">
        <v>27</v>
      </c>
      <c r="D225" s="55" t="str">
        <f t="shared" si="31"/>
        <v>1074440</v>
      </c>
      <c r="E225" s="55" t="str">
        <f t="shared" si="32"/>
        <v>4400855640000</v>
      </c>
      <c r="F225" s="55" t="b">
        <f t="shared" si="34"/>
        <v>0</v>
      </c>
      <c r="G225" s="139">
        <f t="shared" si="35"/>
        <v>45930</v>
      </c>
      <c r="H225" s="105">
        <f>VLOOKUP( $A225, Aop!$A$2:$P$453, 4, 0)</f>
        <v>290</v>
      </c>
      <c r="I225" s="55">
        <f t="shared" si="33"/>
        <v>2025</v>
      </c>
      <c r="J225" s="55" t="str">
        <f t="shared" ca="1" si="38"/>
        <v/>
      </c>
      <c r="K225" s="55"/>
      <c r="L225" s="55"/>
      <c r="M225" s="55">
        <f t="shared" ca="1" si="37"/>
        <v>0</v>
      </c>
      <c r="N225" s="55">
        <f t="shared" ca="1" si="36"/>
        <v>0</v>
      </c>
    </row>
    <row r="226" spans="1:14" x14ac:dyDescent="0.2">
      <c r="A226" s="105">
        <v>229</v>
      </c>
      <c r="B226" s="105" t="str">
        <f>VLOOKUP( $A226, Aop!$A$2:$P$453, 2, 0)</f>
        <v>BUa</v>
      </c>
      <c r="C226" s="55">
        <v>27</v>
      </c>
      <c r="D226" s="55" t="str">
        <f t="shared" si="31"/>
        <v>1074440</v>
      </c>
      <c r="E226" s="55" t="str">
        <f t="shared" si="32"/>
        <v>4400855640000</v>
      </c>
      <c r="F226" s="55" t="b">
        <f t="shared" si="34"/>
        <v>0</v>
      </c>
      <c r="G226" s="139">
        <f t="shared" si="35"/>
        <v>45930</v>
      </c>
      <c r="H226" s="105">
        <f>VLOOKUP( $A226, Aop!$A$2:$P$453, 4, 0)</f>
        <v>291</v>
      </c>
      <c r="I226" s="55">
        <f t="shared" si="33"/>
        <v>2025</v>
      </c>
      <c r="J226" s="55" t="str">
        <f t="shared" ca="1" si="38"/>
        <v/>
      </c>
      <c r="K226" s="55"/>
      <c r="L226" s="55"/>
      <c r="M226" s="55">
        <f t="shared" ca="1" si="37"/>
        <v>0</v>
      </c>
      <c r="N226" s="55">
        <f t="shared" ca="1" si="36"/>
        <v>0</v>
      </c>
    </row>
    <row r="227" spans="1:14" x14ac:dyDescent="0.2">
      <c r="A227" s="105">
        <v>230</v>
      </c>
      <c r="B227" s="105" t="str">
        <f>VLOOKUP( $A227, Aop!$A$2:$P$453, 2, 0)</f>
        <v>BUa</v>
      </c>
      <c r="C227" s="55">
        <v>27</v>
      </c>
      <c r="D227" s="55" t="str">
        <f t="shared" si="31"/>
        <v>1074440</v>
      </c>
      <c r="E227" s="55" t="str">
        <f t="shared" si="32"/>
        <v>4400855640000</v>
      </c>
      <c r="F227" s="55" t="b">
        <f t="shared" si="34"/>
        <v>0</v>
      </c>
      <c r="G227" s="139">
        <f t="shared" si="35"/>
        <v>45930</v>
      </c>
      <c r="H227" s="105">
        <f>VLOOKUP( $A227, Aop!$A$2:$P$453, 4, 0)</f>
        <v>292</v>
      </c>
      <c r="I227" s="55">
        <f t="shared" si="33"/>
        <v>2025</v>
      </c>
      <c r="J227" s="55" t="str">
        <f t="shared" ca="1" si="38"/>
        <v/>
      </c>
      <c r="K227" s="55"/>
      <c r="L227" s="55"/>
      <c r="M227" s="55">
        <f t="shared" ca="1" si="37"/>
        <v>0</v>
      </c>
      <c r="N227" s="55">
        <f t="shared" ca="1" si="36"/>
        <v>0</v>
      </c>
    </row>
    <row r="228" spans="1:14" x14ac:dyDescent="0.2">
      <c r="A228" s="105">
        <v>231</v>
      </c>
      <c r="B228" s="105" t="str">
        <f>VLOOKUP( $A228, Aop!$A$2:$P$453, 2, 0)</f>
        <v>BUa</v>
      </c>
      <c r="C228" s="55">
        <v>27</v>
      </c>
      <c r="D228" s="55" t="str">
        <f t="shared" si="31"/>
        <v>1074440</v>
      </c>
      <c r="E228" s="55" t="str">
        <f t="shared" si="32"/>
        <v>4400855640000</v>
      </c>
      <c r="F228" s="55" t="b">
        <f t="shared" si="34"/>
        <v>0</v>
      </c>
      <c r="G228" s="139">
        <f t="shared" si="35"/>
        <v>45930</v>
      </c>
      <c r="H228" s="105">
        <f>VLOOKUP( $A228, Aop!$A$2:$P$453, 4, 0)</f>
        <v>293</v>
      </c>
      <c r="I228" s="55">
        <f t="shared" si="33"/>
        <v>2025</v>
      </c>
      <c r="J228" s="55" t="str">
        <f t="shared" ca="1" si="38"/>
        <v/>
      </c>
      <c r="K228" s="55"/>
      <c r="L228" s="55"/>
      <c r="M228" s="55">
        <f t="shared" ca="1" si="37"/>
        <v>0</v>
      </c>
      <c r="N228" s="55">
        <f t="shared" ca="1" si="36"/>
        <v>0</v>
      </c>
    </row>
    <row r="229" spans="1:14" x14ac:dyDescent="0.2">
      <c r="A229" s="105">
        <v>233</v>
      </c>
      <c r="B229" s="105" t="str">
        <f>VLOOKUP( $A229, Aop!$A$2:$P$453, 2, 0)</f>
        <v>BUa</v>
      </c>
      <c r="C229" s="55">
        <v>27</v>
      </c>
      <c r="D229" s="55" t="str">
        <f t="shared" si="31"/>
        <v>1074440</v>
      </c>
      <c r="E229" s="55" t="str">
        <f t="shared" si="32"/>
        <v>4400855640000</v>
      </c>
      <c r="F229" s="55" t="b">
        <f t="shared" si="34"/>
        <v>0</v>
      </c>
      <c r="G229" s="139">
        <f t="shared" si="35"/>
        <v>45930</v>
      </c>
      <c r="H229" s="105">
        <f>VLOOKUP( $A229, Aop!$A$2:$P$453, 4, 0)</f>
        <v>295</v>
      </c>
      <c r="I229" s="55">
        <f t="shared" si="33"/>
        <v>2025</v>
      </c>
      <c r="J229" s="55" t="str">
        <f t="shared" ca="1" si="38"/>
        <v/>
      </c>
      <c r="K229" s="55"/>
      <c r="L229" s="55"/>
      <c r="M229" s="55">
        <f t="shared" ca="1" si="37"/>
        <v>0</v>
      </c>
      <c r="N229" s="55">
        <f t="shared" ca="1" si="36"/>
        <v>0</v>
      </c>
    </row>
    <row r="230" spans="1:14" x14ac:dyDescent="0.2">
      <c r="A230" s="105">
        <v>234</v>
      </c>
      <c r="B230" s="105" t="str">
        <f>VLOOKUP( $A230, Aop!$A$2:$P$453, 2, 0)</f>
        <v>BUa</v>
      </c>
      <c r="C230" s="55">
        <v>27</v>
      </c>
      <c r="D230" s="55" t="str">
        <f t="shared" si="31"/>
        <v>1074440</v>
      </c>
      <c r="E230" s="55" t="str">
        <f t="shared" si="32"/>
        <v>4400855640000</v>
      </c>
      <c r="F230" s="55" t="b">
        <f t="shared" si="34"/>
        <v>0</v>
      </c>
      <c r="G230" s="139">
        <f t="shared" si="35"/>
        <v>45930</v>
      </c>
      <c r="H230" s="105">
        <f>VLOOKUP( $A230, Aop!$A$2:$P$453, 4, 0)</f>
        <v>296</v>
      </c>
      <c r="I230" s="55">
        <f t="shared" si="33"/>
        <v>2025</v>
      </c>
      <c r="J230" s="55" t="str">
        <f t="shared" ca="1" si="38"/>
        <v/>
      </c>
      <c r="K230" s="55"/>
      <c r="L230" s="55"/>
      <c r="M230" s="55">
        <f t="shared" ca="1" si="37"/>
        <v>213667</v>
      </c>
      <c r="N230" s="55">
        <f t="shared" ca="1" si="36"/>
        <v>213667</v>
      </c>
    </row>
    <row r="231" spans="1:14" x14ac:dyDescent="0.2">
      <c r="A231" s="105">
        <v>236</v>
      </c>
      <c r="B231" s="105" t="str">
        <f>VLOOKUP( $A231, Aop!$A$2:$P$453, 2, 0)</f>
        <v>BUa</v>
      </c>
      <c r="C231" s="55">
        <v>27</v>
      </c>
      <c r="D231" s="55" t="str">
        <f t="shared" si="31"/>
        <v>1074440</v>
      </c>
      <c r="E231" s="55" t="str">
        <f t="shared" si="32"/>
        <v>4400855640000</v>
      </c>
      <c r="F231" s="55" t="b">
        <f t="shared" si="34"/>
        <v>0</v>
      </c>
      <c r="G231" s="139">
        <f t="shared" si="35"/>
        <v>45930</v>
      </c>
      <c r="H231" s="105">
        <f>VLOOKUP( $A231, Aop!$A$2:$P$453, 4, 0)</f>
        <v>298</v>
      </c>
      <c r="I231" s="55">
        <f t="shared" si="33"/>
        <v>2025</v>
      </c>
      <c r="J231" s="55" t="str">
        <f t="shared" ca="1" si="38"/>
        <v/>
      </c>
      <c r="K231" s="55"/>
      <c r="L231" s="55"/>
      <c r="M231" s="55">
        <f t="shared" ca="1" si="37"/>
        <v>0</v>
      </c>
      <c r="N231" s="55">
        <f t="shared" ca="1" si="36"/>
        <v>0</v>
      </c>
    </row>
    <row r="232" spans="1:14" x14ac:dyDescent="0.2">
      <c r="A232" s="105">
        <v>237</v>
      </c>
      <c r="B232" s="105" t="str">
        <f>VLOOKUP( $A232, Aop!$A$2:$P$453, 2, 0)</f>
        <v>BUa</v>
      </c>
      <c r="C232" s="55">
        <v>27</v>
      </c>
      <c r="D232" s="55" t="str">
        <f t="shared" si="31"/>
        <v>1074440</v>
      </c>
      <c r="E232" s="55" t="str">
        <f t="shared" si="32"/>
        <v>4400855640000</v>
      </c>
      <c r="F232" s="55" t="b">
        <f t="shared" si="34"/>
        <v>0</v>
      </c>
      <c r="G232" s="139">
        <f t="shared" si="35"/>
        <v>45930</v>
      </c>
      <c r="H232" s="105">
        <f>VLOOKUP( $A232, Aop!$A$2:$P$453, 4, 0)</f>
        <v>299</v>
      </c>
      <c r="I232" s="55">
        <f t="shared" si="33"/>
        <v>2025</v>
      </c>
      <c r="J232" s="55" t="str">
        <f t="shared" ca="1" si="38"/>
        <v/>
      </c>
      <c r="K232" s="55"/>
      <c r="L232" s="55"/>
      <c r="M232" s="55">
        <f t="shared" ca="1" si="37"/>
        <v>1396632</v>
      </c>
      <c r="N232" s="55">
        <f t="shared" ca="1" si="36"/>
        <v>1396632</v>
      </c>
    </row>
    <row r="233" spans="1:14" x14ac:dyDescent="0.2">
      <c r="A233" s="105">
        <v>238</v>
      </c>
      <c r="B233" s="105" t="str">
        <f>VLOOKUP( $A233, Aop!$A$2:$P$453, 2, 0)</f>
        <v>BUa</v>
      </c>
      <c r="C233" s="55">
        <v>27</v>
      </c>
      <c r="D233" s="55" t="str">
        <f t="shared" si="31"/>
        <v>1074440</v>
      </c>
      <c r="E233" s="55" t="str">
        <f t="shared" si="32"/>
        <v>4400855640000</v>
      </c>
      <c r="F233" s="55" t="b">
        <f t="shared" si="34"/>
        <v>0</v>
      </c>
      <c r="G233" s="139">
        <f t="shared" si="35"/>
        <v>45930</v>
      </c>
      <c r="H233" s="105">
        <f>VLOOKUP( $A233, Aop!$A$2:$P$453, 4, 0)</f>
        <v>300</v>
      </c>
      <c r="I233" s="55">
        <f t="shared" si="33"/>
        <v>2025</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1074440</v>
      </c>
      <c r="E234" s="55" t="str">
        <f t="shared" si="32"/>
        <v>4400855640000</v>
      </c>
      <c r="F234" s="55" t="b">
        <f t="shared" si="34"/>
        <v>0</v>
      </c>
      <c r="G234" s="139">
        <f t="shared" si="35"/>
        <v>45930</v>
      </c>
      <c r="H234" s="105">
        <f>VLOOKUP( $A234, Aop!$A$2:$P$453, 4, 0)</f>
        <v>302</v>
      </c>
      <c r="I234" s="55">
        <f t="shared" si="33"/>
        <v>2025</v>
      </c>
      <c r="J234" s="55" t="str">
        <f t="shared" ca="1" si="38"/>
        <v/>
      </c>
      <c r="K234" s="55"/>
      <c r="L234" s="55"/>
      <c r="M234" s="55">
        <f t="shared" ca="1" si="37"/>
        <v>0</v>
      </c>
      <c r="N234" s="55">
        <f t="shared" ca="1" si="36"/>
        <v>0</v>
      </c>
    </row>
    <row r="235" spans="1:14" x14ac:dyDescent="0.2">
      <c r="A235" s="105">
        <v>241</v>
      </c>
      <c r="B235" s="105" t="str">
        <f>VLOOKUP( $A235, Aop!$A$2:$P$453, 2, 0)</f>
        <v>BUa</v>
      </c>
      <c r="C235" s="55">
        <v>27</v>
      </c>
      <c r="D235" s="55" t="str">
        <f t="shared" si="31"/>
        <v>1074440</v>
      </c>
      <c r="E235" s="55" t="str">
        <f t="shared" si="32"/>
        <v>4400855640000</v>
      </c>
      <c r="F235" s="55" t="b">
        <f t="shared" si="34"/>
        <v>0</v>
      </c>
      <c r="G235" s="139">
        <f t="shared" si="35"/>
        <v>45930</v>
      </c>
      <c r="H235" s="105">
        <f>VLOOKUP( $A235, Aop!$A$2:$P$453, 4, 0)</f>
        <v>303</v>
      </c>
      <c r="I235" s="55">
        <f t="shared" si="33"/>
        <v>2025</v>
      </c>
      <c r="J235" s="55" t="str">
        <f t="shared" ca="1" si="38"/>
        <v/>
      </c>
      <c r="K235" s="55"/>
      <c r="L235" s="55"/>
      <c r="M235" s="55">
        <f t="shared" ca="1" si="37"/>
        <v>0</v>
      </c>
      <c r="N235" s="55">
        <f t="shared" ca="1" si="36"/>
        <v>0</v>
      </c>
    </row>
    <row r="236" spans="1:14" x14ac:dyDescent="0.2">
      <c r="A236" s="105">
        <v>242</v>
      </c>
      <c r="B236" s="105" t="str">
        <f>VLOOKUP( $A236, Aop!$A$2:$P$453, 2, 0)</f>
        <v>BUa</v>
      </c>
      <c r="C236" s="55">
        <v>27</v>
      </c>
      <c r="D236" s="55" t="str">
        <f t="shared" si="31"/>
        <v>1074440</v>
      </c>
      <c r="E236" s="55" t="str">
        <f t="shared" si="32"/>
        <v>4400855640000</v>
      </c>
      <c r="F236" s="55" t="b">
        <f t="shared" si="34"/>
        <v>0</v>
      </c>
      <c r="G236" s="139">
        <f t="shared" si="35"/>
        <v>45930</v>
      </c>
      <c r="H236" s="105">
        <f>VLOOKUP( $A236, Aop!$A$2:$P$453, 4, 0)</f>
        <v>304</v>
      </c>
      <c r="I236" s="55">
        <f t="shared" si="33"/>
        <v>2025</v>
      </c>
      <c r="J236" s="55" t="str">
        <f t="shared" ca="1" si="38"/>
        <v/>
      </c>
      <c r="K236" s="55"/>
      <c r="L236" s="55"/>
      <c r="M236" s="55">
        <f t="shared" ca="1" si="37"/>
        <v>0</v>
      </c>
      <c r="N236" s="55">
        <f t="shared" ca="1" si="36"/>
        <v>0</v>
      </c>
    </row>
    <row r="237" spans="1:14" x14ac:dyDescent="0.2">
      <c r="A237" s="105">
        <v>243</v>
      </c>
      <c r="B237" s="105" t="str">
        <f>VLOOKUP( $A237, Aop!$A$2:$P$453, 2, 0)</f>
        <v>BUa</v>
      </c>
      <c r="C237" s="55">
        <v>27</v>
      </c>
      <c r="D237" s="55" t="str">
        <f t="shared" si="31"/>
        <v>1074440</v>
      </c>
      <c r="E237" s="55" t="str">
        <f t="shared" si="32"/>
        <v>4400855640000</v>
      </c>
      <c r="F237" s="55" t="b">
        <f t="shared" si="34"/>
        <v>0</v>
      </c>
      <c r="G237" s="139">
        <f t="shared" si="35"/>
        <v>45930</v>
      </c>
      <c r="H237" s="105">
        <f>VLOOKUP( $A237, Aop!$A$2:$P$453, 4, 0)</f>
        <v>305</v>
      </c>
      <c r="I237" s="55">
        <f t="shared" si="33"/>
        <v>2025</v>
      </c>
      <c r="J237" s="55" t="str">
        <f t="shared" ca="1" si="38"/>
        <v/>
      </c>
      <c r="K237" s="55"/>
      <c r="L237" s="55"/>
      <c r="M237" s="55">
        <f t="shared" ca="1" si="37"/>
        <v>117744470</v>
      </c>
      <c r="N237" s="55">
        <f t="shared" ca="1" si="36"/>
        <v>117744470</v>
      </c>
    </row>
    <row r="238" spans="1:14" x14ac:dyDescent="0.2">
      <c r="A238" s="105">
        <v>244</v>
      </c>
      <c r="B238" s="105" t="str">
        <f>VLOOKUP( $A238, Aop!$A$2:$P$453, 2, 0)</f>
        <v>BUa</v>
      </c>
      <c r="C238" s="55">
        <v>27</v>
      </c>
      <c r="D238" s="55" t="str">
        <f t="shared" si="31"/>
        <v>1074440</v>
      </c>
      <c r="E238" s="55" t="str">
        <f t="shared" si="32"/>
        <v>4400855640000</v>
      </c>
      <c r="F238" s="55" t="b">
        <f t="shared" si="34"/>
        <v>0</v>
      </c>
      <c r="G238" s="139">
        <f t="shared" si="35"/>
        <v>45930</v>
      </c>
      <c r="H238" s="105">
        <f>VLOOKUP( $A238, Aop!$A$2:$P$453, 4, 0)</f>
        <v>306</v>
      </c>
      <c r="I238" s="55">
        <f t="shared" si="33"/>
        <v>2025</v>
      </c>
      <c r="J238" s="55" t="str">
        <f t="shared" ca="1" si="38"/>
        <v/>
      </c>
      <c r="K238" s="55"/>
      <c r="L238" s="55"/>
      <c r="M238" s="55">
        <f t="shared" ca="1" si="37"/>
        <v>112105278</v>
      </c>
      <c r="N238" s="55">
        <f t="shared" ca="1" si="36"/>
        <v>112105278</v>
      </c>
    </row>
    <row r="239" spans="1:14" x14ac:dyDescent="0.2">
      <c r="A239" s="105">
        <v>245</v>
      </c>
      <c r="B239" s="105" t="str">
        <f>VLOOKUP( $A239, Aop!$A$2:$P$453, 2, 0)</f>
        <v>BUa</v>
      </c>
      <c r="C239" s="55">
        <v>27</v>
      </c>
      <c r="D239" s="55" t="str">
        <f t="shared" si="31"/>
        <v>1074440</v>
      </c>
      <c r="E239" s="55" t="str">
        <f t="shared" si="32"/>
        <v>4400855640000</v>
      </c>
      <c r="F239" s="55" t="b">
        <f t="shared" si="34"/>
        <v>0</v>
      </c>
      <c r="G239" s="139">
        <f t="shared" si="35"/>
        <v>45930</v>
      </c>
      <c r="H239" s="105">
        <f>VLOOKUP( $A239, Aop!$A$2:$P$453, 4, 0)</f>
        <v>307</v>
      </c>
      <c r="I239" s="55">
        <f t="shared" si="33"/>
        <v>2025</v>
      </c>
      <c r="J239" s="55" t="str">
        <f t="shared" ca="1" si="38"/>
        <v/>
      </c>
      <c r="K239" s="55"/>
      <c r="L239" s="55"/>
      <c r="M239" s="55">
        <f t="shared" ca="1" si="37"/>
        <v>5639192</v>
      </c>
      <c r="N239" s="55">
        <f t="shared" ca="1" si="36"/>
        <v>5639192</v>
      </c>
    </row>
    <row r="240" spans="1:14" x14ac:dyDescent="0.2">
      <c r="A240" s="105">
        <v>246</v>
      </c>
      <c r="B240" s="105" t="str">
        <f>VLOOKUP( $A240, Aop!$A$2:$P$453, 2, 0)</f>
        <v>BUa</v>
      </c>
      <c r="C240" s="55">
        <v>27</v>
      </c>
      <c r="D240" s="55" t="str">
        <f t="shared" si="31"/>
        <v>1074440</v>
      </c>
      <c r="E240" s="55" t="str">
        <f t="shared" si="32"/>
        <v>4400855640000</v>
      </c>
      <c r="F240" s="55" t="b">
        <f t="shared" si="34"/>
        <v>0</v>
      </c>
      <c r="G240" s="139">
        <f t="shared" si="35"/>
        <v>45930</v>
      </c>
      <c r="H240" s="105">
        <f>VLOOKUP( $A240, Aop!$A$2:$P$453, 4, 0)</f>
        <v>308</v>
      </c>
      <c r="I240" s="55">
        <f t="shared" si="33"/>
        <v>2025</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1074440</v>
      </c>
      <c r="E241" s="55" t="str">
        <f t="shared" si="32"/>
        <v>4400855640000</v>
      </c>
      <c r="F241" s="55" t="b">
        <f t="shared" si="34"/>
        <v>0</v>
      </c>
      <c r="G241" s="139">
        <f t="shared" si="35"/>
        <v>45930</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1074440</v>
      </c>
      <c r="E242" s="55" t="str">
        <f t="shared" si="32"/>
        <v>4400855640000</v>
      </c>
      <c r="F242" s="55" t="b">
        <f t="shared" si="34"/>
        <v>0</v>
      </c>
      <c r="G242" s="139">
        <f t="shared" si="35"/>
        <v>45930</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1074440</v>
      </c>
      <c r="E243" s="55" t="str">
        <f t="shared" si="32"/>
        <v>4400855640000</v>
      </c>
      <c r="F243" s="55" t="b">
        <f t="shared" si="34"/>
        <v>0</v>
      </c>
      <c r="G243" s="139">
        <f t="shared" si="35"/>
        <v>45930</v>
      </c>
      <c r="H243" s="105">
        <f>VLOOKUP( $A243, Aop!$A$2:$P$453, 4, 0)</f>
        <v>311</v>
      </c>
      <c r="I243" s="55">
        <f t="shared" si="33"/>
        <v>2025</v>
      </c>
      <c r="J243" s="55" t="str">
        <f t="shared" ca="1" si="38"/>
        <v/>
      </c>
      <c r="K243" s="55"/>
      <c r="L243" s="55"/>
      <c r="M243" s="55">
        <f t="shared" ca="1" si="37"/>
        <v>0</v>
      </c>
      <c r="N243" s="55">
        <f t="shared" ca="1" si="36"/>
        <v>0</v>
      </c>
    </row>
    <row r="244" spans="1:14" x14ac:dyDescent="0.2">
      <c r="A244" s="105">
        <v>250</v>
      </c>
      <c r="B244" s="105" t="str">
        <f>VLOOKUP( $A244, Aop!$A$2:$P$453, 2, 0)</f>
        <v>BUa</v>
      </c>
      <c r="C244" s="55">
        <v>27</v>
      </c>
      <c r="D244" s="55" t="str">
        <f t="shared" si="31"/>
        <v>1074440</v>
      </c>
      <c r="E244" s="55" t="str">
        <f t="shared" si="32"/>
        <v>4400855640000</v>
      </c>
      <c r="F244" s="55" t="b">
        <f t="shared" si="34"/>
        <v>0</v>
      </c>
      <c r="G244" s="139">
        <f t="shared" si="35"/>
        <v>45930</v>
      </c>
      <c r="H244" s="105">
        <f>VLOOKUP( $A244, Aop!$A$2:$P$453, 4, 0)</f>
        <v>312</v>
      </c>
      <c r="I244" s="55">
        <f t="shared" si="33"/>
        <v>2025</v>
      </c>
      <c r="J244" s="55" t="str">
        <f t="shared" ca="1" si="38"/>
        <v/>
      </c>
      <c r="K244" s="55"/>
      <c r="L244" s="55"/>
      <c r="M244" s="55">
        <f t="shared" ca="1" si="37"/>
        <v>0</v>
      </c>
      <c r="N244" s="55">
        <f t="shared" ca="1" si="36"/>
        <v>0</v>
      </c>
    </row>
    <row r="245" spans="1:14" x14ac:dyDescent="0.2">
      <c r="A245" s="105">
        <v>251</v>
      </c>
      <c r="B245" s="105" t="str">
        <f>VLOOKUP( $A245, Aop!$A$2:$P$453, 2, 0)</f>
        <v>BUa</v>
      </c>
      <c r="C245" s="55">
        <v>27</v>
      </c>
      <c r="D245" s="55" t="str">
        <f t="shared" si="31"/>
        <v>1074440</v>
      </c>
      <c r="E245" s="55" t="str">
        <f t="shared" si="32"/>
        <v>4400855640000</v>
      </c>
      <c r="F245" s="55" t="b">
        <f t="shared" si="34"/>
        <v>0</v>
      </c>
      <c r="G245" s="139">
        <f t="shared" si="35"/>
        <v>45930</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1074440</v>
      </c>
      <c r="E246" s="55" t="str">
        <f t="shared" si="32"/>
        <v>4400855640000</v>
      </c>
      <c r="F246" s="55" t="b">
        <f t="shared" si="34"/>
        <v>0</v>
      </c>
      <c r="G246" s="139">
        <f t="shared" si="35"/>
        <v>45930</v>
      </c>
      <c r="H246" s="105">
        <f>VLOOKUP( $A246, Aop!$A$2:$P$453, 4, 0)</f>
        <v>314</v>
      </c>
      <c r="I246" s="55">
        <f t="shared" si="33"/>
        <v>2025</v>
      </c>
      <c r="J246" s="55" t="str">
        <f t="shared" ca="1" si="38"/>
        <v/>
      </c>
      <c r="K246" s="55"/>
      <c r="L246" s="55"/>
      <c r="M246" s="55">
        <f t="shared" ca="1" si="37"/>
        <v>0</v>
      </c>
      <c r="N246" s="55">
        <f t="shared" ca="1" si="36"/>
        <v>0</v>
      </c>
    </row>
    <row r="247" spans="1:14" x14ac:dyDescent="0.2">
      <c r="A247" s="105">
        <v>253</v>
      </c>
      <c r="B247" s="105" t="str">
        <f>VLOOKUP( $A247, Aop!$A$2:$P$453, 2, 0)</f>
        <v>BUa</v>
      </c>
      <c r="C247" s="55">
        <v>27</v>
      </c>
      <c r="D247" s="55" t="str">
        <f t="shared" si="31"/>
        <v>1074440</v>
      </c>
      <c r="E247" s="55" t="str">
        <f t="shared" si="32"/>
        <v>4400855640000</v>
      </c>
      <c r="F247" s="55" t="b">
        <f t="shared" si="34"/>
        <v>0</v>
      </c>
      <c r="G247" s="139">
        <f t="shared" si="35"/>
        <v>45930</v>
      </c>
      <c r="H247" s="105">
        <f>VLOOKUP( $A247, Aop!$A$2:$P$453, 4, 0)</f>
        <v>315</v>
      </c>
      <c r="I247" s="55">
        <f t="shared" si="33"/>
        <v>2025</v>
      </c>
      <c r="J247" s="55" t="str">
        <f t="shared" ca="1" si="38"/>
        <v/>
      </c>
      <c r="K247" s="55"/>
      <c r="L247" s="55"/>
      <c r="M247" s="55">
        <f t="shared" ca="1" si="37"/>
        <v>0</v>
      </c>
      <c r="N247" s="55">
        <f t="shared" ca="1" si="36"/>
        <v>0</v>
      </c>
    </row>
    <row r="248" spans="1:14" x14ac:dyDescent="0.2">
      <c r="A248" s="105">
        <v>254</v>
      </c>
      <c r="B248" s="55" t="str">
        <f>VLOOKUP( $A248, Aop!$A$2:$P$453, 2, 0)</f>
        <v>BUa</v>
      </c>
      <c r="C248" s="55">
        <v>27</v>
      </c>
      <c r="D248" s="55" t="str">
        <f>Podatak_MB</f>
        <v>1074440</v>
      </c>
      <c r="E248" s="55" t="str">
        <f>Podatak_JIB</f>
        <v>4400855640000</v>
      </c>
      <c r="F248" s="55" t="b">
        <f>Konsolidovan_izvjestaj</f>
        <v>0</v>
      </c>
      <c r="G248" s="139">
        <f>Datum_Broj</f>
        <v>45930</v>
      </c>
      <c r="H248" s="55">
        <f>VLOOKUP( $A248, Aop!$A$2:$P$453, 4, 0)</f>
        <v>316</v>
      </c>
      <c r="I248" s="55">
        <f>Godina</f>
        <v>2025</v>
      </c>
      <c r="J248" s="55" t="str">
        <f t="shared" ca="1" si="38"/>
        <v/>
      </c>
      <c r="K248" s="55"/>
      <c r="L248" s="55"/>
      <c r="M248" s="55">
        <f t="shared" ca="1" si="37"/>
        <v>5639192</v>
      </c>
      <c r="N248" s="55">
        <f t="shared" ca="1" si="36"/>
        <v>5639192</v>
      </c>
    </row>
    <row r="249" spans="1:14" x14ac:dyDescent="0.2">
      <c r="A249" s="105">
        <v>255</v>
      </c>
      <c r="B249" s="105" t="str">
        <f>VLOOKUP( $A249, Aop!$A$2:$P$453, 2, 0)</f>
        <v>BUa</v>
      </c>
      <c r="C249" s="55">
        <v>27</v>
      </c>
      <c r="D249" s="55" t="str">
        <f t="shared" si="31"/>
        <v>1074440</v>
      </c>
      <c r="E249" s="55" t="str">
        <f t="shared" si="32"/>
        <v>4400855640000</v>
      </c>
      <c r="F249" s="55" t="b">
        <f t="shared" si="34"/>
        <v>0</v>
      </c>
      <c r="G249" s="139">
        <f t="shared" si="35"/>
        <v>45930</v>
      </c>
      <c r="H249" s="105">
        <f>VLOOKUP( $A249, Aop!$A$2:$P$453, 4, 0)</f>
        <v>317</v>
      </c>
      <c r="I249" s="55">
        <f t="shared" si="33"/>
        <v>2025</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1074440</v>
      </c>
      <c r="E250" s="55" t="str">
        <f t="shared" si="32"/>
        <v>4400855640000</v>
      </c>
      <c r="F250" s="55" t="b">
        <f t="shared" si="34"/>
        <v>0</v>
      </c>
      <c r="G250" s="139">
        <f t="shared" si="35"/>
        <v>45930</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1074440</v>
      </c>
      <c r="E251" s="55" t="str">
        <f>Podatak_JIB</f>
        <v>4400855640000</v>
      </c>
      <c r="F251" s="55" t="b">
        <f>Konsolidovan_izvjestaj</f>
        <v>0</v>
      </c>
      <c r="G251" s="139">
        <f>Datum_Broj</f>
        <v>45930</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1074440</v>
      </c>
      <c r="E252" s="55" t="str">
        <f t="shared" si="32"/>
        <v>4400855640000</v>
      </c>
      <c r="F252" s="55" t="b">
        <f t="shared" si="34"/>
        <v>0</v>
      </c>
      <c r="G252" s="139">
        <f t="shared" si="35"/>
        <v>45930</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1074440</v>
      </c>
      <c r="E253" s="55" t="str">
        <f t="shared" ref="E253:E310" si="40">Podatak_JIB</f>
        <v>4400855640000</v>
      </c>
      <c r="F253" s="55" t="b">
        <f t="shared" si="34"/>
        <v>0</v>
      </c>
      <c r="G253" s="139">
        <f t="shared" si="35"/>
        <v>45930</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1074440</v>
      </c>
      <c r="E254" s="55" t="str">
        <f t="shared" si="40"/>
        <v>4400855640000</v>
      </c>
      <c r="F254" s="55" t="b">
        <f t="shared" ref="F254:F311" si="42">Konsolidovan_izvjestaj</f>
        <v>0</v>
      </c>
      <c r="G254" s="139">
        <f t="shared" ref="G254:G311" si="43">Datum_Broj</f>
        <v>45930</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1074440</v>
      </c>
      <c r="E255" s="55" t="str">
        <f t="shared" si="40"/>
        <v>4400855640000</v>
      </c>
      <c r="F255" s="55" t="b">
        <f t="shared" si="42"/>
        <v>0</v>
      </c>
      <c r="G255" s="139">
        <f t="shared" si="43"/>
        <v>45930</v>
      </c>
      <c r="H255" s="105">
        <f>VLOOKUP( $A255, Aop!$A$2:$P$453, 4, 0)</f>
        <v>323</v>
      </c>
      <c r="I255" s="55">
        <f t="shared" si="41"/>
        <v>2025</v>
      </c>
      <c r="J255" s="55" t="str">
        <f t="shared" ca="1" si="38"/>
        <v/>
      </c>
      <c r="K255" s="55"/>
      <c r="L255" s="55"/>
      <c r="M255" s="55">
        <f t="shared" ca="1" si="37"/>
        <v>1405</v>
      </c>
      <c r="N255" s="55">
        <f t="shared" ca="1" si="36"/>
        <v>1405</v>
      </c>
    </row>
    <row r="256" spans="1:14" x14ac:dyDescent="0.2">
      <c r="A256" s="105">
        <v>262</v>
      </c>
      <c r="B256" s="105" t="str">
        <f>VLOOKUP( $A256, Aop!$A$2:$P$453, 2, 0)</f>
        <v>BUa</v>
      </c>
      <c r="C256" s="55">
        <v>27</v>
      </c>
      <c r="D256" s="55" t="str">
        <f t="shared" si="39"/>
        <v>1074440</v>
      </c>
      <c r="E256" s="55" t="str">
        <f t="shared" si="40"/>
        <v>4400855640000</v>
      </c>
      <c r="F256" s="55" t="b">
        <f t="shared" si="42"/>
        <v>0</v>
      </c>
      <c r="G256" s="139">
        <f t="shared" si="43"/>
        <v>45930</v>
      </c>
      <c r="H256" s="105">
        <f>VLOOKUP( $A256, Aop!$A$2:$P$453, 4, 0)</f>
        <v>324</v>
      </c>
      <c r="I256" s="55">
        <f t="shared" si="41"/>
        <v>2025</v>
      </c>
      <c r="J256" s="55" t="str">
        <f t="shared" ca="1" si="38"/>
        <v/>
      </c>
      <c r="K256" s="55"/>
      <c r="L256" s="55"/>
      <c r="M256" s="55">
        <f t="shared" ca="1" si="37"/>
        <v>1348</v>
      </c>
      <c r="N256" s="55">
        <f t="shared" ca="1" si="36"/>
        <v>1348</v>
      </c>
    </row>
    <row r="257" spans="1:14" x14ac:dyDescent="0.2">
      <c r="A257" s="105">
        <v>263</v>
      </c>
      <c r="B257" s="105" t="str">
        <f>VLOOKUP( $A257, Aop!$A$2:$P$453, 2, 0)</f>
        <v>BUb</v>
      </c>
      <c r="C257" s="55">
        <v>27</v>
      </c>
      <c r="D257" s="55" t="str">
        <f t="shared" si="39"/>
        <v>1074440</v>
      </c>
      <c r="E257" s="55" t="str">
        <f t="shared" si="40"/>
        <v>4400855640000</v>
      </c>
      <c r="F257" s="55" t="b">
        <f t="shared" si="42"/>
        <v>0</v>
      </c>
      <c r="G257" s="139">
        <f t="shared" si="43"/>
        <v>45930</v>
      </c>
      <c r="H257" s="105">
        <f>VLOOKUP( $A257, Aop!$A$2:$P$453, 4, 0)</f>
        <v>400</v>
      </c>
      <c r="I257" s="55">
        <f t="shared" si="41"/>
        <v>2025</v>
      </c>
      <c r="J257" s="55" t="str">
        <f t="shared" ca="1" si="38"/>
        <v/>
      </c>
      <c r="K257" s="55"/>
      <c r="L257" s="55"/>
      <c r="M257" s="55">
        <f t="shared" ca="1" si="37"/>
        <v>5639192</v>
      </c>
      <c r="N257" s="55">
        <f t="shared" ca="1" si="36"/>
        <v>5639192</v>
      </c>
    </row>
    <row r="258" spans="1:14" x14ac:dyDescent="0.2">
      <c r="A258" s="105">
        <v>264</v>
      </c>
      <c r="B258" s="105" t="str">
        <f>VLOOKUP( $A258, Aop!$A$2:$P$453, 2, 0)</f>
        <v>BUb</v>
      </c>
      <c r="C258" s="55">
        <v>27</v>
      </c>
      <c r="D258" s="55" t="str">
        <f t="shared" si="39"/>
        <v>1074440</v>
      </c>
      <c r="E258" s="55" t="str">
        <f t="shared" si="40"/>
        <v>4400855640000</v>
      </c>
      <c r="F258" s="55" t="b">
        <f t="shared" si="42"/>
        <v>0</v>
      </c>
      <c r="G258" s="139">
        <f t="shared" si="43"/>
        <v>45930</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1074440</v>
      </c>
      <c r="E259" s="55" t="str">
        <f t="shared" si="40"/>
        <v>4400855640000</v>
      </c>
      <c r="F259" s="55" t="b">
        <f t="shared" si="42"/>
        <v>0</v>
      </c>
      <c r="G259" s="139">
        <f t="shared" si="43"/>
        <v>45930</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1074440</v>
      </c>
      <c r="E260" s="55" t="str">
        <f t="shared" si="40"/>
        <v>4400855640000</v>
      </c>
      <c r="F260" s="55" t="b">
        <f t="shared" si="42"/>
        <v>0</v>
      </c>
      <c r="G260" s="139">
        <f t="shared" si="43"/>
        <v>45930</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1074440</v>
      </c>
      <c r="E261" s="55" t="str">
        <f t="shared" si="40"/>
        <v>4400855640000</v>
      </c>
      <c r="F261" s="55" t="b">
        <f t="shared" si="42"/>
        <v>0</v>
      </c>
      <c r="G261" s="139">
        <f t="shared" si="43"/>
        <v>45930</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1074440</v>
      </c>
      <c r="E262" s="55" t="str">
        <f t="shared" si="40"/>
        <v>4400855640000</v>
      </c>
      <c r="F262" s="55" t="b">
        <f t="shared" si="42"/>
        <v>0</v>
      </c>
      <c r="G262" s="139">
        <f t="shared" si="43"/>
        <v>45930</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1074440</v>
      </c>
      <c r="E263" s="55" t="str">
        <f t="shared" si="40"/>
        <v>4400855640000</v>
      </c>
      <c r="F263" s="55" t="b">
        <f t="shared" si="42"/>
        <v>0</v>
      </c>
      <c r="G263" s="139">
        <f t="shared" si="43"/>
        <v>45930</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1074440</v>
      </c>
      <c r="E264" s="55" t="str">
        <f t="shared" si="40"/>
        <v>4400855640000</v>
      </c>
      <c r="F264" s="55" t="b">
        <f t="shared" si="42"/>
        <v>0</v>
      </c>
      <c r="G264" s="139">
        <f t="shared" si="43"/>
        <v>45930</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1074440</v>
      </c>
      <c r="E265" s="55" t="str">
        <f t="shared" si="40"/>
        <v>4400855640000</v>
      </c>
      <c r="F265" s="55" t="b">
        <f t="shared" si="42"/>
        <v>0</v>
      </c>
      <c r="G265" s="139">
        <f t="shared" si="43"/>
        <v>45930</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1074440</v>
      </c>
      <c r="E266" s="55" t="str">
        <f t="shared" si="40"/>
        <v>4400855640000</v>
      </c>
      <c r="F266" s="55" t="b">
        <f t="shared" si="42"/>
        <v>0</v>
      </c>
      <c r="G266" s="139">
        <f t="shared" si="43"/>
        <v>45930</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1074440</v>
      </c>
      <c r="E267" s="55" t="str">
        <f t="shared" si="40"/>
        <v>4400855640000</v>
      </c>
      <c r="F267" s="55" t="b">
        <f t="shared" si="42"/>
        <v>0</v>
      </c>
      <c r="G267" s="139">
        <f t="shared" si="43"/>
        <v>45930</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1074440</v>
      </c>
      <c r="E268" s="55" t="str">
        <f t="shared" si="40"/>
        <v>4400855640000</v>
      </c>
      <c r="F268" s="55" t="b">
        <f t="shared" si="42"/>
        <v>0</v>
      </c>
      <c r="G268" s="139">
        <f t="shared" si="43"/>
        <v>45930</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1074440</v>
      </c>
      <c r="E269" s="55" t="str">
        <f t="shared" si="40"/>
        <v>4400855640000</v>
      </c>
      <c r="F269" s="55" t="b">
        <f t="shared" si="42"/>
        <v>0</v>
      </c>
      <c r="G269" s="139">
        <f t="shared" si="43"/>
        <v>45930</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1074440</v>
      </c>
      <c r="E270" s="55" t="str">
        <f t="shared" si="40"/>
        <v>4400855640000</v>
      </c>
      <c r="F270" s="55" t="b">
        <f t="shared" si="42"/>
        <v>0</v>
      </c>
      <c r="G270" s="139">
        <f t="shared" si="43"/>
        <v>45930</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1074440</v>
      </c>
      <c r="E271" s="55" t="str">
        <f t="shared" si="40"/>
        <v>4400855640000</v>
      </c>
      <c r="F271" s="55" t="b">
        <f t="shared" si="42"/>
        <v>0</v>
      </c>
      <c r="G271" s="139">
        <f t="shared" si="43"/>
        <v>45930</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1074440</v>
      </c>
      <c r="E272" s="55" t="str">
        <f t="shared" si="40"/>
        <v>4400855640000</v>
      </c>
      <c r="F272" s="55" t="b">
        <f t="shared" si="42"/>
        <v>0</v>
      </c>
      <c r="G272" s="139">
        <f t="shared" si="43"/>
        <v>45930</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5639192</v>
      </c>
      <c r="N272" s="55">
        <f t="shared" ca="1" si="44"/>
        <v>5639192</v>
      </c>
    </row>
    <row r="273" spans="1:14" x14ac:dyDescent="0.2">
      <c r="A273" s="105">
        <v>281</v>
      </c>
      <c r="B273" s="105" t="str">
        <f>VLOOKUP( $A273, Aop!$A$2:$P$453, 2, 0)</f>
        <v>BUb</v>
      </c>
      <c r="C273" s="55">
        <v>27</v>
      </c>
      <c r="D273" s="55" t="str">
        <f t="shared" si="39"/>
        <v>1074440</v>
      </c>
      <c r="E273" s="55" t="str">
        <f t="shared" si="40"/>
        <v>4400855640000</v>
      </c>
      <c r="F273" s="55" t="b">
        <f t="shared" si="42"/>
        <v>0</v>
      </c>
      <c r="G273" s="139">
        <f t="shared" si="43"/>
        <v>45930</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1074440</v>
      </c>
      <c r="E274" s="55" t="str">
        <f>Podatak_JIB</f>
        <v>4400855640000</v>
      </c>
      <c r="F274" s="55" t="b">
        <f>Konsolidovan_izvjestaj</f>
        <v>0</v>
      </c>
      <c r="G274" s="139">
        <f>Datum_Broj</f>
        <v>45930</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1074440</v>
      </c>
      <c r="E275" s="55" t="str">
        <f t="shared" si="40"/>
        <v>4400855640000</v>
      </c>
      <c r="F275" s="55" t="b">
        <f t="shared" si="42"/>
        <v>0</v>
      </c>
      <c r="G275" s="139">
        <f t="shared" si="43"/>
        <v>45930</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1074440</v>
      </c>
      <c r="E276" s="55" t="str">
        <f t="shared" si="40"/>
        <v>4400855640000</v>
      </c>
      <c r="F276" s="55" t="b">
        <f t="shared" si="42"/>
        <v>0</v>
      </c>
      <c r="G276" s="139">
        <f t="shared" si="43"/>
        <v>45930</v>
      </c>
      <c r="H276" s="105">
        <f>VLOOKUP( $A276, Aop!$A$2:$P$453, 4, 0)</f>
        <v>502</v>
      </c>
      <c r="I276" s="55">
        <f t="shared" si="41"/>
        <v>2025</v>
      </c>
      <c r="J276" s="55" t="str">
        <f t="shared" ca="1" si="46"/>
        <v/>
      </c>
      <c r="K276" s="55"/>
      <c r="L276" s="55"/>
      <c r="M276" s="55" t="str">
        <f t="shared" ca="1" si="47"/>
        <v/>
      </c>
      <c r="N276" s="55" t="str">
        <f t="shared" ca="1" si="44"/>
        <v/>
      </c>
    </row>
    <row r="277" spans="1:14" x14ac:dyDescent="0.2">
      <c r="A277" s="105">
        <v>286</v>
      </c>
      <c r="B277" s="105" t="str">
        <f>VLOOKUP( $A277, Aop!$A$2:$P$453, 2, 0)</f>
        <v>BTG</v>
      </c>
      <c r="C277" s="55">
        <v>29</v>
      </c>
      <c r="D277" s="55" t="str">
        <f t="shared" si="39"/>
        <v>1074440</v>
      </c>
      <c r="E277" s="55" t="str">
        <f t="shared" si="40"/>
        <v>4400855640000</v>
      </c>
      <c r="F277" s="55" t="b">
        <f t="shared" si="42"/>
        <v>0</v>
      </c>
      <c r="G277" s="139">
        <f t="shared" si="43"/>
        <v>45930</v>
      </c>
      <c r="H277" s="105">
        <f>VLOOKUP( $A277, Aop!$A$2:$P$453, 4, 0)</f>
        <v>503</v>
      </c>
      <c r="I277" s="55">
        <f t="shared" si="41"/>
        <v>2025</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1074440</v>
      </c>
      <c r="E278" s="55" t="str">
        <f t="shared" si="40"/>
        <v>4400855640000</v>
      </c>
      <c r="F278" s="55" t="b">
        <f t="shared" si="42"/>
        <v>0</v>
      </c>
      <c r="G278" s="139">
        <f t="shared" si="43"/>
        <v>45930</v>
      </c>
      <c r="H278" s="105">
        <f>VLOOKUP( $A278, Aop!$A$2:$P$453, 4, 0)</f>
        <v>504</v>
      </c>
      <c r="I278" s="55">
        <f t="shared" si="41"/>
        <v>2025</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1074440</v>
      </c>
      <c r="E279" s="55" t="str">
        <f t="shared" si="40"/>
        <v>4400855640000</v>
      </c>
      <c r="F279" s="55" t="b">
        <f t="shared" si="42"/>
        <v>0</v>
      </c>
      <c r="G279" s="139">
        <f t="shared" si="43"/>
        <v>45930</v>
      </c>
      <c r="H279" s="105">
        <f>VLOOKUP( $A279, Aop!$A$2:$P$453, 4, 0)</f>
        <v>505</v>
      </c>
      <c r="I279" s="55">
        <f t="shared" si="41"/>
        <v>2025</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1074440</v>
      </c>
      <c r="E280" s="55" t="str">
        <f t="shared" si="40"/>
        <v>4400855640000</v>
      </c>
      <c r="F280" s="55" t="b">
        <f t="shared" si="42"/>
        <v>0</v>
      </c>
      <c r="G280" s="139">
        <f t="shared" si="43"/>
        <v>45930</v>
      </c>
      <c r="H280" s="105">
        <f>VLOOKUP( $A280, Aop!$A$2:$P$453, 4, 0)</f>
        <v>506</v>
      </c>
      <c r="I280" s="55">
        <f t="shared" si="41"/>
        <v>2025</v>
      </c>
      <c r="J280" s="55" t="str">
        <f t="shared" ca="1" si="46"/>
        <v/>
      </c>
      <c r="K280" s="55"/>
      <c r="L280" s="55"/>
      <c r="M280" s="55">
        <f t="shared" ca="1" si="47"/>
        <v>0</v>
      </c>
      <c r="N280" s="55">
        <f t="shared" ca="1" si="44"/>
        <v>0</v>
      </c>
    </row>
    <row r="281" spans="1:14" x14ac:dyDescent="0.2">
      <c r="A281" s="105">
        <v>290</v>
      </c>
      <c r="B281" s="105" t="str">
        <f>VLOOKUP( $A281, Aop!$A$2:$P$453, 2, 0)</f>
        <v>BTG</v>
      </c>
      <c r="C281" s="55">
        <v>29</v>
      </c>
      <c r="D281" s="55" t="str">
        <f t="shared" si="39"/>
        <v>1074440</v>
      </c>
      <c r="E281" s="55" t="str">
        <f t="shared" si="40"/>
        <v>4400855640000</v>
      </c>
      <c r="F281" s="55" t="b">
        <f t="shared" si="42"/>
        <v>0</v>
      </c>
      <c r="G281" s="139">
        <f t="shared" si="43"/>
        <v>45930</v>
      </c>
      <c r="H281" s="105">
        <f>VLOOKUP( $A281, Aop!$A$2:$P$453, 4, 0)</f>
        <v>507</v>
      </c>
      <c r="I281" s="55">
        <f t="shared" si="41"/>
        <v>2025</v>
      </c>
      <c r="J281" s="55" t="str">
        <f t="shared" ca="1" si="46"/>
        <v/>
      </c>
      <c r="K281" s="55"/>
      <c r="L281" s="55"/>
      <c r="M281" s="55" t="str">
        <f t="shared" ca="1" si="47"/>
        <v/>
      </c>
      <c r="N281" s="55" t="str">
        <f t="shared" ca="1" si="44"/>
        <v/>
      </c>
    </row>
    <row r="282" spans="1:14" x14ac:dyDescent="0.2">
      <c r="A282" s="105">
        <v>291</v>
      </c>
      <c r="B282" s="105" t="str">
        <f>VLOOKUP( $A282, Aop!$A$2:$P$453, 2, 0)</f>
        <v>BTG</v>
      </c>
      <c r="C282" s="55">
        <v>29</v>
      </c>
      <c r="D282" s="55" t="str">
        <f t="shared" si="39"/>
        <v>1074440</v>
      </c>
      <c r="E282" s="55" t="str">
        <f t="shared" si="40"/>
        <v>4400855640000</v>
      </c>
      <c r="F282" s="55" t="b">
        <f t="shared" si="42"/>
        <v>0</v>
      </c>
      <c r="G282" s="139">
        <f t="shared" si="43"/>
        <v>45930</v>
      </c>
      <c r="H282" s="105">
        <f>VLOOKUP( $A282, Aop!$A$2:$P$453, 4, 0)</f>
        <v>508</v>
      </c>
      <c r="I282" s="55">
        <f t="shared" si="41"/>
        <v>2025</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1074440</v>
      </c>
      <c r="E283" s="55" t="str">
        <f t="shared" si="40"/>
        <v>4400855640000</v>
      </c>
      <c r="F283" s="55" t="b">
        <f t="shared" si="42"/>
        <v>0</v>
      </c>
      <c r="G283" s="139">
        <f t="shared" si="43"/>
        <v>45930</v>
      </c>
      <c r="H283" s="105">
        <f>VLOOKUP( $A283, Aop!$A$2:$P$453, 4, 0)</f>
        <v>509</v>
      </c>
      <c r="I283" s="55">
        <f t="shared" si="41"/>
        <v>2025</v>
      </c>
      <c r="J283" s="55" t="str">
        <f t="shared" ca="1" si="46"/>
        <v/>
      </c>
      <c r="K283" s="55"/>
      <c r="L283" s="55"/>
      <c r="M283" s="55" t="str">
        <f t="shared" ca="1" si="47"/>
        <v/>
      </c>
      <c r="N283" s="55" t="str">
        <f t="shared" ca="1" si="44"/>
        <v/>
      </c>
    </row>
    <row r="284" spans="1:14" x14ac:dyDescent="0.2">
      <c r="A284" s="105">
        <v>293</v>
      </c>
      <c r="B284" s="105" t="str">
        <f>VLOOKUP( $A284, Aop!$A$2:$P$453, 2, 0)</f>
        <v>BTG</v>
      </c>
      <c r="C284" s="55">
        <v>29</v>
      </c>
      <c r="D284" s="55" t="str">
        <f t="shared" si="39"/>
        <v>1074440</v>
      </c>
      <c r="E284" s="55" t="str">
        <f t="shared" si="40"/>
        <v>4400855640000</v>
      </c>
      <c r="F284" s="55" t="b">
        <f t="shared" si="42"/>
        <v>0</v>
      </c>
      <c r="G284" s="139">
        <f t="shared" si="43"/>
        <v>45930</v>
      </c>
      <c r="H284" s="105">
        <f>VLOOKUP( $A284, Aop!$A$2:$P$453, 4, 0)</f>
        <v>510</v>
      </c>
      <c r="I284" s="55">
        <f t="shared" si="41"/>
        <v>2025</v>
      </c>
      <c r="J284" s="55" t="str">
        <f t="shared" ca="1" si="46"/>
        <v/>
      </c>
      <c r="K284" s="55"/>
      <c r="L284" s="55"/>
      <c r="M284" s="55" t="str">
        <f t="shared" ca="1" si="47"/>
        <v/>
      </c>
      <c r="N284" s="55" t="str">
        <f t="shared" ca="1" si="44"/>
        <v/>
      </c>
    </row>
    <row r="285" spans="1:14" x14ac:dyDescent="0.2">
      <c r="A285" s="105">
        <v>294</v>
      </c>
      <c r="B285" s="105" t="str">
        <f>VLOOKUP( $A285, Aop!$A$2:$P$453, 2, 0)</f>
        <v>BTG</v>
      </c>
      <c r="C285" s="55">
        <v>29</v>
      </c>
      <c r="D285" s="55" t="str">
        <f t="shared" si="39"/>
        <v>1074440</v>
      </c>
      <c r="E285" s="55" t="str">
        <f t="shared" si="40"/>
        <v>4400855640000</v>
      </c>
      <c r="F285" s="55" t="b">
        <f t="shared" si="42"/>
        <v>0</v>
      </c>
      <c r="G285" s="139">
        <f t="shared" si="43"/>
        <v>45930</v>
      </c>
      <c r="H285" s="105">
        <f>VLOOKUP( $A285, Aop!$A$2:$P$453, 4, 0)</f>
        <v>511</v>
      </c>
      <c r="I285" s="55">
        <f t="shared" si="41"/>
        <v>2025</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1074440</v>
      </c>
      <c r="E286" s="55" t="str">
        <f t="shared" si="40"/>
        <v>4400855640000</v>
      </c>
      <c r="F286" s="55" t="b">
        <f t="shared" si="42"/>
        <v>0</v>
      </c>
      <c r="G286" s="139">
        <f t="shared" si="43"/>
        <v>45930</v>
      </c>
      <c r="H286" s="105">
        <f>VLOOKUP( $A286, Aop!$A$2:$P$453, 4, 0)</f>
        <v>512</v>
      </c>
      <c r="I286" s="55">
        <f t="shared" si="41"/>
        <v>2025</v>
      </c>
      <c r="J286" s="55" t="str">
        <f t="shared" ca="1" si="46"/>
        <v/>
      </c>
      <c r="K286" s="55"/>
      <c r="L286" s="55"/>
      <c r="M286" s="55" t="str">
        <f t="shared" ca="1" si="47"/>
        <v/>
      </c>
      <c r="N286" s="55" t="str">
        <f t="shared" ca="1" si="44"/>
        <v/>
      </c>
    </row>
    <row r="287" spans="1:14" x14ac:dyDescent="0.2">
      <c r="A287" s="105">
        <v>296</v>
      </c>
      <c r="B287" s="105" t="str">
        <f>VLOOKUP( $A287, Aop!$A$2:$P$453, 2, 0)</f>
        <v>BTG</v>
      </c>
      <c r="C287" s="55">
        <v>29</v>
      </c>
      <c r="D287" s="55" t="str">
        <f t="shared" si="39"/>
        <v>1074440</v>
      </c>
      <c r="E287" s="55" t="str">
        <f t="shared" si="40"/>
        <v>4400855640000</v>
      </c>
      <c r="F287" s="55" t="b">
        <f t="shared" si="42"/>
        <v>0</v>
      </c>
      <c r="G287" s="139">
        <f t="shared" si="43"/>
        <v>45930</v>
      </c>
      <c r="H287" s="105">
        <f>VLOOKUP( $A287, Aop!$A$2:$P$453, 4, 0)</f>
        <v>513</v>
      </c>
      <c r="I287" s="55">
        <f t="shared" si="41"/>
        <v>2025</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1074440</v>
      </c>
      <c r="E288" s="55" t="str">
        <f t="shared" si="40"/>
        <v>4400855640000</v>
      </c>
      <c r="F288" s="55" t="b">
        <f t="shared" si="42"/>
        <v>0</v>
      </c>
      <c r="G288" s="139">
        <f t="shared" si="43"/>
        <v>45930</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1074440</v>
      </c>
      <c r="E289" s="55" t="str">
        <f t="shared" si="40"/>
        <v>4400855640000</v>
      </c>
      <c r="F289" s="55" t="b">
        <f t="shared" si="42"/>
        <v>0</v>
      </c>
      <c r="G289" s="139">
        <f t="shared" si="43"/>
        <v>45930</v>
      </c>
      <c r="H289" s="105">
        <f>VLOOKUP( $A289, Aop!$A$2:$P$453, 4, 0)</f>
        <v>515</v>
      </c>
      <c r="I289" s="55">
        <f t="shared" si="41"/>
        <v>2025</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1074440</v>
      </c>
      <c r="E290" s="55" t="str">
        <f t="shared" si="40"/>
        <v>4400855640000</v>
      </c>
      <c r="F290" s="55" t="b">
        <f t="shared" si="42"/>
        <v>0</v>
      </c>
      <c r="G290" s="139">
        <f t="shared" si="43"/>
        <v>45930</v>
      </c>
      <c r="H290" s="105">
        <f>VLOOKUP( $A290, Aop!$A$2:$P$453, 4, 0)</f>
        <v>517</v>
      </c>
      <c r="I290" s="55">
        <f t="shared" si="41"/>
        <v>2025</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1074440</v>
      </c>
      <c r="E291" s="55" t="str">
        <f t="shared" si="40"/>
        <v>4400855640000</v>
      </c>
      <c r="F291" s="55" t="b">
        <f t="shared" si="42"/>
        <v>0</v>
      </c>
      <c r="G291" s="139">
        <f t="shared" si="43"/>
        <v>45930</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1074440</v>
      </c>
      <c r="E292" s="55" t="str">
        <f t="shared" si="40"/>
        <v>4400855640000</v>
      </c>
      <c r="F292" s="55" t="b">
        <f t="shared" si="42"/>
        <v>0</v>
      </c>
      <c r="G292" s="139">
        <f t="shared" si="43"/>
        <v>45930</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1074440</v>
      </c>
      <c r="E293" s="55" t="str">
        <f t="shared" si="40"/>
        <v>4400855640000</v>
      </c>
      <c r="F293" s="55" t="b">
        <f t="shared" si="42"/>
        <v>0</v>
      </c>
      <c r="G293" s="139">
        <f t="shared" si="43"/>
        <v>45930</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1074440</v>
      </c>
      <c r="E294" s="55" t="str">
        <f t="shared" si="40"/>
        <v>4400855640000</v>
      </c>
      <c r="F294" s="55" t="b">
        <f t="shared" si="42"/>
        <v>0</v>
      </c>
      <c r="G294" s="139">
        <f t="shared" si="43"/>
        <v>45930</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1074440</v>
      </c>
      <c r="E295" s="55" t="str">
        <f t="shared" si="40"/>
        <v>4400855640000</v>
      </c>
      <c r="F295" s="55" t="b">
        <f t="shared" si="42"/>
        <v>0</v>
      </c>
      <c r="G295" s="139">
        <f t="shared" si="43"/>
        <v>45930</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1074440</v>
      </c>
      <c r="E296" s="55" t="str">
        <f t="shared" si="40"/>
        <v>4400855640000</v>
      </c>
      <c r="F296" s="55" t="b">
        <f t="shared" si="42"/>
        <v>0</v>
      </c>
      <c r="G296" s="139">
        <f t="shared" si="43"/>
        <v>45930</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1074440</v>
      </c>
      <c r="E297" s="55" t="str">
        <f t="shared" si="40"/>
        <v>4400855640000</v>
      </c>
      <c r="F297" s="55" t="b">
        <f t="shared" si="42"/>
        <v>0</v>
      </c>
      <c r="G297" s="139">
        <f t="shared" si="43"/>
        <v>45930</v>
      </c>
      <c r="H297" s="105">
        <f>VLOOKUP( $A297, Aop!$A$2:$P$453, 4, 0)</f>
        <v>524</v>
      </c>
      <c r="I297" s="55">
        <f t="shared" si="41"/>
        <v>2025</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1074440</v>
      </c>
      <c r="E298" s="55" t="str">
        <f t="shared" si="40"/>
        <v>4400855640000</v>
      </c>
      <c r="F298" s="55" t="b">
        <f t="shared" si="42"/>
        <v>0</v>
      </c>
      <c r="G298" s="139">
        <f t="shared" si="43"/>
        <v>45930</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1074440</v>
      </c>
      <c r="E299" s="55" t="str">
        <f t="shared" si="40"/>
        <v>4400855640000</v>
      </c>
      <c r="F299" s="55" t="b">
        <f t="shared" si="42"/>
        <v>0</v>
      </c>
      <c r="G299" s="139">
        <f t="shared" si="43"/>
        <v>45930</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1074440</v>
      </c>
      <c r="E300" s="55" t="str">
        <f t="shared" si="40"/>
        <v>4400855640000</v>
      </c>
      <c r="F300" s="55" t="b">
        <f t="shared" si="42"/>
        <v>0</v>
      </c>
      <c r="G300" s="139">
        <f t="shared" si="43"/>
        <v>45930</v>
      </c>
      <c r="H300" s="105">
        <f>VLOOKUP( $A300, Aop!$A$2:$P$453, 4, 0)</f>
        <v>527</v>
      </c>
      <c r="I300" s="55">
        <f t="shared" si="41"/>
        <v>2025</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1074440</v>
      </c>
      <c r="E301" s="55" t="str">
        <f t="shared" si="40"/>
        <v>4400855640000</v>
      </c>
      <c r="F301" s="55" t="b">
        <f t="shared" si="42"/>
        <v>0</v>
      </c>
      <c r="G301" s="139">
        <f t="shared" si="43"/>
        <v>45930</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1074440</v>
      </c>
      <c r="E302" s="55" t="str">
        <f t="shared" si="40"/>
        <v>4400855640000</v>
      </c>
      <c r="F302" s="55" t="b">
        <f t="shared" si="42"/>
        <v>0</v>
      </c>
      <c r="G302" s="139">
        <f t="shared" si="43"/>
        <v>45930</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1074440</v>
      </c>
      <c r="E303" s="55" t="str">
        <f t="shared" si="40"/>
        <v>4400855640000</v>
      </c>
      <c r="F303" s="55" t="b">
        <f t="shared" si="42"/>
        <v>0</v>
      </c>
      <c r="G303" s="139">
        <f t="shared" si="43"/>
        <v>45930</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1074440</v>
      </c>
      <c r="E304" s="55" t="str">
        <f t="shared" si="40"/>
        <v>4400855640000</v>
      </c>
      <c r="F304" s="55" t="b">
        <f t="shared" si="42"/>
        <v>0</v>
      </c>
      <c r="G304" s="139">
        <f t="shared" si="43"/>
        <v>45930</v>
      </c>
      <c r="H304" s="105">
        <f>VLOOKUP( $A304, Aop!$A$2:$P$453, 4, 0)</f>
        <v>531</v>
      </c>
      <c r="I304" s="55">
        <f t="shared" si="41"/>
        <v>2025</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1074440</v>
      </c>
      <c r="E305" s="55" t="str">
        <f t="shared" si="40"/>
        <v>4400855640000</v>
      </c>
      <c r="F305" s="55" t="b">
        <f t="shared" si="42"/>
        <v>0</v>
      </c>
      <c r="G305" s="139">
        <f t="shared" si="43"/>
        <v>45930</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1074440</v>
      </c>
      <c r="E306" s="55" t="str">
        <f t="shared" si="40"/>
        <v>4400855640000</v>
      </c>
      <c r="F306" s="55" t="b">
        <f t="shared" si="42"/>
        <v>0</v>
      </c>
      <c r="G306" s="139">
        <f t="shared" si="43"/>
        <v>45930</v>
      </c>
      <c r="H306" s="105">
        <f>VLOOKUP( $A306, Aop!$A$2:$P$453, 4, 0)</f>
        <v>533</v>
      </c>
      <c r="I306" s="55">
        <f t="shared" si="41"/>
        <v>2025</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1074440</v>
      </c>
      <c r="E307" s="55" t="str">
        <f t="shared" si="40"/>
        <v>4400855640000</v>
      </c>
      <c r="F307" s="55" t="b">
        <f t="shared" si="42"/>
        <v>0</v>
      </c>
      <c r="G307" s="139">
        <f t="shared" si="43"/>
        <v>45930</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1074440</v>
      </c>
      <c r="E308" s="55" t="str">
        <f t="shared" si="40"/>
        <v>4400855640000</v>
      </c>
      <c r="F308" s="55" t="b">
        <f t="shared" si="42"/>
        <v>0</v>
      </c>
      <c r="G308" s="139">
        <f t="shared" si="43"/>
        <v>45930</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1074440</v>
      </c>
      <c r="E309" s="55" t="str">
        <f t="shared" si="40"/>
        <v>4400855640000</v>
      </c>
      <c r="F309" s="55" t="b">
        <f t="shared" si="42"/>
        <v>0</v>
      </c>
      <c r="G309" s="139">
        <f t="shared" si="43"/>
        <v>45930</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1074440</v>
      </c>
      <c r="E310" s="55" t="str">
        <f t="shared" si="40"/>
        <v>4400855640000</v>
      </c>
      <c r="F310" s="55" t="b">
        <f t="shared" si="42"/>
        <v>0</v>
      </c>
      <c r="G310" s="139">
        <f t="shared" si="43"/>
        <v>45930</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1074440</v>
      </c>
      <c r="E311" s="55" t="str">
        <f t="shared" ref="E311:E356" si="49">Podatak_JIB</f>
        <v>4400855640000</v>
      </c>
      <c r="F311" s="55" t="b">
        <f t="shared" si="42"/>
        <v>0</v>
      </c>
      <c r="G311" s="139">
        <f t="shared" si="43"/>
        <v>45930</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1074440</v>
      </c>
      <c r="E312" s="55" t="str">
        <f t="shared" si="49"/>
        <v>4400855640000</v>
      </c>
      <c r="F312" s="55" t="b">
        <f t="shared" ref="F312:F356" si="51">Konsolidovan_izvjestaj</f>
        <v>0</v>
      </c>
      <c r="G312" s="139">
        <f t="shared" ref="G312:G356" si="52">Datum_Broj</f>
        <v>45930</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1074440</v>
      </c>
      <c r="E313" s="55" t="str">
        <f t="shared" si="49"/>
        <v>4400855640000</v>
      </c>
      <c r="F313" s="55" t="b">
        <f t="shared" si="51"/>
        <v>0</v>
      </c>
      <c r="G313" s="139">
        <f t="shared" si="52"/>
        <v>45930</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1074440</v>
      </c>
      <c r="E314" s="55" t="str">
        <f t="shared" si="49"/>
        <v>4400855640000</v>
      </c>
      <c r="F314" s="55" t="b">
        <f t="shared" si="51"/>
        <v>0</v>
      </c>
      <c r="G314" s="139">
        <f t="shared" si="52"/>
        <v>45930</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1074440</v>
      </c>
      <c r="E315" s="55" t="str">
        <f t="shared" si="49"/>
        <v>4400855640000</v>
      </c>
      <c r="F315" s="55" t="b">
        <f t="shared" si="51"/>
        <v>0</v>
      </c>
      <c r="G315" s="139">
        <f t="shared" si="52"/>
        <v>45930</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1074440</v>
      </c>
      <c r="E316" s="55" t="str">
        <f t="shared" si="49"/>
        <v>4400855640000</v>
      </c>
      <c r="F316" s="55" t="b">
        <f t="shared" si="51"/>
        <v>0</v>
      </c>
      <c r="G316" s="139">
        <f t="shared" si="52"/>
        <v>45930</v>
      </c>
      <c r="H316" s="105">
        <f>VLOOKUP( $A316, Aop!$A$2:$P$453, 4, 0)</f>
        <v>543</v>
      </c>
      <c r="I316" s="55">
        <f t="shared" si="50"/>
        <v>2025</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1074440</v>
      </c>
      <c r="E317" s="55" t="str">
        <f t="shared" si="49"/>
        <v>4400855640000</v>
      </c>
      <c r="F317" s="55" t="b">
        <f t="shared" si="51"/>
        <v>0</v>
      </c>
      <c r="G317" s="139">
        <f t="shared" si="52"/>
        <v>45930</v>
      </c>
      <c r="H317" s="105">
        <f>VLOOKUP( $A317, Aop!$A$2:$P$453, 4, 0)</f>
        <v>544</v>
      </c>
      <c r="I317" s="55">
        <f t="shared" si="50"/>
        <v>2025</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1074440</v>
      </c>
      <c r="E318" s="55" t="str">
        <f t="shared" si="49"/>
        <v>4400855640000</v>
      </c>
      <c r="F318" s="55" t="b">
        <f t="shared" si="51"/>
        <v>0</v>
      </c>
      <c r="G318" s="139">
        <f t="shared" si="52"/>
        <v>45930</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1074440</v>
      </c>
      <c r="E319" s="55" t="str">
        <f t="shared" si="49"/>
        <v>4400855640000</v>
      </c>
      <c r="F319" s="55" t="b">
        <f t="shared" si="51"/>
        <v>0</v>
      </c>
      <c r="G319" s="139">
        <f t="shared" si="52"/>
        <v>45930</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1074440</v>
      </c>
      <c r="E320" s="55" t="str">
        <f t="shared" si="49"/>
        <v>4400855640000</v>
      </c>
      <c r="F320" s="55" t="b">
        <f t="shared" si="51"/>
        <v>0</v>
      </c>
      <c r="G320" s="139">
        <f t="shared" si="52"/>
        <v>45930</v>
      </c>
      <c r="H320" s="105">
        <f>VLOOKUP( $A320, Aop!$A$2:$P$453, 4, 0)</f>
        <v>547</v>
      </c>
      <c r="I320" s="55">
        <f t="shared" si="50"/>
        <v>2025</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1074440</v>
      </c>
      <c r="E321" s="55" t="str">
        <f t="shared" si="49"/>
        <v>4400855640000</v>
      </c>
      <c r="F321" s="55" t="b">
        <f t="shared" si="51"/>
        <v>0</v>
      </c>
      <c r="G321" s="139">
        <f t="shared" si="52"/>
        <v>45930</v>
      </c>
      <c r="H321" s="105">
        <f>VLOOKUP( $A321, Aop!$A$2:$P$453, 4, 0)</f>
        <v>548</v>
      </c>
      <c r="I321" s="55">
        <f t="shared" si="50"/>
        <v>2025</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1074440</v>
      </c>
      <c r="E322" s="55" t="str">
        <f t="shared" si="49"/>
        <v>4400855640000</v>
      </c>
      <c r="F322" s="55" t="b">
        <f t="shared" si="51"/>
        <v>0</v>
      </c>
      <c r="G322" s="139">
        <f t="shared" si="52"/>
        <v>45930</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1074440</v>
      </c>
      <c r="E323" s="55" t="str">
        <f t="shared" si="49"/>
        <v>4400855640000</v>
      </c>
      <c r="F323" s="55" t="b">
        <f t="shared" si="51"/>
        <v>0</v>
      </c>
      <c r="G323" s="139">
        <f t="shared" si="52"/>
        <v>45930</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1074440</v>
      </c>
      <c r="E324" s="55" t="str">
        <f t="shared" si="49"/>
        <v>4400855640000</v>
      </c>
      <c r="F324" s="55" t="b">
        <f t="shared" si="51"/>
        <v>0</v>
      </c>
      <c r="G324" s="139">
        <f t="shared" si="52"/>
        <v>45930</v>
      </c>
      <c r="H324" s="105">
        <f>VLOOKUP( $A324, Aop!$A$2:$P$453, 4, 0)</f>
        <v>551</v>
      </c>
      <c r="I324" s="55">
        <f t="shared" si="50"/>
        <v>2025</v>
      </c>
      <c r="J324" s="55" t="str">
        <f t="shared" ca="1" si="46"/>
        <v/>
      </c>
      <c r="K324" s="55"/>
      <c r="L324" s="55"/>
      <c r="M324" s="55">
        <f t="shared" ca="1" si="47"/>
        <v>0</v>
      </c>
      <c r="N324" s="55">
        <f t="shared" ca="1" si="53"/>
        <v>0</v>
      </c>
    </row>
    <row r="325" spans="1:14" x14ac:dyDescent="0.2">
      <c r="A325" s="105">
        <v>335</v>
      </c>
      <c r="B325" s="105" t="str">
        <f>VLOOKUP( $A325, Aop!$A$2:$P$453, 2, 0)</f>
        <v>BTG</v>
      </c>
      <c r="C325" s="55">
        <v>29</v>
      </c>
      <c r="D325" s="55" t="str">
        <f t="shared" si="48"/>
        <v>1074440</v>
      </c>
      <c r="E325" s="55" t="str">
        <f t="shared" si="49"/>
        <v>4400855640000</v>
      </c>
      <c r="F325" s="55" t="b">
        <f t="shared" si="51"/>
        <v>0</v>
      </c>
      <c r="G325" s="139">
        <f t="shared" si="52"/>
        <v>45930</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1074440</v>
      </c>
      <c r="E326" s="55" t="str">
        <f t="shared" si="49"/>
        <v>4400855640000</v>
      </c>
      <c r="F326" s="55" t="b">
        <f t="shared" si="51"/>
        <v>0</v>
      </c>
      <c r="G326" s="139">
        <f t="shared" si="52"/>
        <v>45930</v>
      </c>
      <c r="H326" s="105">
        <f>VLOOKUP( $A326, Aop!$A$2:$P$453, 4, 0)</f>
        <v>553</v>
      </c>
      <c r="I326" s="55">
        <f t="shared" si="50"/>
        <v>2025</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1074440</v>
      </c>
      <c r="E327" s="55" t="str">
        <f t="shared" si="49"/>
        <v>4400855640000</v>
      </c>
      <c r="F327" s="55" t="b">
        <f t="shared" si="51"/>
        <v>0</v>
      </c>
      <c r="G327" s="139">
        <f t="shared" si="52"/>
        <v>45930</v>
      </c>
      <c r="H327" s="105">
        <f>VLOOKUP( $A327, Aop!$A$2:$P$453, 4, 0)</f>
        <v>554</v>
      </c>
      <c r="I327" s="55">
        <f t="shared" si="50"/>
        <v>2025</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1074440</v>
      </c>
      <c r="E328" s="55" t="str">
        <f t="shared" si="49"/>
        <v>4400855640000</v>
      </c>
      <c r="F328" s="55" t="b">
        <f t="shared" si="51"/>
        <v>0</v>
      </c>
      <c r="G328" s="139">
        <f t="shared" si="52"/>
        <v>45930</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1074440</v>
      </c>
      <c r="E329" s="55" t="str">
        <f t="shared" si="49"/>
        <v>4400855640000</v>
      </c>
      <c r="F329" s="55" t="b">
        <f t="shared" si="51"/>
        <v>0</v>
      </c>
      <c r="G329" s="139">
        <f t="shared" si="52"/>
        <v>45930</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1074440</v>
      </c>
      <c r="E330" s="55" t="str">
        <f t="shared" si="49"/>
        <v>4400855640000</v>
      </c>
      <c r="F330" s="55" t="b">
        <f t="shared" si="51"/>
        <v>0</v>
      </c>
      <c r="G330" s="139">
        <f t="shared" si="52"/>
        <v>45930</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1074440</v>
      </c>
      <c r="E331" s="55" t="str">
        <f t="shared" si="49"/>
        <v>4400855640000</v>
      </c>
      <c r="F331" s="55" t="b">
        <f t="shared" si="51"/>
        <v>0</v>
      </c>
      <c r="G331" s="139">
        <f t="shared" si="52"/>
        <v>45930</v>
      </c>
      <c r="H331" s="105">
        <f>VLOOKUP( $A331, Aop!$A$2:$P$453, 4, 0)</f>
        <v>558</v>
      </c>
      <c r="I331" s="55">
        <f t="shared" si="50"/>
        <v>2025</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1074440</v>
      </c>
      <c r="E332" s="55" t="str">
        <f t="shared" si="49"/>
        <v>4400855640000</v>
      </c>
      <c r="F332" s="55" t="b">
        <f t="shared" si="51"/>
        <v>0</v>
      </c>
      <c r="G332" s="139">
        <f t="shared" si="52"/>
        <v>45930</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1074440</v>
      </c>
      <c r="E333" s="55" t="str">
        <f t="shared" si="49"/>
        <v>4400855640000</v>
      </c>
      <c r="F333" s="55" t="b">
        <f t="shared" si="51"/>
        <v>0</v>
      </c>
      <c r="G333" s="139">
        <f t="shared" si="52"/>
        <v>45930</v>
      </c>
      <c r="H333" s="105">
        <f>VLOOKUP( $A333, Aop!$A$2:$P$453, 4, 0)</f>
        <v>560</v>
      </c>
      <c r="I333" s="55">
        <f t="shared" si="50"/>
        <v>2025</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1074440</v>
      </c>
      <c r="E334" s="55" t="str">
        <f t="shared" si="49"/>
        <v>4400855640000</v>
      </c>
      <c r="F334" s="55" t="b">
        <f t="shared" si="51"/>
        <v>0</v>
      </c>
      <c r="G334" s="139">
        <f t="shared" si="52"/>
        <v>45930</v>
      </c>
      <c r="H334" s="105">
        <f>VLOOKUP( $A334, Aop!$A$2:$P$453, 4, 0)</f>
        <v>561</v>
      </c>
      <c r="I334" s="55">
        <f t="shared" si="50"/>
        <v>2025</v>
      </c>
      <c r="J334" s="55" t="str">
        <f t="shared" ca="1" si="54"/>
        <v/>
      </c>
      <c r="K334" s="55"/>
      <c r="L334" s="55"/>
      <c r="M334" s="55">
        <f t="shared" ca="1" si="47"/>
        <v>0</v>
      </c>
      <c r="N334" s="55">
        <f t="shared" ca="1" si="53"/>
        <v>0</v>
      </c>
    </row>
    <row r="335" spans="1:14" x14ac:dyDescent="0.2">
      <c r="A335" s="105">
        <v>345</v>
      </c>
      <c r="B335" s="105" t="str">
        <f>VLOOKUP( $A335, Aop!$A$2:$P$453, 2, 0)</f>
        <v>BTG</v>
      </c>
      <c r="C335" s="55">
        <v>29</v>
      </c>
      <c r="D335" s="55" t="str">
        <f t="shared" si="48"/>
        <v>1074440</v>
      </c>
      <c r="E335" s="55" t="str">
        <f t="shared" si="49"/>
        <v>4400855640000</v>
      </c>
      <c r="F335" s="55" t="b">
        <f t="shared" si="51"/>
        <v>0</v>
      </c>
      <c r="G335" s="139">
        <f t="shared" si="52"/>
        <v>45930</v>
      </c>
      <c r="H335" s="105">
        <f>VLOOKUP( $A335, Aop!$A$2:$P$453, 4, 0)</f>
        <v>562</v>
      </c>
      <c r="I335" s="55">
        <f t="shared" si="50"/>
        <v>2025</v>
      </c>
      <c r="J335" s="55" t="str">
        <f t="shared" ca="1" si="54"/>
        <v/>
      </c>
      <c r="K335" s="55"/>
      <c r="L335" s="55"/>
      <c r="M335" s="55">
        <f t="shared" ca="1" si="47"/>
        <v>0</v>
      </c>
      <c r="N335" s="55">
        <f t="shared" ca="1" si="53"/>
        <v>0</v>
      </c>
    </row>
    <row r="336" spans="1:14" x14ac:dyDescent="0.2">
      <c r="A336" s="105">
        <v>346</v>
      </c>
      <c r="B336" s="105" t="str">
        <f>VLOOKUP( $A336, Aop!$A$2:$P$453, 2, 0)</f>
        <v>BTG</v>
      </c>
      <c r="C336" s="55">
        <v>29</v>
      </c>
      <c r="D336" s="55" t="str">
        <f t="shared" si="48"/>
        <v>1074440</v>
      </c>
      <c r="E336" s="55" t="str">
        <f t="shared" si="49"/>
        <v>4400855640000</v>
      </c>
      <c r="F336" s="55" t="b">
        <f t="shared" si="51"/>
        <v>0</v>
      </c>
      <c r="G336" s="139">
        <f t="shared" si="52"/>
        <v>45930</v>
      </c>
      <c r="H336" s="105">
        <f>VLOOKUP( $A336, Aop!$A$2:$P$453, 4, 0)</f>
        <v>563</v>
      </c>
      <c r="I336" s="55">
        <f t="shared" si="50"/>
        <v>2025</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1074440</v>
      </c>
      <c r="E337" s="55" t="str">
        <f t="shared" si="49"/>
        <v>4400855640000</v>
      </c>
      <c r="F337" s="55" t="b">
        <f t="shared" si="51"/>
        <v>0</v>
      </c>
      <c r="G337" s="139">
        <f t="shared" si="52"/>
        <v>45930</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1074440</v>
      </c>
      <c r="E338" s="55" t="str">
        <f t="shared" si="49"/>
        <v>4400855640000</v>
      </c>
      <c r="F338" s="55" t="b">
        <f t="shared" si="51"/>
        <v>0</v>
      </c>
      <c r="G338" s="139">
        <f t="shared" si="52"/>
        <v>45930</v>
      </c>
      <c r="H338" s="105">
        <f>VLOOKUP( $A338, Aop!$A$2:$P$453, 4, 0)</f>
        <v>565</v>
      </c>
      <c r="I338" s="55">
        <f t="shared" si="50"/>
        <v>2025</v>
      </c>
      <c r="J338" s="55" t="str">
        <f t="shared" ca="1" si="54"/>
        <v/>
      </c>
      <c r="K338" s="55"/>
      <c r="L338" s="55"/>
      <c r="M338" s="55" t="str">
        <f t="shared" ca="1" si="55"/>
        <v/>
      </c>
      <c r="N338" s="55" t="str">
        <f t="shared" ca="1" si="53"/>
        <v/>
      </c>
    </row>
    <row r="339" spans="1:14" x14ac:dyDescent="0.2">
      <c r="A339" s="105">
        <v>349</v>
      </c>
      <c r="B339" s="105" t="str">
        <f>VLOOKUP( $A339, Aop!$A$2:$P$453, 2, 0)</f>
        <v>BTG</v>
      </c>
      <c r="C339" s="55">
        <v>29</v>
      </c>
      <c r="D339" s="55" t="str">
        <f t="shared" si="48"/>
        <v>1074440</v>
      </c>
      <c r="E339" s="55" t="str">
        <f t="shared" si="49"/>
        <v>4400855640000</v>
      </c>
      <c r="F339" s="55" t="b">
        <f t="shared" si="51"/>
        <v>0</v>
      </c>
      <c r="G339" s="139">
        <f t="shared" si="52"/>
        <v>45930</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1074440</v>
      </c>
      <c r="E340" s="55" t="str">
        <f t="shared" si="49"/>
        <v>4400855640000</v>
      </c>
      <c r="F340" s="55" t="b">
        <f t="shared" si="51"/>
        <v>0</v>
      </c>
      <c r="G340" s="139">
        <f t="shared" si="52"/>
        <v>45930</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1074440</v>
      </c>
      <c r="E341" s="55" t="str">
        <f t="shared" si="49"/>
        <v>4400855640000</v>
      </c>
      <c r="F341" s="55" t="b">
        <f t="shared" si="51"/>
        <v>0</v>
      </c>
      <c r="G341" s="139">
        <f t="shared" si="52"/>
        <v>45930</v>
      </c>
      <c r="H341" s="105">
        <f>VLOOKUP( $A341, Aop!$A$2:$P$453, 4, 0)</f>
        <v>568</v>
      </c>
      <c r="I341" s="55">
        <f t="shared" si="50"/>
        <v>2025</v>
      </c>
      <c r="J341" s="55" t="str">
        <f t="shared" ca="1" si="54"/>
        <v/>
      </c>
      <c r="K341" s="55"/>
      <c r="L341" s="55"/>
      <c r="M341" s="55">
        <f t="shared" ca="1" si="55"/>
        <v>0</v>
      </c>
      <c r="N341" s="55">
        <f t="shared" ca="1" si="53"/>
        <v>0</v>
      </c>
    </row>
    <row r="342" spans="1:14" x14ac:dyDescent="0.2">
      <c r="A342" s="105">
        <v>352</v>
      </c>
      <c r="B342" s="55" t="str">
        <f>VLOOKUP( $A342, Aop!$A$2:$P$453, 2, 0)</f>
        <v>Aneks</v>
      </c>
      <c r="C342" s="55">
        <v>28</v>
      </c>
      <c r="D342" s="55" t="str">
        <f>Podatak_MB</f>
        <v>1074440</v>
      </c>
      <c r="E342" s="55" t="str">
        <f>Podatak_JIB</f>
        <v>4400855640000</v>
      </c>
      <c r="F342" s="55" t="b">
        <f>Konsolidovan_izvjestaj</f>
        <v>0</v>
      </c>
      <c r="G342" s="139">
        <f>Datum_Broj</f>
        <v>45930</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1074440</v>
      </c>
      <c r="E343" s="55" t="str">
        <f t="shared" si="49"/>
        <v>4400855640000</v>
      </c>
      <c r="F343" s="55" t="b">
        <f t="shared" si="51"/>
        <v>0</v>
      </c>
      <c r="G343" s="139">
        <f t="shared" si="52"/>
        <v>45930</v>
      </c>
      <c r="H343" s="105">
        <f>VLOOKUP( $A343, Aop!$A$2:$P$453, 4, 0)</f>
        <v>602</v>
      </c>
      <c r="I343" s="55">
        <f t="shared" si="50"/>
        <v>2025</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1074440</v>
      </c>
      <c r="E344" s="55" t="str">
        <f t="shared" si="49"/>
        <v>4400855640000</v>
      </c>
      <c r="F344" s="55" t="b">
        <f t="shared" si="51"/>
        <v>0</v>
      </c>
      <c r="G344" s="139">
        <f t="shared" si="52"/>
        <v>45930</v>
      </c>
      <c r="H344" s="105">
        <f>VLOOKUP( $A344, Aop!$A$2:$P$453, 4, 0)</f>
        <v>603</v>
      </c>
      <c r="I344" s="55">
        <f t="shared" si="50"/>
        <v>2025</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1074440</v>
      </c>
      <c r="E345" s="55" t="str">
        <f t="shared" si="49"/>
        <v>4400855640000</v>
      </c>
      <c r="F345" s="55" t="b">
        <f t="shared" si="51"/>
        <v>0</v>
      </c>
      <c r="G345" s="139">
        <f t="shared" si="52"/>
        <v>45930</v>
      </c>
      <c r="H345" s="105">
        <f>VLOOKUP( $A345, Aop!$A$2:$P$453, 4, 0)</f>
        <v>604</v>
      </c>
      <c r="I345" s="55">
        <f t="shared" si="50"/>
        <v>2025</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1074440</v>
      </c>
      <c r="E346" s="55" t="str">
        <f t="shared" si="49"/>
        <v>4400855640000</v>
      </c>
      <c r="F346" s="55" t="b">
        <f t="shared" si="51"/>
        <v>0</v>
      </c>
      <c r="G346" s="139">
        <f t="shared" si="52"/>
        <v>45930</v>
      </c>
      <c r="H346" s="105">
        <f>VLOOKUP( $A346, Aop!$A$2:$P$453, 4, 0)</f>
        <v>605</v>
      </c>
      <c r="I346" s="55">
        <f t="shared" si="50"/>
        <v>2025</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1074440</v>
      </c>
      <c r="E347" s="55" t="str">
        <f t="shared" si="49"/>
        <v>4400855640000</v>
      </c>
      <c r="F347" s="55" t="b">
        <f t="shared" si="51"/>
        <v>0</v>
      </c>
      <c r="G347" s="139">
        <f t="shared" si="52"/>
        <v>45930</v>
      </c>
      <c r="H347" s="105">
        <f>VLOOKUP( $A347, Aop!$A$2:$P$453, 4, 0)</f>
        <v>606</v>
      </c>
      <c r="I347" s="55">
        <f t="shared" si="50"/>
        <v>2025</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1074440</v>
      </c>
      <c r="E348" s="55" t="str">
        <f t="shared" si="49"/>
        <v>4400855640000</v>
      </c>
      <c r="F348" s="55" t="b">
        <f t="shared" si="51"/>
        <v>0</v>
      </c>
      <c r="G348" s="139">
        <f t="shared" si="52"/>
        <v>45930</v>
      </c>
      <c r="H348" s="105">
        <f>VLOOKUP( $A348, Aop!$A$2:$P$453, 4, 0)</f>
        <v>607</v>
      </c>
      <c r="I348" s="55">
        <f t="shared" si="50"/>
        <v>2025</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1074440</v>
      </c>
      <c r="E349" s="55" t="str">
        <f t="shared" si="49"/>
        <v>4400855640000</v>
      </c>
      <c r="F349" s="55" t="b">
        <f t="shared" si="51"/>
        <v>0</v>
      </c>
      <c r="G349" s="139">
        <f t="shared" si="52"/>
        <v>45930</v>
      </c>
      <c r="H349" s="105">
        <f>VLOOKUP( $A349, Aop!$A$2:$P$453, 4, 0)</f>
        <v>608</v>
      </c>
      <c r="I349" s="55">
        <f t="shared" si="50"/>
        <v>2025</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1074440</v>
      </c>
      <c r="E350" s="55" t="str">
        <f t="shared" si="49"/>
        <v>4400855640000</v>
      </c>
      <c r="F350" s="55" t="b">
        <f t="shared" si="51"/>
        <v>0</v>
      </c>
      <c r="G350" s="139">
        <f t="shared" si="52"/>
        <v>45930</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1074440</v>
      </c>
      <c r="E351" s="55" t="str">
        <f t="shared" si="49"/>
        <v>4400855640000</v>
      </c>
      <c r="F351" s="55" t="b">
        <f t="shared" si="51"/>
        <v>0</v>
      </c>
      <c r="G351" s="139">
        <f t="shared" si="52"/>
        <v>45930</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1074440</v>
      </c>
      <c r="E352" s="55" t="str">
        <f t="shared" si="49"/>
        <v>4400855640000</v>
      </c>
      <c r="F352" s="55" t="b">
        <f t="shared" si="51"/>
        <v>0</v>
      </c>
      <c r="G352" s="139">
        <f t="shared" si="52"/>
        <v>45930</v>
      </c>
      <c r="H352" s="105">
        <f>VLOOKUP( $A352, Aop!$A$2:$P$453, 4, 0)</f>
        <v>611</v>
      </c>
      <c r="I352" s="55">
        <f t="shared" si="50"/>
        <v>2025</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1074440</v>
      </c>
      <c r="E353" s="55" t="str">
        <f t="shared" si="49"/>
        <v>4400855640000</v>
      </c>
      <c r="F353" s="55" t="b">
        <f t="shared" si="51"/>
        <v>0</v>
      </c>
      <c r="G353" s="139">
        <f t="shared" si="52"/>
        <v>45930</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1074440</v>
      </c>
      <c r="E354" s="55" t="str">
        <f t="shared" si="49"/>
        <v>4400855640000</v>
      </c>
      <c r="F354" s="55" t="b">
        <f t="shared" si="51"/>
        <v>0</v>
      </c>
      <c r="G354" s="139">
        <f t="shared" si="52"/>
        <v>45930</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1074440</v>
      </c>
      <c r="E355" s="55" t="str">
        <f t="shared" si="49"/>
        <v>4400855640000</v>
      </c>
      <c r="F355" s="55" t="b">
        <f t="shared" si="51"/>
        <v>0</v>
      </c>
      <c r="G355" s="139">
        <f t="shared" si="52"/>
        <v>45930</v>
      </c>
      <c r="H355" s="105">
        <f>VLOOKUP( $A355, Aop!$A$2:$P$453, 4, 0)</f>
        <v>614</v>
      </c>
      <c r="I355" s="55">
        <f t="shared" si="50"/>
        <v>2025</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1074440</v>
      </c>
      <c r="E356" s="55" t="str">
        <f t="shared" si="49"/>
        <v>4400855640000</v>
      </c>
      <c r="F356" s="55" t="b">
        <f t="shared" si="51"/>
        <v>0</v>
      </c>
      <c r="G356" s="139">
        <f t="shared" si="52"/>
        <v>45930</v>
      </c>
      <c r="H356" s="105">
        <f>VLOOKUP( $A356, Aop!$A$2:$P$453, 4, 0)</f>
        <v>615</v>
      </c>
      <c r="I356" s="55">
        <f t="shared" si="50"/>
        <v>2025</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1074440</v>
      </c>
      <c r="E357" s="55" t="str">
        <f t="shared" ref="E357:E364" si="59">Podatak_JIB</f>
        <v>4400855640000</v>
      </c>
      <c r="F357" s="55" t="b">
        <f t="shared" ref="F357:F364" si="60">Konsolidovan_izvjestaj</f>
        <v>0</v>
      </c>
      <c r="G357" s="139">
        <f t="shared" ref="G357:G364" si="61">Datum_Broj</f>
        <v>45930</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1074440</v>
      </c>
      <c r="E358" s="55" t="str">
        <f t="shared" si="59"/>
        <v>4400855640000</v>
      </c>
      <c r="F358" s="55" t="b">
        <f t="shared" si="60"/>
        <v>0</v>
      </c>
      <c r="G358" s="139">
        <f t="shared" si="61"/>
        <v>45930</v>
      </c>
      <c r="H358" s="55">
        <f>VLOOKUP( $A358, Aop!$A$2:$P$453, 4, 0)</f>
        <v>617</v>
      </c>
      <c r="I358" s="55">
        <f t="shared" si="62"/>
        <v>2025</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1074440</v>
      </c>
      <c r="E359" s="55" t="str">
        <f t="shared" si="59"/>
        <v>4400855640000</v>
      </c>
      <c r="F359" s="55" t="b">
        <f t="shared" si="60"/>
        <v>0</v>
      </c>
      <c r="G359" s="139">
        <f t="shared" si="61"/>
        <v>45930</v>
      </c>
      <c r="H359" s="55">
        <f>VLOOKUP( $A359, Aop!$A$2:$P$453, 4, 0)</f>
        <v>618</v>
      </c>
      <c r="I359" s="55">
        <f t="shared" si="62"/>
        <v>2025</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1074440</v>
      </c>
      <c r="E360" s="55" t="str">
        <f t="shared" si="59"/>
        <v>4400855640000</v>
      </c>
      <c r="F360" s="55" t="b">
        <f t="shared" si="60"/>
        <v>0</v>
      </c>
      <c r="G360" s="139">
        <f t="shared" si="61"/>
        <v>45930</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1074440</v>
      </c>
      <c r="E361" s="55" t="str">
        <f t="shared" si="59"/>
        <v>4400855640000</v>
      </c>
      <c r="F361" s="55" t="b">
        <f t="shared" si="60"/>
        <v>0</v>
      </c>
      <c r="G361" s="139">
        <f t="shared" si="61"/>
        <v>45930</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1074440</v>
      </c>
      <c r="E362" s="55" t="str">
        <f t="shared" si="59"/>
        <v>4400855640000</v>
      </c>
      <c r="F362" s="55" t="b">
        <f t="shared" si="60"/>
        <v>0</v>
      </c>
      <c r="G362" s="139">
        <f t="shared" si="61"/>
        <v>45930</v>
      </c>
      <c r="H362" s="55">
        <f>VLOOKUP( $A362, Aop!$A$2:$P$453, 4, 0)</f>
        <v>621</v>
      </c>
      <c r="I362" s="55">
        <f t="shared" si="62"/>
        <v>2025</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1074440</v>
      </c>
      <c r="E363" s="55" t="str">
        <f t="shared" si="59"/>
        <v>4400855640000</v>
      </c>
      <c r="F363" s="55" t="b">
        <f t="shared" si="60"/>
        <v>0</v>
      </c>
      <c r="G363" s="139">
        <f t="shared" si="61"/>
        <v>45930</v>
      </c>
      <c r="H363" s="55">
        <f>VLOOKUP( $A363, Aop!$A$2:$P$453, 4, 0)</f>
        <v>622</v>
      </c>
      <c r="I363" s="55">
        <f t="shared" si="62"/>
        <v>2025</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1074440</v>
      </c>
      <c r="E364" s="55" t="str">
        <f t="shared" si="59"/>
        <v>4400855640000</v>
      </c>
      <c r="F364" s="55" t="b">
        <f t="shared" si="60"/>
        <v>0</v>
      </c>
      <c r="G364" s="139">
        <f t="shared" si="61"/>
        <v>45930</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1074440</v>
      </c>
      <c r="E365" s="52" t="str">
        <f t="shared" ref="E365:E381" si="64">Podatak_JIB</f>
        <v>4400855640000</v>
      </c>
      <c r="F365" s="52" t="b">
        <f t="shared" ref="F365:F381" si="65">Konsolidovan_izvjestaj</f>
        <v>0</v>
      </c>
      <c r="G365" s="224">
        <f t="shared" ref="G365:G408" si="66">Datum_Broj</f>
        <v>45930</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1074440</v>
      </c>
      <c r="E366" s="52" t="str">
        <f t="shared" si="64"/>
        <v>4400855640000</v>
      </c>
      <c r="F366" s="52" t="b">
        <f t="shared" si="65"/>
        <v>0</v>
      </c>
      <c r="G366" s="224">
        <f t="shared" si="66"/>
        <v>45930</v>
      </c>
      <c r="H366" s="52">
        <f>VLOOKUP( $A366, Aop!$A$2:$P$453, 4, 0)</f>
        <v>625</v>
      </c>
      <c r="I366" s="52">
        <f t="shared" si="67"/>
        <v>2025</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1074440</v>
      </c>
      <c r="E367" s="52" t="str">
        <f t="shared" si="64"/>
        <v>4400855640000</v>
      </c>
      <c r="F367" s="52" t="b">
        <f t="shared" si="65"/>
        <v>0</v>
      </c>
      <c r="G367" s="224">
        <f t="shared" si="66"/>
        <v>45930</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1074440</v>
      </c>
      <c r="E368" s="52" t="str">
        <f t="shared" si="64"/>
        <v>4400855640000</v>
      </c>
      <c r="F368" s="52" t="b">
        <f t="shared" si="65"/>
        <v>0</v>
      </c>
      <c r="G368" s="224">
        <f t="shared" si="66"/>
        <v>45930</v>
      </c>
      <c r="H368" s="52">
        <f>VLOOKUP( $A368, Aop!$A$2:$P$453, 4, 0)</f>
        <v>627</v>
      </c>
      <c r="I368" s="52">
        <f t="shared" si="67"/>
        <v>2025</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1074440</v>
      </c>
      <c r="E369" s="52" t="str">
        <f t="shared" si="64"/>
        <v>4400855640000</v>
      </c>
      <c r="F369" s="52" t="b">
        <f t="shared" si="65"/>
        <v>0</v>
      </c>
      <c r="G369" s="224">
        <f t="shared" si="66"/>
        <v>45930</v>
      </c>
      <c r="H369" s="52">
        <f>VLOOKUP( $A369, Aop!$A$2:$P$453, 4, 0)</f>
        <v>628</v>
      </c>
      <c r="I369" s="52">
        <f t="shared" si="67"/>
        <v>2025</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1074440</v>
      </c>
      <c r="E370" s="52" t="str">
        <f t="shared" si="64"/>
        <v>4400855640000</v>
      </c>
      <c r="F370" s="52" t="b">
        <f t="shared" si="65"/>
        <v>0</v>
      </c>
      <c r="G370" s="224">
        <f t="shared" si="66"/>
        <v>45930</v>
      </c>
      <c r="H370" s="52">
        <f>VLOOKUP( $A370, Aop!$A$2:$P$453, 4, 0)</f>
        <v>629</v>
      </c>
      <c r="I370" s="52">
        <f t="shared" si="67"/>
        <v>2025</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1074440</v>
      </c>
      <c r="E371" s="52" t="str">
        <f t="shared" si="64"/>
        <v>4400855640000</v>
      </c>
      <c r="F371" s="52" t="b">
        <f t="shared" si="65"/>
        <v>0</v>
      </c>
      <c r="G371" s="224">
        <f t="shared" si="66"/>
        <v>45930</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1074440</v>
      </c>
      <c r="E372" s="52" t="str">
        <f t="shared" si="64"/>
        <v>4400855640000</v>
      </c>
      <c r="F372" s="52" t="b">
        <f t="shared" si="65"/>
        <v>0</v>
      </c>
      <c r="G372" s="224">
        <f t="shared" si="66"/>
        <v>45930</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1074440</v>
      </c>
      <c r="E373" s="52" t="str">
        <f t="shared" si="64"/>
        <v>4400855640000</v>
      </c>
      <c r="F373" s="52" t="b">
        <f t="shared" si="65"/>
        <v>0</v>
      </c>
      <c r="G373" s="224">
        <f t="shared" si="66"/>
        <v>45930</v>
      </c>
      <c r="H373" s="52">
        <f>VLOOKUP( $A373, Aop!$A$2:$P$453, 4, 0)</f>
        <v>632</v>
      </c>
      <c r="I373" s="52">
        <f t="shared" si="67"/>
        <v>2025</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1074440</v>
      </c>
      <c r="E374" s="52" t="str">
        <f t="shared" si="64"/>
        <v>4400855640000</v>
      </c>
      <c r="F374" s="52" t="b">
        <f t="shared" si="65"/>
        <v>0</v>
      </c>
      <c r="G374" s="224">
        <f t="shared" si="66"/>
        <v>45930</v>
      </c>
      <c r="H374" s="52">
        <f>VLOOKUP( $A374, Aop!$A$2:$P$453, 4, 0)</f>
        <v>633</v>
      </c>
      <c r="I374" s="52">
        <f t="shared" si="67"/>
        <v>2025</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1074440</v>
      </c>
      <c r="E375" s="52" t="str">
        <f t="shared" si="64"/>
        <v>4400855640000</v>
      </c>
      <c r="F375" s="52" t="b">
        <f t="shared" si="65"/>
        <v>0</v>
      </c>
      <c r="G375" s="224">
        <f t="shared" si="66"/>
        <v>45930</v>
      </c>
      <c r="H375" s="52">
        <f>VLOOKUP( $A375, Aop!$A$2:$P$453, 4, 0)</f>
        <v>634</v>
      </c>
      <c r="I375" s="52">
        <f t="shared" si="67"/>
        <v>2025</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1074440</v>
      </c>
      <c r="E376" s="52" t="str">
        <f t="shared" si="64"/>
        <v>4400855640000</v>
      </c>
      <c r="F376" s="52" t="b">
        <f t="shared" si="65"/>
        <v>0</v>
      </c>
      <c r="G376" s="224">
        <f t="shared" si="66"/>
        <v>45930</v>
      </c>
      <c r="H376" s="52">
        <f>VLOOKUP( $A376, Aop!$A$2:$P$453, 4, 0)</f>
        <v>635</v>
      </c>
      <c r="I376" s="52">
        <f t="shared" si="67"/>
        <v>2025</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1074440</v>
      </c>
      <c r="E377" s="52" t="str">
        <f t="shared" si="64"/>
        <v>4400855640000</v>
      </c>
      <c r="F377" s="52" t="b">
        <f t="shared" si="65"/>
        <v>0</v>
      </c>
      <c r="G377" s="224">
        <f t="shared" si="66"/>
        <v>45930</v>
      </c>
      <c r="H377" s="52">
        <f>VLOOKUP( $A377, Aop!$A$2:$P$453, 4, 0)</f>
        <v>636</v>
      </c>
      <c r="I377" s="52">
        <f t="shared" si="67"/>
        <v>2025</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1074440</v>
      </c>
      <c r="E378" s="52" t="str">
        <f t="shared" si="64"/>
        <v>4400855640000</v>
      </c>
      <c r="F378" s="52" t="b">
        <f t="shared" si="65"/>
        <v>0</v>
      </c>
      <c r="G378" s="224">
        <f t="shared" si="66"/>
        <v>45930</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1074440</v>
      </c>
      <c r="E379" s="52" t="str">
        <f t="shared" si="64"/>
        <v>4400855640000</v>
      </c>
      <c r="F379" s="52" t="b">
        <f t="shared" si="65"/>
        <v>0</v>
      </c>
      <c r="G379" s="224">
        <f t="shared" si="66"/>
        <v>45930</v>
      </c>
      <c r="H379" s="52">
        <f>VLOOKUP( $A379, Aop!$A$2:$P$453, 4, 0)</f>
        <v>638</v>
      </c>
      <c r="I379" s="52">
        <f t="shared" si="67"/>
        <v>2025</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1074440</v>
      </c>
      <c r="E380" s="52" t="str">
        <f t="shared" si="64"/>
        <v>4400855640000</v>
      </c>
      <c r="F380" s="52" t="b">
        <f t="shared" si="65"/>
        <v>0</v>
      </c>
      <c r="G380" s="224">
        <f t="shared" si="66"/>
        <v>45930</v>
      </c>
      <c r="H380" s="52">
        <f>VLOOKUP( $A380, Aop!$A$2:$P$453, 4, 0)</f>
        <v>639</v>
      </c>
      <c r="I380" s="52">
        <f t="shared" si="67"/>
        <v>2025</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1074440</v>
      </c>
      <c r="E381" s="52" t="str">
        <f t="shared" si="64"/>
        <v>4400855640000</v>
      </c>
      <c r="F381" s="52" t="b">
        <f t="shared" si="65"/>
        <v>0</v>
      </c>
      <c r="G381" s="224">
        <f t="shared" si="66"/>
        <v>45930</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1074440</v>
      </c>
      <c r="E382" s="52" t="str">
        <f t="shared" ref="E382:E408" si="69">Podatak_JIB</f>
        <v>4400855640000</v>
      </c>
      <c r="F382" s="52" t="b">
        <f t="shared" ref="F382:F408" si="70">Konsolidovan_izvjestaj</f>
        <v>0</v>
      </c>
      <c r="G382" s="224">
        <f t="shared" si="66"/>
        <v>45930</v>
      </c>
      <c r="H382" s="52">
        <f>VLOOKUP( $A382, Aop!$A$2:$P$453, 4, 0)</f>
        <v>641</v>
      </c>
      <c r="I382" s="52">
        <f t="shared" ref="I382:I408" si="71">Godina</f>
        <v>2025</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1074440</v>
      </c>
      <c r="E383" s="52" t="str">
        <f t="shared" si="69"/>
        <v>4400855640000</v>
      </c>
      <c r="F383" s="52" t="b">
        <f t="shared" si="70"/>
        <v>0</v>
      </c>
      <c r="G383" s="224">
        <f t="shared" si="66"/>
        <v>45930</v>
      </c>
      <c r="H383" s="52">
        <f>VLOOKUP( $A383, Aop!$A$2:$P$453, 4, 0)</f>
        <v>642</v>
      </c>
      <c r="I383" s="52">
        <f t="shared" si="71"/>
        <v>2025</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1074440</v>
      </c>
      <c r="E384" s="52" t="str">
        <f t="shared" si="69"/>
        <v>4400855640000</v>
      </c>
      <c r="F384" s="52" t="b">
        <f t="shared" si="70"/>
        <v>0</v>
      </c>
      <c r="G384" s="224">
        <f t="shared" si="66"/>
        <v>45930</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1074440</v>
      </c>
      <c r="E385" s="52" t="str">
        <f t="shared" si="69"/>
        <v>4400855640000</v>
      </c>
      <c r="F385" s="52" t="b">
        <f t="shared" si="70"/>
        <v>0</v>
      </c>
      <c r="G385" s="224">
        <f t="shared" si="66"/>
        <v>45930</v>
      </c>
      <c r="H385" s="52">
        <f>VLOOKUP( $A385, Aop!$A$2:$P$453, 4, 0)</f>
        <v>644</v>
      </c>
      <c r="I385" s="52">
        <f t="shared" si="71"/>
        <v>2025</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1074440</v>
      </c>
      <c r="E386" s="52" t="str">
        <f t="shared" si="69"/>
        <v>4400855640000</v>
      </c>
      <c r="F386" s="52" t="b">
        <f t="shared" si="70"/>
        <v>0</v>
      </c>
      <c r="G386" s="224">
        <f t="shared" si="66"/>
        <v>45930</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1074440</v>
      </c>
      <c r="E387" s="52" t="str">
        <f t="shared" si="69"/>
        <v>4400855640000</v>
      </c>
      <c r="F387" s="52" t="b">
        <f t="shared" si="70"/>
        <v>0</v>
      </c>
      <c r="G387" s="224">
        <f t="shared" si="66"/>
        <v>45930</v>
      </c>
      <c r="H387" s="52">
        <f>VLOOKUP( $A387, Aop!$A$2:$P$453, 4, 0)</f>
        <v>646</v>
      </c>
      <c r="I387" s="52">
        <f t="shared" si="71"/>
        <v>2025</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1074440</v>
      </c>
      <c r="E388" s="52" t="str">
        <f t="shared" si="69"/>
        <v>4400855640000</v>
      </c>
      <c r="F388" s="52" t="b">
        <f t="shared" si="70"/>
        <v>0</v>
      </c>
      <c r="G388" s="224">
        <f t="shared" si="66"/>
        <v>45930</v>
      </c>
      <c r="H388" s="52">
        <f>VLOOKUP( $A388, Aop!$A$2:$P$453, 4, 0)</f>
        <v>647</v>
      </c>
      <c r="I388" s="52">
        <f t="shared" si="71"/>
        <v>2025</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1074440</v>
      </c>
      <c r="E389" s="52" t="str">
        <f t="shared" si="69"/>
        <v>4400855640000</v>
      </c>
      <c r="F389" s="52" t="b">
        <f t="shared" si="70"/>
        <v>0</v>
      </c>
      <c r="G389" s="224">
        <f t="shared" si="66"/>
        <v>45930</v>
      </c>
      <c r="H389" s="52">
        <f>VLOOKUP( $A389, Aop!$A$2:$P$453, 4, 0)</f>
        <v>648</v>
      </c>
      <c r="I389" s="52">
        <f t="shared" si="71"/>
        <v>2025</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1074440</v>
      </c>
      <c r="E390" s="52" t="str">
        <f t="shared" si="69"/>
        <v>4400855640000</v>
      </c>
      <c r="F390" s="52" t="b">
        <f t="shared" si="70"/>
        <v>0</v>
      </c>
      <c r="G390" s="224">
        <f t="shared" si="66"/>
        <v>45930</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1074440</v>
      </c>
      <c r="E391" s="52" t="str">
        <f t="shared" si="69"/>
        <v>4400855640000</v>
      </c>
      <c r="F391" s="52" t="b">
        <f t="shared" si="70"/>
        <v>0</v>
      </c>
      <c r="G391" s="224">
        <f t="shared" si="66"/>
        <v>45930</v>
      </c>
      <c r="H391" s="52">
        <f>VLOOKUP( $A391, Aop!$A$2:$P$453, 4, 0)</f>
        <v>650</v>
      </c>
      <c r="I391" s="52">
        <f t="shared" si="71"/>
        <v>2025</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1074440</v>
      </c>
      <c r="E392" s="52" t="str">
        <f t="shared" si="69"/>
        <v>4400855640000</v>
      </c>
      <c r="F392" s="52" t="b">
        <f t="shared" si="70"/>
        <v>0</v>
      </c>
      <c r="G392" s="224">
        <f t="shared" si="66"/>
        <v>45930</v>
      </c>
      <c r="H392" s="52">
        <f>VLOOKUP( $A392, Aop!$A$2:$P$453, 4, 0)</f>
        <v>651</v>
      </c>
      <c r="I392" s="52">
        <f t="shared" si="71"/>
        <v>2025</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1074440</v>
      </c>
      <c r="E393" s="52" t="str">
        <f t="shared" si="69"/>
        <v>4400855640000</v>
      </c>
      <c r="F393" s="52" t="b">
        <f t="shared" si="70"/>
        <v>0</v>
      </c>
      <c r="G393" s="224">
        <f t="shared" si="66"/>
        <v>45930</v>
      </c>
      <c r="H393" s="52">
        <f>VLOOKUP( $A393, Aop!$A$2:$P$453, 4, 0)</f>
        <v>652</v>
      </c>
      <c r="I393" s="52">
        <f t="shared" si="71"/>
        <v>2025</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1074440</v>
      </c>
      <c r="E394" s="52" t="str">
        <f t="shared" si="69"/>
        <v>4400855640000</v>
      </c>
      <c r="F394" s="52" t="b">
        <f t="shared" si="70"/>
        <v>0</v>
      </c>
      <c r="G394" s="224">
        <f t="shared" si="66"/>
        <v>45930</v>
      </c>
      <c r="H394" s="52">
        <f>VLOOKUP( $A394, Aop!$A$2:$P$453, 4, 0)</f>
        <v>653</v>
      </c>
      <c r="I394" s="52">
        <f t="shared" si="71"/>
        <v>2025</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1074440</v>
      </c>
      <c r="E395" s="52" t="str">
        <f t="shared" si="69"/>
        <v>4400855640000</v>
      </c>
      <c r="F395" s="52" t="b">
        <f t="shared" si="70"/>
        <v>0</v>
      </c>
      <c r="G395" s="224">
        <f t="shared" si="66"/>
        <v>45930</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1074440</v>
      </c>
      <c r="E396" s="52" t="str">
        <f t="shared" si="69"/>
        <v>4400855640000</v>
      </c>
      <c r="F396" s="52" t="b">
        <f t="shared" si="70"/>
        <v>0</v>
      </c>
      <c r="G396" s="224">
        <f t="shared" si="66"/>
        <v>45930</v>
      </c>
      <c r="H396" s="52">
        <f>VLOOKUP( $A396, Aop!$A$2:$P$453, 4, 0)</f>
        <v>655</v>
      </c>
      <c r="I396" s="52">
        <f t="shared" si="71"/>
        <v>2025</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1074440</v>
      </c>
      <c r="E397" s="52" t="str">
        <f t="shared" si="69"/>
        <v>4400855640000</v>
      </c>
      <c r="F397" s="52" t="b">
        <f t="shared" si="70"/>
        <v>0</v>
      </c>
      <c r="G397" s="224">
        <f t="shared" si="66"/>
        <v>45930</v>
      </c>
      <c r="H397" s="52">
        <f>VLOOKUP( $A397, Aop!$A$2:$P$453, 4, 0)</f>
        <v>656</v>
      </c>
      <c r="I397" s="52">
        <f t="shared" si="71"/>
        <v>2025</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1074440</v>
      </c>
      <c r="E398" s="52" t="str">
        <f t="shared" si="69"/>
        <v>4400855640000</v>
      </c>
      <c r="F398" s="52" t="b">
        <f t="shared" si="70"/>
        <v>0</v>
      </c>
      <c r="G398" s="224">
        <f t="shared" si="66"/>
        <v>45930</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1074440</v>
      </c>
      <c r="E399" s="52" t="str">
        <f t="shared" si="69"/>
        <v>4400855640000</v>
      </c>
      <c r="F399" s="52" t="b">
        <f t="shared" si="70"/>
        <v>0</v>
      </c>
      <c r="G399" s="224">
        <f t="shared" si="66"/>
        <v>45930</v>
      </c>
      <c r="H399" s="52">
        <f>VLOOKUP( $A399, Aop!$A$2:$P$453, 4, 0)</f>
        <v>658</v>
      </c>
      <c r="I399" s="52">
        <f t="shared" si="71"/>
        <v>2025</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1074440</v>
      </c>
      <c r="E400" s="52" t="str">
        <f t="shared" si="69"/>
        <v>4400855640000</v>
      </c>
      <c r="F400" s="52" t="b">
        <f t="shared" si="70"/>
        <v>0</v>
      </c>
      <c r="G400" s="224">
        <f t="shared" si="66"/>
        <v>45930</v>
      </c>
      <c r="H400" s="52">
        <f>VLOOKUP( $A400, Aop!$A$2:$P$453, 4, 0)</f>
        <v>659</v>
      </c>
      <c r="I400" s="52">
        <f t="shared" si="71"/>
        <v>2025</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1074440</v>
      </c>
      <c r="E401" s="52" t="str">
        <f t="shared" si="69"/>
        <v>4400855640000</v>
      </c>
      <c r="F401" s="52" t="b">
        <f t="shared" si="70"/>
        <v>0</v>
      </c>
      <c r="G401" s="224">
        <f t="shared" si="66"/>
        <v>45930</v>
      </c>
      <c r="H401" s="52">
        <f>VLOOKUP( $A401, Aop!$A$2:$P$453, 4, 0)</f>
        <v>660</v>
      </c>
      <c r="I401" s="52">
        <f t="shared" si="71"/>
        <v>2025</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1074440</v>
      </c>
      <c r="E402" s="52" t="str">
        <f t="shared" si="69"/>
        <v>4400855640000</v>
      </c>
      <c r="F402" s="52" t="b">
        <f t="shared" si="70"/>
        <v>0</v>
      </c>
      <c r="G402" s="224">
        <f t="shared" si="66"/>
        <v>45930</v>
      </c>
      <c r="H402" s="52">
        <f>VLOOKUP( $A402, Aop!$A$2:$P$453, 4, 0)</f>
        <v>661</v>
      </c>
      <c r="I402" s="52">
        <f t="shared" si="71"/>
        <v>2025</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1074440</v>
      </c>
      <c r="E403" s="52" t="str">
        <f t="shared" si="69"/>
        <v>4400855640000</v>
      </c>
      <c r="F403" s="52" t="b">
        <f t="shared" si="70"/>
        <v>0</v>
      </c>
      <c r="G403" s="224">
        <f t="shared" si="66"/>
        <v>45930</v>
      </c>
      <c r="H403" s="52">
        <f>VLOOKUP( $A403, Aop!$A$2:$P$453, 4, 0)</f>
        <v>662</v>
      </c>
      <c r="I403" s="52">
        <f t="shared" si="71"/>
        <v>2025</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1074440</v>
      </c>
      <c r="E404" s="52" t="str">
        <f t="shared" si="69"/>
        <v>4400855640000</v>
      </c>
      <c r="F404" s="52" t="b">
        <f t="shared" si="70"/>
        <v>0</v>
      </c>
      <c r="G404" s="224">
        <f t="shared" si="66"/>
        <v>45930</v>
      </c>
      <c r="H404" s="52">
        <f>VLOOKUP( $A404, Aop!$A$2:$P$453, 4, 0)</f>
        <v>663</v>
      </c>
      <c r="I404" s="52">
        <f t="shared" si="71"/>
        <v>2025</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1074440</v>
      </c>
      <c r="E405" s="52" t="str">
        <f t="shared" si="69"/>
        <v>4400855640000</v>
      </c>
      <c r="F405" s="52" t="b">
        <f t="shared" si="70"/>
        <v>0</v>
      </c>
      <c r="G405" s="224">
        <f t="shared" si="66"/>
        <v>45930</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1074440</v>
      </c>
      <c r="E406" s="52" t="str">
        <f t="shared" si="69"/>
        <v>4400855640000</v>
      </c>
      <c r="F406" s="52" t="b">
        <f t="shared" si="70"/>
        <v>0</v>
      </c>
      <c r="G406" s="224">
        <f t="shared" si="66"/>
        <v>45930</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1074440</v>
      </c>
      <c r="E407" s="52" t="str">
        <f t="shared" si="69"/>
        <v>4400855640000</v>
      </c>
      <c r="F407" s="52" t="b">
        <f t="shared" si="70"/>
        <v>0</v>
      </c>
      <c r="G407" s="224">
        <f t="shared" si="66"/>
        <v>45930</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1074440</v>
      </c>
      <c r="E408" s="52" t="str">
        <f t="shared" si="69"/>
        <v>4400855640000</v>
      </c>
      <c r="F408" s="52" t="b">
        <f t="shared" si="70"/>
        <v>0</v>
      </c>
      <c r="G408" s="224">
        <f t="shared" si="66"/>
        <v>45930</v>
      </c>
      <c r="H408" s="52">
        <f>VLOOKUP( $A408, Aop!$A$2:$P$453, 4, 0)</f>
        <v>667</v>
      </c>
      <c r="I408" s="52">
        <f t="shared" si="71"/>
        <v>2025</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1074440</v>
      </c>
      <c r="D2" s="55" t="str">
        <f t="shared" ref="D2:D20" si="1">Podatak_JIB</f>
        <v>4400855640000</v>
      </c>
      <c r="E2" s="55" t="b">
        <f t="shared" ref="E2:E20" si="2">Konsolidovan_izvjestaj</f>
        <v>0</v>
      </c>
      <c r="F2" s="11">
        <f>VLOOKUP( $A2, Aop!$A$2:$P$453, 4, 0)</f>
        <v>0</v>
      </c>
      <c r="G2" s="55">
        <f t="shared" ref="G2:G20" si="3">Godina</f>
        <v>2025</v>
      </c>
      <c r="H2" s="139">
        <f t="shared" ref="H2:H20" si="4">Datum_Broj</f>
        <v>45930</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1074440</v>
      </c>
      <c r="D3" s="55" t="str">
        <f t="shared" si="1"/>
        <v>4400855640000</v>
      </c>
      <c r="E3" s="55" t="b">
        <f t="shared" si="2"/>
        <v>0</v>
      </c>
      <c r="F3" s="11">
        <f>VLOOKUP( $A3, Aop!$A$2:$P$453, 4, 0)</f>
        <v>901</v>
      </c>
      <c r="G3" s="55">
        <f t="shared" si="3"/>
        <v>2025</v>
      </c>
      <c r="H3" s="139">
        <f t="shared" si="4"/>
        <v>45930</v>
      </c>
      <c r="I3" s="55">
        <v>30</v>
      </c>
      <c r="J3" s="52" t="str">
        <f t="shared" ref="J3:S19" ca="1" si="5">IF(VLOOKUP($F3,INDIRECT("Lookup_"&amp;$B3),J$1-1,0)="","",VLOOKUP($F3,INDIRECT("Lookup_"&amp;$B3),J$1-1,0))</f>
        <v/>
      </c>
      <c r="K3" s="52" t="str">
        <f t="shared" ca="1" si="5"/>
        <v/>
      </c>
      <c r="L3" s="52" t="str">
        <f t="shared" ca="1" si="5"/>
        <v/>
      </c>
      <c r="M3" s="52" t="str">
        <f t="shared" ca="1" si="5"/>
        <v/>
      </c>
      <c r="N3" s="52" t="str">
        <f t="shared" ca="1" si="5"/>
        <v/>
      </c>
      <c r="O3" s="52" t="str">
        <f t="shared" ca="1" si="5"/>
        <v/>
      </c>
      <c r="P3" s="52" t="str">
        <f t="shared" ca="1" si="5"/>
        <v/>
      </c>
      <c r="Q3" s="52">
        <f t="shared" ca="1" si="5"/>
        <v>0</v>
      </c>
      <c r="R3" s="52" t="str">
        <f t="shared" ca="1" si="5"/>
        <v/>
      </c>
      <c r="S3" s="52">
        <f t="shared" ca="1" si="5"/>
        <v>0</v>
      </c>
    </row>
    <row r="4" spans="1:19" x14ac:dyDescent="0.2">
      <c r="A4" s="106">
        <v>421</v>
      </c>
      <c r="B4" s="107" t="str">
        <f>VLOOKUP( $A4, Aop!$A$2:$P$453, 2, 0)</f>
        <v>BPK</v>
      </c>
      <c r="C4" s="55" t="str">
        <f t="shared" si="0"/>
        <v>1074440</v>
      </c>
      <c r="D4" s="55" t="str">
        <f t="shared" si="1"/>
        <v>4400855640000</v>
      </c>
      <c r="E4" s="55" t="b">
        <f t="shared" si="2"/>
        <v>0</v>
      </c>
      <c r="F4" s="11">
        <f>VLOOKUP( $A4, Aop!$A$2:$P$453, 4, 0)</f>
        <v>0</v>
      </c>
      <c r="G4" s="55">
        <f t="shared" si="3"/>
        <v>2025</v>
      </c>
      <c r="H4" s="139">
        <f t="shared" si="4"/>
        <v>45930</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1074440</v>
      </c>
      <c r="D5" s="55" t="str">
        <f t="shared" si="1"/>
        <v>4400855640000</v>
      </c>
      <c r="E5" s="55" t="b">
        <f t="shared" si="2"/>
        <v>0</v>
      </c>
      <c r="F5" s="11">
        <f>VLOOKUP( $A5, Aop!$A$2:$P$453, 4, 0)</f>
        <v>902</v>
      </c>
      <c r="G5" s="55">
        <f t="shared" si="3"/>
        <v>2025</v>
      </c>
      <c r="H5" s="139">
        <f t="shared" si="4"/>
        <v>45930</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1074440</v>
      </c>
      <c r="D6" s="55" t="str">
        <f t="shared" si="1"/>
        <v>4400855640000</v>
      </c>
      <c r="E6" s="55" t="b">
        <f t="shared" si="2"/>
        <v>0</v>
      </c>
      <c r="F6" s="11">
        <f>VLOOKUP( $A6, Aop!$A$2:$P$453, 4, 0)</f>
        <v>903</v>
      </c>
      <c r="G6" s="55">
        <f t="shared" si="3"/>
        <v>2025</v>
      </c>
      <c r="H6" s="139">
        <f t="shared" si="4"/>
        <v>45930</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1074440</v>
      </c>
      <c r="D7" s="55" t="str">
        <f t="shared" si="1"/>
        <v>4400855640000</v>
      </c>
      <c r="E7" s="55" t="b">
        <f t="shared" si="2"/>
        <v>0</v>
      </c>
      <c r="F7" s="11">
        <f>VLOOKUP( $A7, Aop!$A$2:$P$453, 4, 0)</f>
        <v>904</v>
      </c>
      <c r="G7" s="55">
        <f t="shared" si="3"/>
        <v>2025</v>
      </c>
      <c r="H7" s="139">
        <f t="shared" si="4"/>
        <v>45930</v>
      </c>
      <c r="I7" s="55">
        <v>30</v>
      </c>
      <c r="J7" s="52">
        <f t="shared" ca="1" si="5"/>
        <v>0</v>
      </c>
      <c r="K7" s="52">
        <f t="shared" ca="1" si="5"/>
        <v>0</v>
      </c>
      <c r="L7" s="52">
        <f t="shared" ca="1" si="5"/>
        <v>0</v>
      </c>
      <c r="M7" s="52">
        <f t="shared" ca="1" si="5"/>
        <v>0</v>
      </c>
      <c r="N7" s="52">
        <f t="shared" ca="1" si="5"/>
        <v>0</v>
      </c>
      <c r="O7" s="52">
        <f t="shared" ca="1" si="5"/>
        <v>0</v>
      </c>
      <c r="P7" s="52">
        <f t="shared" ca="1" si="5"/>
        <v>0</v>
      </c>
      <c r="Q7" s="52">
        <f t="shared" ca="1" si="5"/>
        <v>0</v>
      </c>
      <c r="R7" s="52">
        <f t="shared" ca="1" si="5"/>
        <v>0</v>
      </c>
      <c r="S7" s="52">
        <f t="shared" ca="1" si="5"/>
        <v>0</v>
      </c>
    </row>
    <row r="8" spans="1:19" x14ac:dyDescent="0.2">
      <c r="A8" s="106">
        <v>425</v>
      </c>
      <c r="B8" s="107" t="str">
        <f>VLOOKUP( $A8, Aop!$A$2:$P$453, 2, 0)</f>
        <v>BPK</v>
      </c>
      <c r="C8" s="55" t="str">
        <f t="shared" si="0"/>
        <v>1074440</v>
      </c>
      <c r="D8" s="55" t="str">
        <f t="shared" si="1"/>
        <v>4400855640000</v>
      </c>
      <c r="E8" s="55" t="b">
        <f t="shared" si="2"/>
        <v>0</v>
      </c>
      <c r="F8" s="11">
        <f>VLOOKUP( $A8, Aop!$A$2:$P$453, 4, 0)</f>
        <v>0</v>
      </c>
      <c r="G8" s="55">
        <f t="shared" si="3"/>
        <v>2025</v>
      </c>
      <c r="H8" s="139">
        <f t="shared" si="4"/>
        <v>45930</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1074440</v>
      </c>
      <c r="D9" s="55" t="str">
        <f t="shared" si="1"/>
        <v>4400855640000</v>
      </c>
      <c r="E9" s="55" t="b">
        <f t="shared" si="2"/>
        <v>0</v>
      </c>
      <c r="F9" s="11">
        <f>VLOOKUP( $A9, Aop!$A$2:$P$453, 4, 0)</f>
        <v>905</v>
      </c>
      <c r="G9" s="55">
        <f t="shared" si="3"/>
        <v>2025</v>
      </c>
      <c r="H9" s="139">
        <f t="shared" si="4"/>
        <v>45930</v>
      </c>
      <c r="I9" s="55">
        <v>30</v>
      </c>
      <c r="J9" s="52" t="str">
        <f t="shared" ca="1" si="5"/>
        <v/>
      </c>
      <c r="K9" s="52" t="str">
        <f t="shared" ca="1" si="5"/>
        <v/>
      </c>
      <c r="L9" s="52" t="str">
        <f t="shared" ca="1" si="5"/>
        <v/>
      </c>
      <c r="M9" s="52" t="str">
        <f t="shared" ca="1" si="5"/>
        <v/>
      </c>
      <c r="N9" s="52" t="str">
        <f t="shared" ca="1" si="5"/>
        <v/>
      </c>
      <c r="O9" s="52" t="str">
        <f t="shared" ca="1" si="5"/>
        <v/>
      </c>
      <c r="P9" s="52" t="str">
        <f t="shared" ca="1" si="5"/>
        <v/>
      </c>
      <c r="Q9" s="52">
        <f t="shared" ca="1" si="5"/>
        <v>0</v>
      </c>
      <c r="R9" s="52" t="str">
        <f t="shared" ca="1" si="5"/>
        <v/>
      </c>
      <c r="S9" s="52">
        <f t="shared" ca="1" si="5"/>
        <v>0</v>
      </c>
    </row>
    <row r="10" spans="1:19" x14ac:dyDescent="0.2">
      <c r="A10" s="106">
        <v>427</v>
      </c>
      <c r="B10" s="107" t="str">
        <f>VLOOKUP( $A10, Aop!$A$2:$P$453, 2, 0)</f>
        <v>BPK</v>
      </c>
      <c r="C10" s="55" t="str">
        <f t="shared" si="0"/>
        <v>1074440</v>
      </c>
      <c r="D10" s="55" t="str">
        <f t="shared" si="1"/>
        <v>4400855640000</v>
      </c>
      <c r="E10" s="55" t="b">
        <f t="shared" si="2"/>
        <v>0</v>
      </c>
      <c r="F10" s="11">
        <f>VLOOKUP( $A10, Aop!$A$2:$P$453, 4, 0)</f>
        <v>906</v>
      </c>
      <c r="G10" s="55">
        <f t="shared" si="3"/>
        <v>2025</v>
      </c>
      <c r="H10" s="139">
        <f t="shared" si="4"/>
        <v>45930</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1074440</v>
      </c>
      <c r="D11" s="55" t="str">
        <f t="shared" si="1"/>
        <v>4400855640000</v>
      </c>
      <c r="E11" s="55" t="b">
        <f t="shared" si="2"/>
        <v>0</v>
      </c>
      <c r="F11" s="11">
        <f>VLOOKUP( $A11, Aop!$A$2:$P$453, 4, 0)</f>
        <v>907</v>
      </c>
      <c r="G11" s="55">
        <f t="shared" si="3"/>
        <v>2025</v>
      </c>
      <c r="H11" s="139">
        <f t="shared" si="4"/>
        <v>45930</v>
      </c>
      <c r="I11" s="55">
        <v>30</v>
      </c>
      <c r="J11" s="52">
        <f t="shared" ca="1" si="5"/>
        <v>0</v>
      </c>
      <c r="K11" s="52">
        <f t="shared" ca="1" si="5"/>
        <v>0</v>
      </c>
      <c r="L11" s="52">
        <f t="shared" ca="1" si="5"/>
        <v>0</v>
      </c>
      <c r="M11" s="52">
        <f t="shared" ca="1" si="5"/>
        <v>0</v>
      </c>
      <c r="N11" s="52">
        <f t="shared" ca="1" si="5"/>
        <v>0</v>
      </c>
      <c r="O11" s="52">
        <f t="shared" ca="1" si="5"/>
        <v>0</v>
      </c>
      <c r="P11" s="52">
        <f t="shared" ca="1" si="5"/>
        <v>0</v>
      </c>
      <c r="Q11" s="52">
        <f t="shared" ca="1" si="5"/>
        <v>0</v>
      </c>
      <c r="R11" s="52">
        <f t="shared" ca="1" si="5"/>
        <v>0</v>
      </c>
      <c r="S11" s="52">
        <f t="shared" ca="1" si="5"/>
        <v>0</v>
      </c>
    </row>
    <row r="12" spans="1:19" x14ac:dyDescent="0.2">
      <c r="A12" s="106">
        <v>429</v>
      </c>
      <c r="B12" s="107" t="str">
        <f>VLOOKUP( $A12, Aop!$A$2:$P$453, 2, 0)</f>
        <v>BPK</v>
      </c>
      <c r="C12" s="55" t="str">
        <f t="shared" si="0"/>
        <v>1074440</v>
      </c>
      <c r="D12" s="55" t="str">
        <f t="shared" si="1"/>
        <v>4400855640000</v>
      </c>
      <c r="E12" s="55" t="b">
        <f t="shared" si="2"/>
        <v>0</v>
      </c>
      <c r="F12" s="11">
        <f>VLOOKUP( $A12, Aop!$A$2:$P$453, 4, 0)</f>
        <v>0</v>
      </c>
      <c r="G12" s="55">
        <f t="shared" si="3"/>
        <v>2025</v>
      </c>
      <c r="H12" s="139">
        <f t="shared" si="4"/>
        <v>45930</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1074440</v>
      </c>
      <c r="D13" s="55" t="str">
        <f t="shared" si="1"/>
        <v>4400855640000</v>
      </c>
      <c r="E13" s="55" t="b">
        <f t="shared" si="2"/>
        <v>0</v>
      </c>
      <c r="F13" s="11">
        <f>VLOOKUP( $A13, Aop!$A$2:$P$453, 4, 0)</f>
        <v>908</v>
      </c>
      <c r="G13" s="55">
        <f t="shared" si="3"/>
        <v>2025</v>
      </c>
      <c r="H13" s="139">
        <f t="shared" si="4"/>
        <v>45930</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1074440</v>
      </c>
      <c r="D14" s="55" t="str">
        <f t="shared" si="1"/>
        <v>4400855640000</v>
      </c>
      <c r="E14" s="55" t="b">
        <f t="shared" si="2"/>
        <v>0</v>
      </c>
      <c r="F14" s="11">
        <f>VLOOKUP( $A14, Aop!$A$2:$P$453, 4, 0)</f>
        <v>909</v>
      </c>
      <c r="G14" s="55">
        <f t="shared" si="3"/>
        <v>2025</v>
      </c>
      <c r="H14" s="139">
        <f t="shared" si="4"/>
        <v>45930</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1074440</v>
      </c>
      <c r="D15" s="55" t="str">
        <f t="shared" si="1"/>
        <v>4400855640000</v>
      </c>
      <c r="E15" s="55" t="b">
        <f t="shared" si="2"/>
        <v>0</v>
      </c>
      <c r="F15" s="11">
        <f>VLOOKUP( $A15, Aop!$A$2:$P$453, 4, 0)</f>
        <v>910</v>
      </c>
      <c r="G15" s="55">
        <f t="shared" si="3"/>
        <v>2025</v>
      </c>
      <c r="H15" s="139">
        <f t="shared" si="4"/>
        <v>45930</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1074440</v>
      </c>
      <c r="D16" s="55" t="str">
        <f t="shared" si="1"/>
        <v>4400855640000</v>
      </c>
      <c r="E16" s="55" t="b">
        <f t="shared" si="2"/>
        <v>0</v>
      </c>
      <c r="F16" s="11">
        <f>VLOOKUP( $A16, Aop!$A$2:$P$453, 4, 0)</f>
        <v>911</v>
      </c>
      <c r="G16" s="55">
        <f t="shared" si="3"/>
        <v>2025</v>
      </c>
      <c r="H16" s="139">
        <f t="shared" si="4"/>
        <v>45930</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1074440</v>
      </c>
      <c r="D17" s="55" t="str">
        <f t="shared" si="1"/>
        <v>4400855640000</v>
      </c>
      <c r="E17" s="55" t="b">
        <f t="shared" si="2"/>
        <v>0</v>
      </c>
      <c r="F17" s="11">
        <f>VLOOKUP( $A17, Aop!$A$2:$P$453, 4, 0)</f>
        <v>912</v>
      </c>
      <c r="G17" s="55">
        <f t="shared" si="3"/>
        <v>2025</v>
      </c>
      <c r="H17" s="139">
        <f t="shared" si="4"/>
        <v>45930</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1074440</v>
      </c>
      <c r="D18" s="55" t="str">
        <f t="shared" si="1"/>
        <v>4400855640000</v>
      </c>
      <c r="E18" s="55" t="b">
        <f t="shared" si="2"/>
        <v>0</v>
      </c>
      <c r="F18" s="11">
        <f>VLOOKUP( $A18, Aop!$A$2:$P$453, 4, 0)</f>
        <v>0</v>
      </c>
      <c r="G18" s="55">
        <f t="shared" si="3"/>
        <v>2025</v>
      </c>
      <c r="H18" s="139">
        <f t="shared" si="4"/>
        <v>45930</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1074440</v>
      </c>
      <c r="D19" s="55" t="str">
        <f t="shared" si="1"/>
        <v>4400855640000</v>
      </c>
      <c r="E19" s="55" t="b">
        <f t="shared" si="2"/>
        <v>0</v>
      </c>
      <c r="F19" s="11">
        <f>VLOOKUP( $A19, Aop!$A$2:$P$453, 4, 0)</f>
        <v>913</v>
      </c>
      <c r="G19" s="55">
        <f t="shared" si="3"/>
        <v>2025</v>
      </c>
      <c r="H19" s="139">
        <f t="shared" si="4"/>
        <v>45930</v>
      </c>
      <c r="I19" s="55">
        <v>30</v>
      </c>
      <c r="J19" s="52">
        <f t="shared" ca="1" si="5"/>
        <v>0</v>
      </c>
      <c r="K19" s="52">
        <f t="shared" ca="1" si="5"/>
        <v>0</v>
      </c>
      <c r="L19" s="52">
        <f t="shared" ca="1" si="5"/>
        <v>0</v>
      </c>
      <c r="M19" s="52">
        <f t="shared" ca="1" si="5"/>
        <v>0</v>
      </c>
      <c r="N19" s="52">
        <f t="shared" ca="1" si="5"/>
        <v>0</v>
      </c>
      <c r="O19" s="52">
        <f t="shared" ca="1" si="5"/>
        <v>0</v>
      </c>
      <c r="P19" s="52">
        <f t="shared" ca="1" si="5"/>
        <v>0</v>
      </c>
      <c r="Q19" s="52">
        <f t="shared" ca="1" si="5"/>
        <v>0</v>
      </c>
      <c r="R19" s="52">
        <f t="shared" ca="1" si="5"/>
        <v>0</v>
      </c>
      <c r="S19" s="52">
        <f t="shared" ca="1" si="5"/>
        <v>0</v>
      </c>
    </row>
    <row r="20" spans="1:19" x14ac:dyDescent="0.2">
      <c r="A20" s="106">
        <v>437</v>
      </c>
      <c r="B20" s="112" t="str">
        <f>VLOOKUP( $A20, Aop!$A$2:$P$453, 2, 0)</f>
        <v>BPK</v>
      </c>
      <c r="C20" s="55" t="str">
        <f t="shared" si="0"/>
        <v>1074440</v>
      </c>
      <c r="D20" s="55" t="str">
        <f t="shared" si="1"/>
        <v>4400855640000</v>
      </c>
      <c r="E20" s="55" t="b">
        <f t="shared" si="2"/>
        <v>0</v>
      </c>
      <c r="F20" s="11">
        <f>VLOOKUP( $A20, Aop!$A$2:$P$453, 4, 0)</f>
        <v>0</v>
      </c>
      <c r="G20" s="55">
        <f t="shared" si="3"/>
        <v>2025</v>
      </c>
      <c r="H20" s="139">
        <f t="shared" si="4"/>
        <v>45930</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1074440</v>
      </c>
      <c r="D21" s="52" t="str">
        <f t="shared" ref="D21:D35" si="7">Podatak_JIB</f>
        <v>4400855640000</v>
      </c>
      <c r="E21" s="52" t="b">
        <f t="shared" ref="E21:E35" si="8">Konsolidovan_izvjestaj</f>
        <v>0</v>
      </c>
      <c r="F21" s="11">
        <f>VLOOKUP( $A21, Aop!$A$2:$P$453, 4, 0)</f>
        <v>914</v>
      </c>
      <c r="G21" s="52">
        <f t="shared" ref="G21:G35" si="9">Godina</f>
        <v>2025</v>
      </c>
      <c r="H21" s="224">
        <f t="shared" ref="H21:H35" si="10">Datum_Broj</f>
        <v>45930</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1074440</v>
      </c>
      <c r="D22" s="52" t="str">
        <f t="shared" si="7"/>
        <v>4400855640000</v>
      </c>
      <c r="E22" s="52" t="b">
        <f t="shared" si="8"/>
        <v>0</v>
      </c>
      <c r="F22" s="11">
        <f>VLOOKUP( $A22, Aop!$A$2:$P$453, 4, 0)</f>
        <v>915</v>
      </c>
      <c r="G22" s="52">
        <f t="shared" si="9"/>
        <v>2025</v>
      </c>
      <c r="H22" s="224">
        <f t="shared" si="10"/>
        <v>45930</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1074440</v>
      </c>
      <c r="D23" s="52" t="str">
        <f t="shared" si="7"/>
        <v>4400855640000</v>
      </c>
      <c r="E23" s="52" t="b">
        <f t="shared" si="8"/>
        <v>0</v>
      </c>
      <c r="F23" s="11">
        <f>VLOOKUP( $A23, Aop!$A$2:$P$453, 4, 0)</f>
        <v>916</v>
      </c>
      <c r="G23" s="52">
        <f t="shared" si="9"/>
        <v>2025</v>
      </c>
      <c r="H23" s="224">
        <f t="shared" si="10"/>
        <v>45930</v>
      </c>
      <c r="I23" s="55">
        <v>30</v>
      </c>
      <c r="J23" s="52">
        <f t="shared" ca="1" si="11"/>
        <v>0</v>
      </c>
      <c r="K23" s="52">
        <f t="shared" ca="1" si="11"/>
        <v>0</v>
      </c>
      <c r="L23" s="52">
        <f t="shared" ca="1" si="11"/>
        <v>0</v>
      </c>
      <c r="M23" s="52">
        <f t="shared" ca="1" si="11"/>
        <v>0</v>
      </c>
      <c r="N23" s="52">
        <f t="shared" ca="1" si="11"/>
        <v>0</v>
      </c>
      <c r="O23" s="52">
        <f t="shared" ca="1" si="11"/>
        <v>0</v>
      </c>
      <c r="P23" s="52">
        <f t="shared" ca="1" si="11"/>
        <v>0</v>
      </c>
      <c r="Q23" s="52">
        <f t="shared" ca="1" si="11"/>
        <v>0</v>
      </c>
      <c r="R23" s="52">
        <f t="shared" ca="1" si="11"/>
        <v>0</v>
      </c>
      <c r="S23" s="52">
        <f t="shared" ca="1" si="11"/>
        <v>0</v>
      </c>
    </row>
    <row r="24" spans="1:19" x14ac:dyDescent="0.2">
      <c r="A24" s="106">
        <v>441</v>
      </c>
      <c r="B24" s="225" t="str">
        <f>VLOOKUP( $A24, Aop!$A$2:$P$453, 2, 0)</f>
        <v>BPK</v>
      </c>
      <c r="C24" s="52" t="str">
        <f t="shared" si="6"/>
        <v>1074440</v>
      </c>
      <c r="D24" s="52" t="str">
        <f t="shared" si="7"/>
        <v>4400855640000</v>
      </c>
      <c r="E24" s="52" t="b">
        <f t="shared" si="8"/>
        <v>0</v>
      </c>
      <c r="F24" s="11">
        <f>VLOOKUP( $A24, Aop!$A$2:$P$453, 4, 0)</f>
        <v>0</v>
      </c>
      <c r="G24" s="52">
        <f t="shared" si="9"/>
        <v>2025</v>
      </c>
      <c r="H24" s="224">
        <f t="shared" si="10"/>
        <v>45930</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1074440</v>
      </c>
      <c r="D25" s="52" t="str">
        <f t="shared" ref="D25:D34" si="13">Podatak_JIB</f>
        <v>4400855640000</v>
      </c>
      <c r="E25" s="52" t="b">
        <f t="shared" ref="E25:E34" si="14">Konsolidovan_izvjestaj</f>
        <v>0</v>
      </c>
      <c r="F25" s="11">
        <f>VLOOKUP( $A25, Aop!$A$2:$P$453, 4, 0)</f>
        <v>917</v>
      </c>
      <c r="G25" s="52">
        <f t="shared" ref="G25:G34" si="15">Godina</f>
        <v>2025</v>
      </c>
      <c r="H25" s="224">
        <f t="shared" ref="H25:H34" si="16">Datum_Broj</f>
        <v>45930</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1074440</v>
      </c>
      <c r="D26" s="52" t="str">
        <f t="shared" si="13"/>
        <v>4400855640000</v>
      </c>
      <c r="E26" s="52" t="b">
        <f t="shared" si="14"/>
        <v>0</v>
      </c>
      <c r="F26" s="11">
        <f>VLOOKUP( $A26, Aop!$A$2:$P$453, 4, 0)</f>
        <v>918</v>
      </c>
      <c r="G26" s="52">
        <f t="shared" si="15"/>
        <v>2025</v>
      </c>
      <c r="H26" s="224">
        <f t="shared" si="16"/>
        <v>45930</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1074440</v>
      </c>
      <c r="D27" s="52" t="str">
        <f t="shared" si="13"/>
        <v>4400855640000</v>
      </c>
      <c r="E27" s="52" t="b">
        <f t="shared" si="14"/>
        <v>0</v>
      </c>
      <c r="F27" s="11">
        <f>VLOOKUP( $A27, Aop!$A$2:$P$453, 4, 0)</f>
        <v>919</v>
      </c>
      <c r="G27" s="52">
        <f t="shared" si="15"/>
        <v>2025</v>
      </c>
      <c r="H27" s="224">
        <f t="shared" si="16"/>
        <v>45930</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1074440</v>
      </c>
      <c r="D28" s="52" t="str">
        <f t="shared" si="13"/>
        <v>4400855640000</v>
      </c>
      <c r="E28" s="52" t="b">
        <f t="shared" si="14"/>
        <v>0</v>
      </c>
      <c r="F28" s="11">
        <f>VLOOKUP( $A28, Aop!$A$2:$P$453, 4, 0)</f>
        <v>0</v>
      </c>
      <c r="G28" s="52">
        <f t="shared" si="15"/>
        <v>2025</v>
      </c>
      <c r="H28" s="224">
        <f t="shared" si="16"/>
        <v>45930</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1074440</v>
      </c>
      <c r="D29" s="52" t="str">
        <f t="shared" si="13"/>
        <v>4400855640000</v>
      </c>
      <c r="E29" s="52" t="b">
        <f t="shared" si="14"/>
        <v>0</v>
      </c>
      <c r="F29" s="11">
        <f>VLOOKUP( $A29, Aop!$A$2:$P$453, 4, 0)</f>
        <v>920</v>
      </c>
      <c r="G29" s="52">
        <f t="shared" si="15"/>
        <v>2025</v>
      </c>
      <c r="H29" s="224">
        <f t="shared" si="16"/>
        <v>45930</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1074440</v>
      </c>
      <c r="D30" s="52" t="str">
        <f t="shared" si="13"/>
        <v>4400855640000</v>
      </c>
      <c r="E30" s="52" t="b">
        <f t="shared" si="14"/>
        <v>0</v>
      </c>
      <c r="F30" s="11">
        <f>VLOOKUP( $A30, Aop!$A$2:$P$453, 4, 0)</f>
        <v>921</v>
      </c>
      <c r="G30" s="52">
        <f t="shared" si="15"/>
        <v>2025</v>
      </c>
      <c r="H30" s="224">
        <f t="shared" si="16"/>
        <v>45930</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1074440</v>
      </c>
      <c r="D31" s="52" t="str">
        <f t="shared" si="13"/>
        <v>4400855640000</v>
      </c>
      <c r="E31" s="52" t="b">
        <f t="shared" si="14"/>
        <v>0</v>
      </c>
      <c r="F31" s="11">
        <f>VLOOKUP( $A31, Aop!$A$2:$P$453, 4, 0)</f>
        <v>922</v>
      </c>
      <c r="G31" s="52">
        <f t="shared" si="15"/>
        <v>2025</v>
      </c>
      <c r="H31" s="224">
        <f t="shared" si="16"/>
        <v>45930</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1074440</v>
      </c>
      <c r="D32" s="52" t="str">
        <f t="shared" si="13"/>
        <v>4400855640000</v>
      </c>
      <c r="E32" s="52" t="b">
        <f t="shared" si="14"/>
        <v>0</v>
      </c>
      <c r="F32" s="11">
        <f>VLOOKUP( $A32, Aop!$A$2:$P$453, 4, 0)</f>
        <v>923</v>
      </c>
      <c r="G32" s="52">
        <f t="shared" si="15"/>
        <v>2025</v>
      </c>
      <c r="H32" s="224">
        <f t="shared" si="16"/>
        <v>45930</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1074440</v>
      </c>
      <c r="D33" s="52" t="str">
        <f t="shared" si="13"/>
        <v>4400855640000</v>
      </c>
      <c r="E33" s="52" t="b">
        <f t="shared" si="14"/>
        <v>0</v>
      </c>
      <c r="F33" s="11">
        <f>VLOOKUP( $A33, Aop!$A$2:$P$453, 4, 0)</f>
        <v>924</v>
      </c>
      <c r="G33" s="52">
        <f t="shared" si="15"/>
        <v>2025</v>
      </c>
      <c r="H33" s="224">
        <f t="shared" si="16"/>
        <v>45930</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1074440</v>
      </c>
      <c r="D34" s="52" t="str">
        <f t="shared" si="13"/>
        <v>4400855640000</v>
      </c>
      <c r="E34" s="52" t="b">
        <f t="shared" si="14"/>
        <v>0</v>
      </c>
      <c r="F34" s="11">
        <f>VLOOKUP( $A34, Aop!$A$2:$P$453, 4, 0)</f>
        <v>0</v>
      </c>
      <c r="G34" s="52">
        <f t="shared" si="15"/>
        <v>2025</v>
      </c>
      <c r="H34" s="224">
        <f t="shared" si="16"/>
        <v>45930</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1074440</v>
      </c>
      <c r="D35" s="52" t="str">
        <f t="shared" si="7"/>
        <v>4400855640000</v>
      </c>
      <c r="E35" s="52" t="b">
        <f t="shared" si="8"/>
        <v>0</v>
      </c>
      <c r="F35" s="11">
        <f>VLOOKUP( $A35, Aop!$A$2:$P$453, 4, 0)</f>
        <v>925</v>
      </c>
      <c r="G35" s="52">
        <f t="shared" si="9"/>
        <v>2025</v>
      </c>
      <c r="H35" s="224">
        <f t="shared" si="10"/>
        <v>45930</v>
      </c>
      <c r="I35" s="55">
        <v>30</v>
      </c>
      <c r="J35" s="52">
        <f t="shared" ref="J35:S35" ca="1" si="18">IF(VLOOKUP($F35,INDIRECT("Lookup_"&amp;$B35),J$1-1,0)="","",VLOOKUP($F35,INDIRECT("Lookup_"&amp;$B35),J$1-1,0))</f>
        <v>0</v>
      </c>
      <c r="K35" s="52">
        <f t="shared" ca="1" si="18"/>
        <v>0</v>
      </c>
      <c r="L35" s="52">
        <f t="shared" ca="1" si="18"/>
        <v>0</v>
      </c>
      <c r="M35" s="52">
        <f t="shared" ca="1" si="18"/>
        <v>0</v>
      </c>
      <c r="N35" s="52">
        <f t="shared" ca="1" si="18"/>
        <v>0</v>
      </c>
      <c r="O35" s="52">
        <f t="shared" ca="1" si="18"/>
        <v>0</v>
      </c>
      <c r="P35" s="52">
        <f t="shared" ca="1" si="18"/>
        <v>0</v>
      </c>
      <c r="Q35" s="52">
        <f t="shared" ca="1" si="18"/>
        <v>0</v>
      </c>
      <c r="R35" s="52">
        <f t="shared" ca="1" si="18"/>
        <v>0</v>
      </c>
      <c r="S35" s="52">
        <f t="shared" ca="1" si="18"/>
        <v>0</v>
      </c>
    </row>
  </sheetData>
  <sheetProtection algorithmName="SHA-512" hashValue="N8KQiGhchAFVwnrPHbY6mQoOo7hLUP0jKjZu+ZYE8DGcKxZ2fYr9qrVJP2XphdFIvQx7TuGlhVCu8L6EDhdnZg==" saltValue="QZ1mApl38IRyH1yX1ZNq9w=="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1163187079</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690458708</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472728371</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479751513</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30359854</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18978718</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11381136</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12762570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1110722</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1110722</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26609938</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17867996</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8741942</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10367487</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2639194</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2639194</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2395083</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1120046989</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658870640</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461176349</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466816305</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12411087</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12411087</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12387150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376733155</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241272175</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135460980</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139356098</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658251571</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417598465</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240653106</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245366983</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25817</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25817</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25817</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72625359</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72625359</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69680257</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IF(AND([0]!Godina=2025,MID(Osnovni_podaci!D20,3,1)="S",Osnovni_podaci!L24=4,Osnovni_podaci!G24=0,MID(Osnovni_podaci!D20,3,1)="S",MID(Osnovni_podaci!D20,8,1)="k"),VLOOKUP( T_ApifImport[[#This Row],[Bilans]], T_Bilansi[], 4, 0),A1)</f>
        <v>25</v>
      </c>
      <c r="C21" s="229">
        <f>VLOOKUP( T_ApifImport[[#This Row],[ld]], T_Aop[], 4, 0)</f>
        <v>20</v>
      </c>
      <c r="D21" s="229"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IF(AND([0]!Godina=2025,MID(Osnovni_podaci!D20,3,1)="S",Osnovni_podaci!L24=4,Osnovni_podaci!G24=0,MID(Osnovni_podaci!D20,3,1)="S",MID(Osnovni_podaci!D20,8,1)="k"),VLOOKUP( T_ApifImport[[#This Row],[Bilans]], T_Bilansi[], 4, 0),A1)</f>
        <v>25</v>
      </c>
      <c r="C22" s="229">
        <f>VLOOKUP( T_ApifImport[[#This Row],[ld]], T_Aop[], 4, 0)</f>
        <v>21</v>
      </c>
      <c r="D22" s="229"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IF(AND([0]!Godina=2025,MID(Osnovni_podaci!D20,3,1)="S",Osnovni_podaci!L24=4,Osnovni_podaci!G24=0,MID(Osnovni_podaci!D20,3,1)="S",MID(Osnovni_podaci!D20,8,1)="k"),VLOOKUP( T_ApifImport[[#This Row],[Bilans]], T_Bilansi[], 4, 0),A1)</f>
        <v>25</v>
      </c>
      <c r="C23" s="229">
        <f>VLOOKUP( T_ApifImport[[#This Row],[ld]], T_Aop[], 4, 0)</f>
        <v>22</v>
      </c>
      <c r="D23" s="229"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12780236</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12609350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170886</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172638</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IF(AND([0]!Godina=2025,MID(Osnovni_podaci!D20,3,1)="S",Osnovni_podaci!L24=4,Osnovni_podaci!G24=0,MID(Osnovni_podaci!D20,3,1)="S",MID(Osnovni_podaci!D20,8,1)="k"),VLOOKUP( T_ApifImport[[#This Row],[Bilans]], T_Bilansi[], 4, 0),A1)</f>
        <v>25</v>
      </c>
      <c r="C24" s="229">
        <f>VLOOKUP( T_ApifImport[[#This Row],[ld]], T_Aop[], 4, 0)</f>
        <v>23</v>
      </c>
      <c r="D24" s="229"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10000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IF(AND([0]!Godina=2025,MID(Osnovni_podaci!D20,3,1)="S",Osnovni_podaci!L24=4,Osnovni_podaci!G24=0,MID(Osnovni_podaci!D20,3,1)="S",MID(Osnovni_podaci!D20,8,1)="k"),VLOOKUP( T_ApifImport[[#This Row],[Bilans]], T_Bilansi[], 4, 0),A1)</f>
        <v>25</v>
      </c>
      <c r="C25" s="229">
        <f>VLOOKUP( T_ApifImport[[#This Row],[ld]], T_Aop[], 4, 0)</f>
        <v>24</v>
      </c>
      <c r="D25" s="229"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IF(AND([0]!Godina=2025,MID(Osnovni_podaci!D20,3,1)="S",Osnovni_podaci!L24=4,Osnovni_podaci!G24=0,MID(Osnovni_podaci!D20,3,1)="S",MID(Osnovni_podaci!D20,8,1)="k"),VLOOKUP( T_ApifImport[[#This Row],[Bilans]], T_Bilansi[], 4, 0),A1)</f>
        <v>25</v>
      </c>
      <c r="C26" s="229">
        <f>VLOOKUP( T_ApifImport[[#This Row],[ld]], T_Aop[], 4, 0)</f>
        <v>25</v>
      </c>
      <c r="D26" s="229"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12601102</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12601102</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IF(AND([0]!Godina=2025,MID(Osnovni_podaci!D20,3,1)="S",Osnovni_podaci!L24=4,Osnovni_podaci!G24=0,MID(Osnovni_podaci!D20,3,1)="S",MID(Osnovni_podaci!D20,8,1)="k"),VLOOKUP( T_ApifImport[[#This Row],[Bilans]], T_Bilansi[], 4, 0),A1)</f>
        <v>25</v>
      </c>
      <c r="C27" s="229">
        <f>VLOOKUP( T_ApifImport[[#This Row],[ld]], T_Aop[], 4, 0)</f>
        <v>26</v>
      </c>
      <c r="D27" s="229"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IF(AND([0]!Godina=2025,MID(Osnovni_podaci!D20,3,1)="S",Osnovni_podaci!L24=4,Osnovni_podaci!G24=0,MID(Osnovni_podaci!D20,3,1)="S",MID(Osnovni_podaci!D20,8,1)="k"),VLOOKUP( T_ApifImport[[#This Row],[Bilans]], T_Bilansi[], 4, 0),A1)</f>
        <v>25</v>
      </c>
      <c r="C28" s="229">
        <f>VLOOKUP( T_ApifImport[[#This Row],[ld]], T_Aop[], 4, 0)</f>
        <v>27</v>
      </c>
      <c r="D28" s="229"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12601102</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12601102</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IF(AND([0]!Godina=2025,MID(Osnovni_podaci!D20,3,1)="S",Osnovni_podaci!L24=4,Osnovni_podaci!G24=0,MID(Osnovni_podaci!D20,3,1)="S",MID(Osnovni_podaci!D20,8,1)="k"),VLOOKUP( T_ApifImport[[#This Row],[Bilans]], T_Bilansi[], 4, 0),A1)</f>
        <v>25</v>
      </c>
      <c r="C29" s="227">
        <f>VLOOKUP( T_ApifImport[[#This Row],[ld]], T_Aop[], 4, 0)</f>
        <v>28</v>
      </c>
      <c r="D29"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IF(AND([0]!Godina=2025,MID(Osnovni_podaci!D20,3,1)="S",Osnovni_podaci!L24=4,Osnovni_podaci!G24=0,MID(Osnovni_podaci!D20,3,1)="S",MID(Osnovni_podaci!D20,8,1)="k"),VLOOKUP( T_ApifImport[[#This Row],[Bilans]], T_Bilansi[], 4, 0),A1)</f>
        <v>25</v>
      </c>
      <c r="C30" s="227">
        <f>VLOOKUP( T_ApifImport[[#This Row],[ld]], T_Aop[], 4, 0)</f>
        <v>29</v>
      </c>
      <c r="D30"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IF(AND([0]!Godina=2025,MID(Osnovni_podaci!D20,3,1)="S",Osnovni_podaci!L24=4,Osnovni_podaci!G24=0,MID(Osnovni_podaci!D20,3,1)="S",MID(Osnovni_podaci!D20,8,1)="k"),VLOOKUP( T_ApifImport[[#This Row],[Bilans]], T_Bilansi[], 4, 0),A1)</f>
        <v>25</v>
      </c>
      <c r="C31" s="227">
        <f>VLOOKUP( T_ApifImport[[#This Row],[ld]], T_Aop[], 4, 0)</f>
        <v>30</v>
      </c>
      <c r="D31"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169134</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8248</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160886</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162638</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IF(AND([0]!Godina=2025,MID(Osnovni_podaci!D20,3,1)="S",Osnovni_podaci!L24=4,Osnovni_podaci!G24=0,MID(Osnovni_podaci!D20,3,1)="S",MID(Osnovni_podaci!D20,8,1)="k"),VLOOKUP( T_ApifImport[[#This Row],[Bilans]], T_Bilansi[], 4, 0),A1)</f>
        <v>25</v>
      </c>
      <c r="C32" s="227">
        <f>VLOOKUP( T_ApifImport[[#This Row],[ld]], T_Aop[], 4, 0)</f>
        <v>31</v>
      </c>
      <c r="D32"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IF(AND([0]!Godina=2025,MID(Osnovni_podaci!D20,3,1)="S",Osnovni_podaci!L24=4,Osnovni_podaci!G24=0,MID(Osnovni_podaci!D20,3,1)="S",MID(Osnovni_podaci!D20,8,1)="k"),VLOOKUP( T_ApifImport[[#This Row],[Bilans]], T_Bilansi[], 4, 0),A1)</f>
        <v>25</v>
      </c>
      <c r="C33" s="227">
        <f>VLOOKUP( T_ApifImport[[#This Row],[ld]], T_Aop[], 4, 0)</f>
        <v>32</v>
      </c>
      <c r="D33"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169134</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8248</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160886</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162638</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IF(AND([0]!Godina=2025,MID(Osnovni_podaci!D20,3,1)="S",Osnovni_podaci!L24=4,Osnovni_podaci!G24=0,MID(Osnovni_podaci!D20,3,1)="S",MID(Osnovni_podaci!D20,8,1)="k"),VLOOKUP( T_ApifImport[[#This Row],[Bilans]], T_Bilansi[], 4, 0),A1)</f>
        <v>25</v>
      </c>
      <c r="C34" s="227">
        <f>VLOOKUP( T_ApifImport[[#This Row],[ld]], T_Aop[], 4, 0)</f>
        <v>33</v>
      </c>
      <c r="D34"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IF(AND([0]!Godina=2025,MID(Osnovni_podaci!D20,3,1)="S",Osnovni_podaci!L24=4,Osnovni_podaci!G24=0,MID(Osnovni_podaci!D20,3,1)="S",MID(Osnovni_podaci!D20,8,1)="k"),VLOOKUP( T_ApifImport[[#This Row],[Bilans]], T_Bilansi[], 4, 0),A1)</f>
        <v>25</v>
      </c>
      <c r="C35" s="227">
        <f>VLOOKUP( T_ApifImport[[#This Row],[ld]], T_Aop[], 4, 0)</f>
        <v>34</v>
      </c>
      <c r="D35"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IF(AND([0]!Godina=2025,MID(Osnovni_podaci!D20,3,1)="S",Osnovni_podaci!L24=4,Osnovni_podaci!G24=0,MID(Osnovni_podaci!D20,3,1)="S",MID(Osnovni_podaci!D20,8,1)="k"),VLOOKUP( T_ApifImport[[#This Row],[Bilans]], T_Bilansi[], 4, 0),A1)</f>
        <v>25</v>
      </c>
      <c r="C36" s="227">
        <f>VLOOKUP( T_ApifImport[[#This Row],[ld]], T_Aop[], 4, 0)</f>
        <v>35</v>
      </c>
      <c r="D36"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5213297</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5213297</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5213297</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IF(AND([0]!Godina=2025,MID(Osnovni_podaci!D20,3,1)="S",Osnovni_podaci!L24=4,Osnovni_podaci!G24=0,MID(Osnovni_podaci!D20,3,1)="S",MID(Osnovni_podaci!D20,8,1)="k"),VLOOKUP( T_ApifImport[[#This Row],[Bilans]], T_Bilansi[], 4, 0),A1)</f>
        <v>25</v>
      </c>
      <c r="C37" s="227">
        <f>VLOOKUP( T_ApifImport[[#This Row],[ld]], T_Aop[], 4, 0)</f>
        <v>36</v>
      </c>
      <c r="D37"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198132174</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160660024</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37472150</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34494804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IF(AND([0]!Godina=2025,MID(Osnovni_podaci!D20,3,1)="S",Osnovni_podaci!L24=4,Osnovni_podaci!G24=0,MID(Osnovni_podaci!D20,3,1)="S",MID(Osnovni_podaci!D20,8,1)="k"),VLOOKUP( T_ApifImport[[#This Row],[Bilans]], T_Bilansi[], 4, 0),A1)</f>
        <v>25</v>
      </c>
      <c r="C38" s="227">
        <f>VLOOKUP( T_ApifImport[[#This Row],[ld]], T_Aop[], 4, 0)</f>
        <v>37</v>
      </c>
      <c r="D38"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18090553</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3188336</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14902217</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15002427</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IF(AND([0]!Godina=2025,MID(Osnovni_podaci!D20,3,1)="S",Osnovni_podaci!L24=4,Osnovni_podaci!G24=0,MID(Osnovni_podaci!D20,3,1)="S",MID(Osnovni_podaci!D20,8,1)="k"),VLOOKUP( T_ApifImport[[#This Row],[Bilans]], T_Bilansi[], 4, 0),A1)</f>
        <v>25</v>
      </c>
      <c r="C39" s="227">
        <f>VLOOKUP( T_ApifImport[[#This Row],[ld]], T_Aop[], 4, 0)</f>
        <v>38</v>
      </c>
      <c r="D39"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18064950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3179009</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14885941</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14981462</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IF(AND([0]!Godina=2025,MID(Osnovni_podaci!D20,3,1)="S",Osnovni_podaci!L24=4,Osnovni_podaci!G24=0,MID(Osnovni_podaci!D20,3,1)="S",MID(Osnovni_podaci!D20,8,1)="k"),VLOOKUP( T_ApifImport[[#This Row],[Bilans]], T_Bilansi[], 4, 0),A1)</f>
        <v>25</v>
      </c>
      <c r="C40" s="227">
        <f>VLOOKUP( T_ApifImport[[#This Row],[ld]], T_Aop[], 4, 0)</f>
        <v>39</v>
      </c>
      <c r="D40"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IF(AND([0]!Godina=2025,MID(Osnovni_podaci!D20,3,1)="S",Osnovni_podaci!L24=4,Osnovni_podaci!G24=0,MID(Osnovni_podaci!D20,3,1)="S",MID(Osnovni_podaci!D20,8,1)="k"),VLOOKUP( T_ApifImport[[#This Row],[Bilans]], T_Bilansi[], 4, 0),A1)</f>
        <v>25</v>
      </c>
      <c r="C41" s="227">
        <f>VLOOKUP( T_ApifImport[[#This Row],[ld]], T_Aop[], 4, 0)</f>
        <v>40</v>
      </c>
      <c r="D41"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IF(AND([0]!Godina=2025,MID(Osnovni_podaci!D20,3,1)="S",Osnovni_podaci!L24=4,Osnovni_podaci!G24=0,MID(Osnovni_podaci!D20,3,1)="S",MID(Osnovni_podaci!D20,8,1)="k"),VLOOKUP( T_ApifImport[[#This Row],[Bilans]], T_Bilansi[], 4, 0),A1)</f>
        <v>25</v>
      </c>
      <c r="C42" s="227">
        <f>VLOOKUP( T_ApifImport[[#This Row],[ld]], T_Aop[], 4, 0)</f>
        <v>41</v>
      </c>
      <c r="D42"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IF(AND([0]!Godina=2025,MID(Osnovni_podaci!D20,3,1)="S",Osnovni_podaci!L24=4,Osnovni_podaci!G24=0,MID(Osnovni_podaci!D20,3,1)="S",MID(Osnovni_podaci!D20,8,1)="k"),VLOOKUP( T_ApifImport[[#This Row],[Bilans]], T_Bilansi[], 4, 0),A1)</f>
        <v>25</v>
      </c>
      <c r="C43" s="227">
        <f>VLOOKUP( T_ApifImport[[#This Row],[ld]], T_Aop[], 4, 0)</f>
        <v>42</v>
      </c>
      <c r="D43"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IF(AND([0]!Godina=2025,MID(Osnovni_podaci!D20,3,1)="S",Osnovni_podaci!L24=4,Osnovni_podaci!G24=0,MID(Osnovni_podaci!D20,3,1)="S",MID(Osnovni_podaci!D20,8,1)="k"),VLOOKUP( T_ApifImport[[#This Row],[Bilans]], T_Bilansi[], 4, 0),A1)</f>
        <v>25</v>
      </c>
      <c r="C44" s="227">
        <f>VLOOKUP( T_ApifImport[[#This Row],[ld]], T_Aop[], 4, 0)</f>
        <v>43</v>
      </c>
      <c r="D44"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25603</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9327</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16276</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20965</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IF(AND([0]!Godina=2025,MID(Osnovni_podaci!D20,3,1)="S",Osnovni_podaci!L24=4,Osnovni_podaci!G24=0,MID(Osnovni_podaci!D20,3,1)="S",MID(Osnovni_podaci!D20,8,1)="k"),VLOOKUP( T_ApifImport[[#This Row],[Bilans]], T_Bilansi[], 4, 0),A1)</f>
        <v>25</v>
      </c>
      <c r="C45" s="227">
        <f>VLOOKUP( T_ApifImport[[#This Row],[ld]], T_Aop[], 4, 0)</f>
        <v>44</v>
      </c>
      <c r="D45"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180041621</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157471688</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22569933</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19492377</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IF(AND([0]!Godina=2025,MID(Osnovni_podaci!D20,3,1)="S",Osnovni_podaci!L24=4,Osnovni_podaci!G24=0,MID(Osnovni_podaci!D20,3,1)="S",MID(Osnovni_podaci!D20,8,1)="k"),VLOOKUP( T_ApifImport[[#This Row],[Bilans]], T_Bilansi[], 4, 0),A1)</f>
        <v>25</v>
      </c>
      <c r="C46" s="227">
        <f>VLOOKUP( T_ApifImport[[#This Row],[ld]], T_Aop[], 4, 0)</f>
        <v>45</v>
      </c>
      <c r="D46"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175292241</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153278050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22014191</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19146574</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IF(AND([0]!Godina=2025,MID(Osnovni_podaci!D20,3,1)="S",Osnovni_podaci!L24=4,Osnovni_podaci!G24=0,MID(Osnovni_podaci!D20,3,1)="S",MID(Osnovni_podaci!D20,8,1)="k"),VLOOKUP( T_ApifImport[[#This Row],[Bilans]], T_Bilansi[], 4, 0),A1)</f>
        <v>25</v>
      </c>
      <c r="C47" s="227">
        <f>VLOOKUP( T_ApifImport[[#This Row],[ld]], T_Aop[], 4, 0)</f>
        <v>46</v>
      </c>
      <c r="D47"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20682978</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147439</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20535539</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17968928</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IF(AND([0]!Godina=2025,MID(Osnovni_podaci!D20,3,1)="S",Osnovni_podaci!L24=4,Osnovni_podaci!G24=0,MID(Osnovni_podaci!D20,3,1)="S",MID(Osnovni_podaci!D20,8,1)="k"),VLOOKUP( T_ApifImport[[#This Row],[Bilans]], T_Bilansi[], 4, 0),A1)</f>
        <v>25</v>
      </c>
      <c r="C48" s="227">
        <f>VLOOKUP( T_ApifImport[[#This Row],[ld]], T_Aop[], 4, 0)</f>
        <v>47</v>
      </c>
      <c r="D48"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154304639</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153092676</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1211963</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860186</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IF(AND([0]!Godina=2025,MID(Osnovni_podaci!D20,3,1)="S",Osnovni_podaci!L24=4,Osnovni_podaci!G24=0,MID(Osnovni_podaci!D20,3,1)="S",MID(Osnovni_podaci!D20,8,1)="k"),VLOOKUP( T_ApifImport[[#This Row],[Bilans]], T_Bilansi[], 4, 0),A1)</f>
        <v>25</v>
      </c>
      <c r="C49" s="227">
        <f>VLOOKUP( T_ApifImport[[#This Row],[ld]], T_Aop[], 4, 0)</f>
        <v>48</v>
      </c>
      <c r="D49"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IF(AND([0]!Godina=2025,MID(Osnovni_podaci!D20,3,1)="S",Osnovni_podaci!L24=4,Osnovni_podaci!G24=0,MID(Osnovni_podaci!D20,3,1)="S",MID(Osnovni_podaci!D20,8,1)="k"),VLOOKUP( T_ApifImport[[#This Row],[Bilans]], T_Bilansi[], 4, 0),A1)</f>
        <v>25</v>
      </c>
      <c r="C50" s="227">
        <f>IF(AND([0]!Godina=2025,MID(Osnovni_podaci!D20,3,1)="S",Osnovni_podaci!L24=4,Osnovni_podaci!G24=0,MID(Osnovni_podaci!D20,3,1)="S",MID(Osnovni_podaci!D20,8,1)="k"),VLOOKUP( T_ApifImport[[#This Row],[ld]], T_Aop[], 4, 0),A1)</f>
        <v>49</v>
      </c>
      <c r="D50"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IF(AND([0]!Godina=2025,MID(Osnovni_podaci!D20,3,1)="S",Osnovni_podaci!L24=4,Osnovni_podaci!G24=0,MID(Osnovni_podaci!D20,3,1)="S",MID(Osnovni_podaci!D20,8,1)="k"),VLOOKUP( T_ApifImport[[#This Row],[Bilans]], T_Bilansi[], 4, 0),A1)</f>
        <v>25</v>
      </c>
      <c r="C51" s="227">
        <f>IF(AND([0]!Godina=2025,MID(Osnovni_podaci!D20,3,1)="S",Osnovni_podaci!L24=4,Osnovni_podaci!G24=0,MID(Osnovni_podaci!D20,3,1)="S",MID(Osnovni_podaci!D20,8,1)="k"),VLOOKUP( T_ApifImport[[#This Row],[ld]], T_Aop[], 4, 0),A1)</f>
        <v>50</v>
      </c>
      <c r="D51"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261814</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37935</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223879</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317460</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IF(AND([0]!Godina=2025,MID(Osnovni_podaci!D20,3,1)="S",Osnovni_podaci!L24=4,Osnovni_podaci!G24=0,MID(Osnovni_podaci!D20,3,1)="S",MID(Osnovni_podaci!D20,8,1)="k"),VLOOKUP( T_ApifImport[[#This Row],[Bilans]], T_Bilansi[], 4, 0),A1)</f>
        <v>25</v>
      </c>
      <c r="C52" s="227">
        <f>IF(AND([0]!Godina=2025,MID(Osnovni_podaci!D20,3,1)="S",Osnovni_podaci!L24=4,Osnovni_podaci!G24=0,MID(Osnovni_podaci!D20,3,1)="S",MID(Osnovni_podaci!D20,8,1)="k"),VLOOKUP( T_ApifImport[[#This Row],[ld]], T_Aop[], 4, 0),A1)</f>
        <v>51</v>
      </c>
      <c r="D52"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42810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42810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IF(AND([0]!Godina=2025,MID(Osnovni_podaci!D20,3,1)="S",Osnovni_podaci!L24=4,Osnovni_podaci!G24=0,MID(Osnovni_podaci!D20,3,1)="S",MID(Osnovni_podaci!D20,8,1)="k"),VLOOKUP( T_ApifImport[[#This Row],[Bilans]], T_Bilansi[], 4, 0),A1)</f>
        <v>25</v>
      </c>
      <c r="C53" s="227">
        <f>IF(AND([0]!Godina=2025,MID(Osnovni_podaci!D20,3,1)="S",Osnovni_podaci!L24=4,Osnovni_podaci!G24=0,MID(Osnovni_podaci!D20,3,1)="S",MID(Osnovni_podaci!D20,8,1)="k"),VLOOKUP( T_ApifImport[[#This Row],[ld]], T_Aop[], 4, 0),A1)</f>
        <v>52</v>
      </c>
      <c r="D53"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4193638</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4193638</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IF(AND([0]!Godina=2025,MID(Osnovni_podaci!D20,3,1)="S",Osnovni_podaci!L24=4,Osnovni_podaci!G24=0,MID(Osnovni_podaci!D20,3,1)="S",MID(Osnovni_podaci!D20,8,1)="k"),VLOOKUP( T_ApifImport[[#This Row],[Bilans]], T_Bilansi[], 4, 0),A1)</f>
        <v>25</v>
      </c>
      <c r="C54" s="227">
        <f>IF(AND([0]!Godina=2025,MID(Osnovni_podaci!D20,3,1)="S",Osnovni_podaci!L24=4,Osnovni_podaci!G24=0,MID(Osnovni_podaci!D20,3,1)="S",MID(Osnovni_podaci!D20,8,1)="k"),VLOOKUP( T_ApifImport[[#This Row],[ld]], T_Aop[], 4, 0),A1)</f>
        <v>53</v>
      </c>
      <c r="D54"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4193638</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4193638</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IF(AND([0]!Godina=2025,MID(Osnovni_podaci!D20,3,1)="S",Osnovni_podaci!L24=4,Osnovni_podaci!G24=0,MID(Osnovni_podaci!D20,3,1)="S",MID(Osnovni_podaci!D20,8,1)="k"),VLOOKUP( T_ApifImport[[#This Row],[Bilans]], T_Bilansi[], 4, 0),A1)</f>
        <v>25</v>
      </c>
      <c r="C55" s="227">
        <f>IF(AND([0]!Godina=2025,MID(Osnovni_podaci!D20,3,1)="S",Osnovni_podaci!L24=4,Osnovni_podaci!G24=0,MID(Osnovni_podaci!D20,3,1)="S",MID(Osnovni_podaci!D20,8,1)="k"),VLOOKUP( T_ApifImport[[#This Row],[ld]], T_Aop[], 4, 0),A1)</f>
        <v>54</v>
      </c>
      <c r="D55"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IF(AND([0]!Godina=2025,MID(Osnovni_podaci!D20,3,1)="S",Osnovni_podaci!L24=4,Osnovni_podaci!G24=0,MID(Osnovni_podaci!D20,3,1)="S",MID(Osnovni_podaci!D20,8,1)="k"),VLOOKUP( T_ApifImport[[#This Row],[Bilans]], T_Bilansi[], 4, 0),A1)</f>
        <v>25</v>
      </c>
      <c r="C56" s="227">
        <f>IF(AND([0]!Godina=2025,MID(Osnovni_podaci!D20,3,1)="S",Osnovni_podaci!L24=4,Osnovni_podaci!G24=0,MID(Osnovni_podaci!D20,3,1)="S",MID(Osnovni_podaci!D20,8,1)="k"),VLOOKUP( T_ApifImport[[#This Row],[ld]], T_Aop[], 4, 0),A1)</f>
        <v>55</v>
      </c>
      <c r="D56"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4193638</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4193638</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IF(AND([0]!Godina=2025,MID(Osnovni_podaci!D20,3,1)="S",Osnovni_podaci!L24=4,Osnovni_podaci!G24=0,MID(Osnovni_podaci!D20,3,1)="S",MID(Osnovni_podaci!D20,8,1)="k"),VLOOKUP( T_ApifImport[[#This Row],[Bilans]], T_Bilansi[], 4, 0),A1)</f>
        <v>25</v>
      </c>
      <c r="C57" s="227">
        <f>IF(AND([0]!Godina=2025,MID(Osnovni_podaci!D20,3,1)="S",Osnovni_podaci!L24=4,Osnovni_podaci!G24=0,MID(Osnovni_podaci!D20,3,1)="S",MID(Osnovni_podaci!D20,8,1)="k"),VLOOKUP( T_ApifImport[[#This Row],[ld]], T_Aop[], 4, 0),A1)</f>
        <v>56</v>
      </c>
      <c r="D57"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IF(AND([0]!Godina=2025,MID(Osnovni_podaci!D20,3,1)="S",Osnovni_podaci!L24=4,Osnovni_podaci!G24=0,MID(Osnovni_podaci!D20,3,1)="S",MID(Osnovni_podaci!D20,8,1)="k"),VLOOKUP( T_ApifImport[[#This Row],[Bilans]], T_Bilansi[], 4, 0),A1)</f>
        <v>25</v>
      </c>
      <c r="C58" s="227">
        <f>IF(AND([0]!Godina=2025,MID(Osnovni_podaci!D20,3,1)="S",Osnovni_podaci!L24=4,Osnovni_podaci!G24=0,MID(Osnovni_podaci!D20,3,1)="S",MID(Osnovni_podaci!D20,8,1)="k"),VLOOKUP( T_ApifImport[[#This Row],[ld]], T_Aop[], 4, 0),A1)</f>
        <v>57</v>
      </c>
      <c r="D58"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IF(AND([0]!Godina=2025,MID(Osnovni_podaci!D20,3,1)="S",Osnovni_podaci!L24=4,Osnovni_podaci!G24=0,MID(Osnovni_podaci!D20,3,1)="S",MID(Osnovni_podaci!D20,8,1)="k"),VLOOKUP( T_ApifImport[[#This Row],[Bilans]], T_Bilansi[], 4, 0),A1)</f>
        <v>25</v>
      </c>
      <c r="C59" s="227">
        <f>IF(AND([0]!Godina=2025,MID(Osnovni_podaci!D20,3,1)="S",Osnovni_podaci!L24=4,Osnovni_podaci!G24=0,MID(Osnovni_podaci!D20,3,1)="S",MID(Osnovni_podaci!D20,8,1)="k"),VLOOKUP( T_ApifImport[[#This Row],[ld]], T_Aop[], 4, 0),A1)</f>
        <v>58</v>
      </c>
      <c r="D59"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IF(AND([0]!Godina=2025,MID(Osnovni_podaci!D20,3,1)="S",Osnovni_podaci!L24=4,Osnovni_podaci!G24=0,MID(Osnovni_podaci!D20,3,1)="S",MID(Osnovni_podaci!D20,8,1)="k"),VLOOKUP( T_ApifImport[[#This Row],[Bilans]], T_Bilansi[], 4, 0),A1)</f>
        <v>25</v>
      </c>
      <c r="C60" s="227">
        <f>IF(AND([0]!Godina=2025,MID(Osnovni_podaci!D20,3,1)="S",Osnovni_podaci!L24=4,Osnovni_podaci!G24=0,MID(Osnovni_podaci!D20,3,1)="S",MID(Osnovni_podaci!D20,8,1)="k"),VLOOKUP( T_ApifImport[[#This Row],[ld]], T_Aop[], 4, 0),A1)</f>
        <v>59</v>
      </c>
      <c r="D60"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IF(AND([0]!Godina=2025,MID(Osnovni_podaci!D20,3,1)="S",Osnovni_podaci!L24=4,Osnovni_podaci!G24=0,MID(Osnovni_podaci!D20,3,1)="S",MID(Osnovni_podaci!D20,8,1)="k"),VLOOKUP( T_ApifImport[[#This Row],[Bilans]], T_Bilansi[], 4, 0),A1)</f>
        <v>25</v>
      </c>
      <c r="C61" s="227">
        <f>IF(AND([0]!Godina=2025,MID(Osnovni_podaci!D20,3,1)="S",Osnovni_podaci!L24=4,Osnovni_podaci!G24=0,MID(Osnovni_podaci!D20,3,1)="S",MID(Osnovni_podaci!D20,8,1)="k"),VLOOKUP( T_ApifImport[[#This Row],[ld]], T_Aop[], 4, 0),A1)</f>
        <v>60</v>
      </c>
      <c r="D61"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IF(AND([0]!Godina=2025,MID(Osnovni_podaci!D20,3,1)="S",Osnovni_podaci!L24=4,Osnovni_podaci!G24=0,MID(Osnovni_podaci!D20,3,1)="S",MID(Osnovni_podaci!D20,8,1)="k"),VLOOKUP( T_ApifImport[[#This Row],[Bilans]], T_Bilansi[], 4, 0),A1)</f>
        <v>25</v>
      </c>
      <c r="C62" s="227">
        <f>IF(AND([0]!Godina=2025,MID(Osnovni_podaci!D20,3,1)="S",Osnovni_podaci!L24=4,Osnovni_podaci!G24=0,MID(Osnovni_podaci!D20,3,1)="S",MID(Osnovni_podaci!D20,8,1)="k"),VLOOKUP( T_ApifImport[[#This Row],[ld]], T_Aop[], 4, 0),A1)</f>
        <v>61</v>
      </c>
      <c r="D62"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463566</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463566</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207656</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IF(AND([0]!Godina=2025,MID(Osnovni_podaci!D20,3,1)="S",Osnovni_podaci!L24=4,Osnovni_podaci!G24=0,MID(Osnovni_podaci!D20,3,1)="S",MID(Osnovni_podaci!D20,8,1)="k"),VLOOKUP( T_ApifImport[[#This Row],[Bilans]], T_Bilansi[], 4, 0),A1)</f>
        <v>25</v>
      </c>
      <c r="C63" s="227">
        <f>IF(AND([0]!Godina=2025,MID(Osnovni_podaci!D20,3,1)="S",Osnovni_podaci!L24=4,Osnovni_podaci!G24=0,MID(Osnovni_podaci!D20,3,1)="S",MID(Osnovni_podaci!D20,8,1)="k"),VLOOKUP( T_ApifImport[[#This Row],[ld]], T_Aop[], 4, 0),A1)</f>
        <v>62</v>
      </c>
      <c r="D63"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IF(AND([0]!Godina=2025,MID(Osnovni_podaci!D20,3,1)="S",Osnovni_podaci!L24=4,Osnovni_podaci!G24=0,MID(Osnovni_podaci!D20,3,1)="S",MID(Osnovni_podaci!D20,8,1)="k"),VLOOKUP( T_ApifImport[[#This Row],[Bilans]], T_Bilansi[], 4, 0),A1)</f>
        <v>25</v>
      </c>
      <c r="C64" s="227">
        <f>IF(AND([0]!Godina=2025,MID(Osnovni_podaci!D20,3,1)="S",Osnovni_podaci!L24=4,Osnovni_podaci!G24=0,MID(Osnovni_podaci!D20,3,1)="S",MID(Osnovni_podaci!D20,8,1)="k"),VLOOKUP( T_ApifImport[[#This Row],[ld]], T_Aop[], 4, 0),A1)</f>
        <v>63</v>
      </c>
      <c r="D64"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463566</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463566</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207656</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IF(AND([0]!Godina=2025,MID(Osnovni_podaci!D20,3,1)="S",Osnovni_podaci!L24=4,Osnovni_podaci!G24=0,MID(Osnovni_podaci!D20,3,1)="S",MID(Osnovni_podaci!D20,8,1)="k"),VLOOKUP( T_ApifImport[[#This Row],[Bilans]], T_Bilansi[], 4, 0),A1)</f>
        <v>25</v>
      </c>
      <c r="C65" s="227">
        <f>IF(AND([0]!Godina=2025,MID(Osnovni_podaci!D20,3,1)="S",Osnovni_podaci!L24=4,Osnovni_podaci!G24=0,MID(Osnovni_podaci!D20,3,1)="S",MID(Osnovni_podaci!D20,8,1)="k"),VLOOKUP( T_ApifImport[[#This Row],[ld]], T_Aop[], 4, 0),A1)</f>
        <v>64</v>
      </c>
      <c r="D65"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IF(AND([0]!Godina=2025,MID(Osnovni_podaci!D20,3,1)="S",Osnovni_podaci!L24=4,Osnovni_podaci!G24=0,MID(Osnovni_podaci!D20,3,1)="S",MID(Osnovni_podaci!D20,8,1)="k"),VLOOKUP( T_ApifImport[[#This Row],[Bilans]], T_Bilansi[], 4, 0),A1)</f>
        <v>25</v>
      </c>
      <c r="C66" s="227">
        <f>IF(AND([0]!Godina=2025,MID(Osnovni_podaci!D20,3,1)="S",Osnovni_podaci!L24=4,Osnovni_podaci!G24=0,MID(Osnovni_podaci!D20,3,1)="S",MID(Osnovni_podaci!D20,8,1)="k"),VLOOKUP( T_ApifImport[[#This Row],[ld]], T_Aop[], 4, 0),A1)</f>
        <v>65</v>
      </c>
      <c r="D66"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92176</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92176</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138147</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IF(AND([0]!Godina=2025,MID(Osnovni_podaci!D20,3,1)="S",Osnovni_podaci!L24=4,Osnovni_podaci!G24=0,MID(Osnovni_podaci!D20,3,1)="S",MID(Osnovni_podaci!D20,8,1)="k"),VLOOKUP( T_ApifImport[[#This Row],[Bilans]], T_Bilansi[], 4, 0),A1)</f>
        <v>25</v>
      </c>
      <c r="C67" s="229">
        <f>IF(AND([0]!Godina=2025,MID(Osnovni_podaci!D20,3,1)="S",Osnovni_podaci!L24=4,Osnovni_podaci!G24=0,MID(Osnovni_podaci!D20,3,1)="S",MID(Osnovni_podaci!D20,8,1)="k"),VLOOKUP( T_ApifImport[[#This Row],[ld]], T_Aop[], 4, 0),A1)</f>
        <v>66</v>
      </c>
      <c r="D67"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1366532550</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851118732</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515413818</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519459614</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IF(AND([0]!Godina=2025,MID(Osnovni_podaci!D20,3,1)="S",Osnovni_podaci!L24=4,Osnovni_podaci!G24=0,MID(Osnovni_podaci!D20,3,1)="S",MID(Osnovni_podaci!D20,8,1)="k"),VLOOKUP( T_ApifImport[[#This Row],[Bilans]], T_Bilansi[], 4, 0),A1)</f>
        <v>25</v>
      </c>
      <c r="C68" s="229">
        <f>IF(AND([0]!Godina=2025,MID(Osnovni_podaci!D20,3,1)="S",Osnovni_podaci!L24=4,Osnovni_podaci!G24=0,MID(Osnovni_podaci!D20,3,1)="S",MID(Osnovni_podaci!D20,8,1)="k"),VLOOKUP( T_ApifImport[[#This Row],[ld]], T_Aop[], 4, 0),A1)</f>
        <v>67</v>
      </c>
      <c r="D68"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116246129</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116246129</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116246129</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IF(AND([0]!Godina=2025,MID(Osnovni_podaci!D20,3,1)="S",Osnovni_podaci!L24=4,Osnovni_podaci!G24=0,MID(Osnovni_podaci!D20,3,1)="S",MID(Osnovni_podaci!D20,8,1)="k"),VLOOKUP( T_ApifImport[[#This Row],[Bilans]], T_Bilansi[], 4, 0),A1)</f>
        <v>26</v>
      </c>
      <c r="C69" s="227">
        <f>IF(AND([0]!Godina=2025,MID(Osnovni_podaci!D20,3,1)="S",Osnovni_podaci!L24=4,Osnovni_podaci!G24=0,MID(Osnovni_podaci!D20,3,1)="S",MID(Osnovni_podaci!D20,8,1)="k"),VLOOKUP( T_ApifImport[[#This Row],[ld]], T_Aop[], 4, 0),A1)</f>
        <v>101</v>
      </c>
      <c r="D69"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239844692</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234205501</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IF(AND([0]!Godina=2025,MID(Osnovni_podaci!D20,3,1)="S",Osnovni_podaci!L24=4,Osnovni_podaci!G24=0,MID(Osnovni_podaci!D20,3,1)="S",MID(Osnovni_podaci!D20,8,1)="k"),VLOOKUP( T_ApifImport[[#This Row],[Bilans]], T_Bilansi[], 4, 0),A1)</f>
        <v>26</v>
      </c>
      <c r="C70" s="227">
        <f>IF(AND([0]!Godina=2025,MID(Osnovni_podaci!D20,3,1)="S",Osnovni_podaci!L24=4,Osnovni_podaci!G24=0,MID(Osnovni_podaci!D20,3,1)="S",MID(Osnovni_podaci!D20,8,1)="k"),VLOOKUP( T_ApifImport[[#This Row],[ld]], T_Aop[], 4, 0),A1)</f>
        <v>102</v>
      </c>
      <c r="D70"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IF(AND([0]!Godina=2025,MID(Osnovni_podaci!D20,3,1)="S",Osnovni_podaci!L24=4,Osnovni_podaci!G24=0,MID(Osnovni_podaci!D20,3,1)="S",MID(Osnovni_podaci!D20,8,1)="k"),VLOOKUP( T_ApifImport[[#This Row],[Bilans]], T_Bilansi[], 4, 0),A1)</f>
        <v>26</v>
      </c>
      <c r="C71" s="227">
        <f>IF(AND([0]!Godina=2025,MID(Osnovni_podaci!D20,3,1)="S",Osnovni_podaci!L24=4,Osnovni_podaci!G24=0,MID(Osnovni_podaci!D20,3,1)="S",MID(Osnovni_podaci!D20,8,1)="k"),VLOOKUP( T_ApifImport[[#This Row],[ld]], T_Aop[], 4, 0),A1)</f>
        <v>103</v>
      </c>
      <c r="D71"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IF(AND([0]!Godina=2025,MID(Osnovni_podaci!D20,3,1)="S",Osnovni_podaci!L24=4,Osnovni_podaci!G24=0,MID(Osnovni_podaci!D20,3,1)="S",MID(Osnovni_podaci!D20,8,1)="k"),VLOOKUP( T_ApifImport[[#This Row],[Bilans]], T_Bilansi[], 4, 0),A1)</f>
        <v>26</v>
      </c>
      <c r="C72" s="227">
        <f>IF(AND([0]!Godina=2025,MID(Osnovni_podaci!D20,3,1)="S",Osnovni_podaci!L24=4,Osnovni_podaci!G24=0,MID(Osnovni_podaci!D20,3,1)="S",MID(Osnovni_podaci!D20,8,1)="k"),VLOOKUP( T_ApifImport[[#This Row],[ld]], T_Aop[], 4, 0),A1)</f>
        <v>104</v>
      </c>
      <c r="D72"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92276623</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92276623</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IF(AND([0]!Godina=2025,MID(Osnovni_podaci!D20,3,1)="S",Osnovni_podaci!L24=4,Osnovni_podaci!G24=0,MID(Osnovni_podaci!D20,3,1)="S",MID(Osnovni_podaci!D20,8,1)="k"),VLOOKUP( T_ApifImport[[#This Row],[Bilans]], T_Bilansi[], 4, 0),A1)</f>
        <v>26</v>
      </c>
      <c r="C73" s="227">
        <f>IF(AND([0]!Godina=2025,MID(Osnovni_podaci!D20,3,1)="S",Osnovni_podaci!L24=4,Osnovni_podaci!G24=0,MID(Osnovni_podaci!D20,3,1)="S",MID(Osnovni_podaci!D20,8,1)="k"),VLOOKUP( T_ApifImport[[#This Row],[ld]], T_Aop[], 4, 0),A1)</f>
        <v>105</v>
      </c>
      <c r="D73"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IF(AND([0]!Godina=2025,MID(Osnovni_podaci!D20,3,1)="S",Osnovni_podaci!L24=4,Osnovni_podaci!G24=0,MID(Osnovni_podaci!D20,3,1)="S",MID(Osnovni_podaci!D20,8,1)="k"),VLOOKUP( T_ApifImport[[#This Row],[Bilans]], T_Bilansi[], 4, 0),A1)</f>
        <v>26</v>
      </c>
      <c r="C74" s="227">
        <f>IF(AND([0]!Godina=2025,MID(Osnovni_podaci!D20,3,1)="S",Osnovni_podaci!L24=4,Osnovni_podaci!G24=0,MID(Osnovni_podaci!D20,3,1)="S",MID(Osnovni_podaci!D20,8,1)="k"),VLOOKUP( T_ApifImport[[#This Row],[ld]], T_Aop[], 4, 0),A1)</f>
        <v>106</v>
      </c>
      <c r="D74"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IF(AND([0]!Godina=2025,MID(Osnovni_podaci!D20,3,1)="S",Osnovni_podaci!L24=4,Osnovni_podaci!G24=0,MID(Osnovni_podaci!D20,3,1)="S",MID(Osnovni_podaci!D20,8,1)="k"),VLOOKUP( T_ApifImport[[#This Row],[Bilans]], T_Bilansi[], 4, 0),A1)</f>
        <v>26</v>
      </c>
      <c r="C75" s="227">
        <f>IF(AND([0]!Godina=2025,MID(Osnovni_podaci!D20,3,1)="S",Osnovni_podaci!L24=4,Osnovni_podaci!G24=0,MID(Osnovni_podaci!D20,3,1)="S",MID(Osnovni_podaci!D20,8,1)="k"),VLOOKUP( T_ApifImport[[#This Row],[ld]], T_Aop[], 4, 0),A1)</f>
        <v>107</v>
      </c>
      <c r="D75"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IF(AND([0]!Godina=2025,MID(Osnovni_podaci!D20,3,1)="S",Osnovni_podaci!L24=4,Osnovni_podaci!G24=0,MID(Osnovni_podaci!D20,3,1)="S",MID(Osnovni_podaci!D20,8,1)="k"),VLOOKUP( T_ApifImport[[#This Row],[Bilans]], T_Bilansi[], 4, 0),A1)</f>
        <v>26</v>
      </c>
      <c r="C76" s="227">
        <f>IF(AND([0]!Godina=2025,MID(Osnovni_podaci!D20,3,1)="S",Osnovni_podaci!L24=4,Osnovni_podaci!G24=0,MID(Osnovni_podaci!D20,3,1)="S",MID(Osnovni_podaci!D20,8,1)="k"),VLOOKUP( T_ApifImport[[#This Row],[ld]], T_Aop[], 4, 0),A1)</f>
        <v>108</v>
      </c>
      <c r="D76"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IF(AND([0]!Godina=2025,MID(Osnovni_podaci!D20,3,1)="S",Osnovni_podaci!L24=4,Osnovni_podaci!G24=0,MID(Osnovni_podaci!D20,3,1)="S",MID(Osnovni_podaci!D20,8,1)="k"),VLOOKUP( T_ApifImport[[#This Row],[Bilans]], T_Bilansi[], 4, 0),A1)</f>
        <v>26</v>
      </c>
      <c r="C77" s="227">
        <f>IF(AND([0]!Godina=2025,MID(Osnovni_podaci!D20,3,1)="S",Osnovni_podaci!L24=4,Osnovni_podaci!G24=0,MID(Osnovni_podaci!D20,3,1)="S",MID(Osnovni_podaci!D20,8,1)="k"),VLOOKUP( T_ApifImport[[#This Row],[ld]], T_Aop[], 4, 0),A1)</f>
        <v>109</v>
      </c>
      <c r="D77"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IF(AND([0]!Godina=2025,MID(Osnovni_podaci!D20,3,1)="S",Osnovni_podaci!L24=4,Osnovni_podaci!G24=0,MID(Osnovni_podaci!D20,3,1)="S",MID(Osnovni_podaci!D20,8,1)="k"),VLOOKUP( T_ApifImport[[#This Row],[Bilans]], T_Bilansi[], 4, 0),A1)</f>
        <v>26</v>
      </c>
      <c r="C78" s="227">
        <f>IF(AND([0]!Godina=2025,MID(Osnovni_podaci!D20,3,1)="S",Osnovni_podaci!L24=4,Osnovni_podaci!G24=0,MID(Osnovni_podaci!D20,3,1)="S",MID(Osnovni_podaci!D20,8,1)="k"),VLOOKUP( T_ApifImport[[#This Row],[ld]], T_Aop[], 4, 0),A1)</f>
        <v>110</v>
      </c>
      <c r="D78"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IF(AND([0]!Godina=2025,MID(Osnovni_podaci!D20,3,1)="S",Osnovni_podaci!L24=4,Osnovni_podaci!G24=0,MID(Osnovni_podaci!D20,3,1)="S",MID(Osnovni_podaci!D20,8,1)="k"),VLOOKUP( T_ApifImport[[#This Row],[Bilans]], T_Bilansi[], 4, 0),A1)</f>
        <v>26</v>
      </c>
      <c r="C79" s="227">
        <f>IF(AND([0]!Godina=2025,MID(Osnovni_podaci!D20,3,1)="S",Osnovni_podaci!L24=4,Osnovni_podaci!G24=0,MID(Osnovni_podaci!D20,3,1)="S",MID(Osnovni_podaci!D20,8,1)="k"),VLOOKUP( T_ApifImport[[#This Row],[ld]], T_Aop[], 4, 0),A1)</f>
        <v>111</v>
      </c>
      <c r="D79"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IF(AND([0]!Godina=2025,MID(Osnovni_podaci!D20,3,1)="S",Osnovni_podaci!L24=4,Osnovni_podaci!G24=0,MID(Osnovni_podaci!D20,3,1)="S",MID(Osnovni_podaci!D20,8,1)="k"),VLOOKUP( T_ApifImport[[#This Row],[Bilans]], T_Bilansi[], 4, 0),A1)</f>
        <v>26</v>
      </c>
      <c r="C80" s="227">
        <f>IF(AND([0]!Godina=2025,MID(Osnovni_podaci!D20,3,1)="S",Osnovni_podaci!L24=4,Osnovni_podaci!G24=0,MID(Osnovni_podaci!D20,3,1)="S",MID(Osnovni_podaci!D20,8,1)="k"),VLOOKUP( T_ApifImport[[#This Row],[ld]], T_Aop[], 4, 0),A1)</f>
        <v>112</v>
      </c>
      <c r="D80"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IF(AND([0]!Godina=2025,MID(Osnovni_podaci!D20,3,1)="S",Osnovni_podaci!L24=4,Osnovni_podaci!G24=0,MID(Osnovni_podaci!D20,3,1)="S",MID(Osnovni_podaci!D20,8,1)="k"),VLOOKUP( T_ApifImport[[#This Row],[Bilans]], T_Bilansi[], 4, 0),A1)</f>
        <v>26</v>
      </c>
      <c r="C81" s="227">
        <f>IF(AND([0]!Godina=2025,MID(Osnovni_podaci!D20,3,1)="S",Osnovni_podaci!L24=4,Osnovni_podaci!G24=0,MID(Osnovni_podaci!D20,3,1)="S",MID(Osnovni_podaci!D20,8,1)="k"),VLOOKUP( T_ApifImport[[#This Row],[ld]], T_Aop[], 4, 0),A1)</f>
        <v>113</v>
      </c>
      <c r="D81"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IF(AND([0]!Godina=2025,MID(Osnovni_podaci!D20,3,1)="S",Osnovni_podaci!L24=4,Osnovni_podaci!G24=0,MID(Osnovni_podaci!D20,3,1)="S",MID(Osnovni_podaci!D20,8,1)="k"),VLOOKUP( T_ApifImport[[#This Row],[Bilans]], T_Bilansi[], 4, 0),A1)</f>
        <v>26</v>
      </c>
      <c r="C82" s="227">
        <f>IF(AND([0]!Godina=2025,MID(Osnovni_podaci!D20,3,1)="S",Osnovni_podaci!L24=4,Osnovni_podaci!G24=0,MID(Osnovni_podaci!D20,3,1)="S",MID(Osnovni_podaci!D20,8,1)="k"),VLOOKUP( T_ApifImport[[#This Row],[ld]], T_Aop[], 4, 0),A1)</f>
        <v>114</v>
      </c>
      <c r="D82"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IF(AND([0]!Godina=2025,MID(Osnovni_podaci!D20,3,1)="S",Osnovni_podaci!L24=4,Osnovni_podaci!G24=0,MID(Osnovni_podaci!D20,3,1)="S",MID(Osnovni_podaci!D20,8,1)="k"),VLOOKUP( T_ApifImport[[#This Row],[Bilans]], T_Bilansi[], 4, 0),A1)</f>
        <v>26</v>
      </c>
      <c r="C83" s="227">
        <f>IF(AND([0]!Godina=2025,MID(Osnovni_podaci!D20,3,1)="S",Osnovni_podaci!L24=4,Osnovni_podaci!G24=0,MID(Osnovni_podaci!D20,3,1)="S",MID(Osnovni_podaci!D20,8,1)="k"),VLOOKUP( T_ApifImport[[#This Row],[ld]], T_Aop[], 4, 0),A1)</f>
        <v>115</v>
      </c>
      <c r="D83"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6403888</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6403888</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IF(AND([0]!Godina=2025,MID(Osnovni_podaci!D20,3,1)="S",Osnovni_podaci!L24=4,Osnovni_podaci!G24=0,MID(Osnovni_podaci!D20,3,1)="S",MID(Osnovni_podaci!D20,8,1)="k"),VLOOKUP( T_ApifImport[[#This Row],[Bilans]], T_Bilansi[], 4, 0),A1)</f>
        <v>26</v>
      </c>
      <c r="C84" s="227">
        <f>IF(AND([0]!Godina=2025,MID(Osnovni_podaci!D20,3,1)="S",Osnovni_podaci!L24=4,Osnovni_podaci!G24=0,MID(Osnovni_podaci!D20,3,1)="S",MID(Osnovni_podaci!D20,8,1)="k"),VLOOKUP( T_ApifImport[[#This Row],[ld]], T_Aop[], 4, 0),A1)</f>
        <v>116</v>
      </c>
      <c r="D84"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1379378</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1379378</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IF(AND([0]!Godina=2025,MID(Osnovni_podaci!D20,3,1)="S",Osnovni_podaci!L24=4,Osnovni_podaci!G24=0,MID(Osnovni_podaci!D20,3,1)="S",MID(Osnovni_podaci!D20,8,1)="k"),VLOOKUP( T_ApifImport[[#This Row],[Bilans]], T_Bilansi[], 4, 0),A1)</f>
        <v>26</v>
      </c>
      <c r="C85" s="227">
        <f>IF(AND([0]!Godina=2025,MID(Osnovni_podaci!D20,3,1)="S",Osnovni_podaci!L24=4,Osnovni_podaci!G24=0,MID(Osnovni_podaci!D20,3,1)="S",MID(Osnovni_podaci!D20,8,1)="k"),VLOOKUP( T_ApifImport[[#This Row],[ld]], T_Aop[], 4, 0),A1)</f>
        <v>117</v>
      </c>
      <c r="D85"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687546</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687546</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IF(AND([0]!Godina=2025,MID(Osnovni_podaci!D20,3,1)="S",Osnovni_podaci!L24=4,Osnovni_podaci!G24=0,MID(Osnovni_podaci!D20,3,1)="S",MID(Osnovni_podaci!D20,8,1)="k"),VLOOKUP( T_ApifImport[[#This Row],[Bilans]], T_Bilansi[], 4, 0),A1)</f>
        <v>26</v>
      </c>
      <c r="C86" s="227">
        <f>IF(AND([0]!Godina=2025,MID(Osnovni_podaci!D20,3,1)="S",Osnovni_podaci!L24=4,Osnovni_podaci!G24=0,MID(Osnovni_podaci!D20,3,1)="S",MID(Osnovni_podaci!D20,8,1)="k"),VLOOKUP( T_ApifImport[[#This Row],[ld]], T_Aop[], 4, 0),A1)</f>
        <v>118</v>
      </c>
      <c r="D86"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4336964</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4336964</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IF(AND([0]!Godina=2025,MID(Osnovni_podaci!D20,3,1)="S",Osnovni_podaci!L24=4,Osnovni_podaci!G24=0,MID(Osnovni_podaci!D20,3,1)="S",MID(Osnovni_podaci!D20,8,1)="k"),VLOOKUP( T_ApifImport[[#This Row],[Bilans]], T_Bilansi[], 4, 0),A1)</f>
        <v>26</v>
      </c>
      <c r="C87" s="227">
        <f>IF(AND([0]!Godina=2025,MID(Osnovni_podaci!D20,3,1)="S",Osnovni_podaci!L24=4,Osnovni_podaci!G24=0,MID(Osnovni_podaci!D20,3,1)="S",MID(Osnovni_podaci!D20,8,1)="k"),VLOOKUP( T_ApifImport[[#This Row],[ld]], T_Aop[], 4, 0),A1)</f>
        <v>119</v>
      </c>
      <c r="D87"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144464909</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144464909</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IF(AND([0]!Godina=2025,MID(Osnovni_podaci!D20,3,1)="S",Osnovni_podaci!L24=4,Osnovni_podaci!G24=0,MID(Osnovni_podaci!D20,3,1)="S",MID(Osnovni_podaci!D20,8,1)="k"),VLOOKUP( T_ApifImport[[#This Row],[Bilans]], T_Bilansi[], 4, 0),A1)</f>
        <v>26</v>
      </c>
      <c r="C88" s="227">
        <f>IF(AND([0]!Godina=2025,MID(Osnovni_podaci!D20,3,1)="S",Osnovni_podaci!L24=4,Osnovni_podaci!G24=0,MID(Osnovni_podaci!D20,3,1)="S",MID(Osnovni_podaci!D20,8,1)="k"),VLOOKUP( T_ApifImport[[#This Row],[ld]], T_Aop[], 4, 0),A1)</f>
        <v>120</v>
      </c>
      <c r="D88"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144464909</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144464909</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IF(AND([0]!Godina=2025,MID(Osnovni_podaci!D20,3,1)="S",Osnovni_podaci!L24=4,Osnovni_podaci!G24=0,MID(Osnovni_podaci!D20,3,1)="S",MID(Osnovni_podaci!D20,8,1)="k"),VLOOKUP( T_ApifImport[[#This Row],[Bilans]], T_Bilansi[], 4, 0),A1)</f>
        <v>26</v>
      </c>
      <c r="C89" s="227">
        <f>IF(AND([0]!Godina=2025,MID(Osnovni_podaci!D20,3,1)="S",Osnovni_podaci!L24=4,Osnovni_podaci!G24=0,MID(Osnovni_podaci!D20,3,1)="S",MID(Osnovni_podaci!D20,8,1)="k"),VLOOKUP( T_ApifImport[[#This Row],[ld]], T_Aop[], 4, 0),A1)</f>
        <v>121</v>
      </c>
      <c r="D89"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IF(AND([0]!Godina=2025,MID(Osnovni_podaci!D20,3,1)="S",Osnovni_podaci!L24=4,Osnovni_podaci!G24=0,MID(Osnovni_podaci!D20,3,1)="S",MID(Osnovni_podaci!D20,8,1)="k"),VLOOKUP( T_ApifImport[[#This Row],[Bilans]], T_Bilansi[], 4, 0),A1)</f>
        <v>26</v>
      </c>
      <c r="C90" s="227">
        <f>IF(AND([0]!Godina=2025,MID(Osnovni_podaci!D20,3,1)="S",Osnovni_podaci!L24=4,Osnovni_podaci!G24=0,MID(Osnovni_podaci!D20,3,1)="S",MID(Osnovni_podaci!D20,8,1)="k"),VLOOKUP( T_ApifImport[[#This Row],[ld]], T_Aop[], 4, 0),A1)</f>
        <v>122</v>
      </c>
      <c r="D90"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IF(AND([0]!Godina=2025,MID(Osnovni_podaci!D20,3,1)="S",Osnovni_podaci!L24=4,Osnovni_podaci!G24=0,MID(Osnovni_podaci!D20,3,1)="S",MID(Osnovni_podaci!D20,8,1)="k"),VLOOKUP( T_ApifImport[[#This Row],[Bilans]], T_Bilansi[], 4, 0),A1)</f>
        <v>26</v>
      </c>
      <c r="C91" s="227">
        <f>IF(AND([0]!Godina=2025,MID(Osnovni_podaci!D20,3,1)="S",Osnovni_podaci!L24=4,Osnovni_podaci!G24=0,MID(Osnovni_podaci!D20,3,1)="S",MID(Osnovni_podaci!D20,8,1)="k"),VLOOKUP( T_ApifImport[[#This Row],[ld]], T_Aop[], 4, 0),A1)</f>
        <v>123</v>
      </c>
      <c r="D91"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IF(AND([0]!Godina=2025,MID(Osnovni_podaci!D20,3,1)="S",Osnovni_podaci!L24=4,Osnovni_podaci!G24=0,MID(Osnovni_podaci!D20,3,1)="S",MID(Osnovni_podaci!D20,8,1)="k"),VLOOKUP( T_ApifImport[[#This Row],[Bilans]], T_Bilansi[], 4, 0),A1)</f>
        <v>26</v>
      </c>
      <c r="C92" s="227">
        <f>IF(AND([0]!Godina=2025,MID(Osnovni_podaci!D20,3,1)="S",Osnovni_podaci!L24=4,Osnovni_podaci!G24=0,MID(Osnovni_podaci!D20,3,1)="S",MID(Osnovni_podaci!D20,8,1)="k"),VLOOKUP( T_ApifImport[[#This Row],[ld]], T_Aop[], 4, 0),A1)</f>
        <v>124</v>
      </c>
      <c r="D92"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16039831</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10400639</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IF(AND([0]!Godina=2025,MID(Osnovni_podaci!D20,3,1)="S",Osnovni_podaci!L24=4,Osnovni_podaci!G24=0,MID(Osnovni_podaci!D20,3,1)="S",MID(Osnovni_podaci!D20,8,1)="k"),VLOOKUP( T_ApifImport[[#This Row],[Bilans]], T_Bilansi[], 4, 0),A1)</f>
        <v>26</v>
      </c>
      <c r="C93" s="227">
        <f>IF(AND([0]!Godina=2025,MID(Osnovni_podaci!D20,3,1)="S",Osnovni_podaci!L24=4,Osnovni_podaci!G24=0,MID(Osnovni_podaci!D20,3,1)="S",MID(Osnovni_podaci!D20,8,1)="k"),VLOOKUP( T_ApifImport[[#This Row],[ld]], T_Aop[], 4, 0),A1)</f>
        <v>125</v>
      </c>
      <c r="D93"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10400639</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IF(AND([0]!Godina=2025,MID(Osnovni_podaci!D20,3,1)="S",Osnovni_podaci!L24=4,Osnovni_podaci!G24=0,MID(Osnovni_podaci!D20,3,1)="S",MID(Osnovni_podaci!D20,8,1)="k"),VLOOKUP( T_ApifImport[[#This Row],[Bilans]], T_Bilansi[], 4, 0),A1)</f>
        <v>26</v>
      </c>
      <c r="C94" s="227">
        <f>IF(AND([0]!Godina=2025,MID(Osnovni_podaci!D20,3,1)="S",Osnovni_podaci!L24=4,Osnovni_podaci!G24=0,MID(Osnovni_podaci!D20,3,1)="S",MID(Osnovni_podaci!D20,8,1)="k"),VLOOKUP( T_ApifImport[[#This Row],[ld]], T_Aop[], 4, 0),A1)</f>
        <v>126</v>
      </c>
      <c r="D94"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5639192</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10400639</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IF(AND([0]!Godina=2025,MID(Osnovni_podaci!D20,3,1)="S",Osnovni_podaci!L24=4,Osnovni_podaci!G24=0,MID(Osnovni_podaci!D20,3,1)="S",MID(Osnovni_podaci!D20,8,1)="k"),VLOOKUP( T_ApifImport[[#This Row],[Bilans]], T_Bilansi[], 4, 0),A1)</f>
        <v>26</v>
      </c>
      <c r="C95" s="227">
        <f>IF(AND([0]!Godina=2025,MID(Osnovni_podaci!D20,3,1)="S",Osnovni_podaci!L24=4,Osnovni_podaci!G24=0,MID(Osnovni_podaci!D20,3,1)="S",MID(Osnovni_podaci!D20,8,1)="k"),VLOOKUP( T_ApifImport[[#This Row],[ld]], T_Aop[], 4, 0),A1)</f>
        <v>127</v>
      </c>
      <c r="D95"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IF(AND([0]!Godina=2025,MID(Osnovni_podaci!D20,3,1)="S",Osnovni_podaci!L24=4,Osnovni_podaci!G24=0,MID(Osnovni_podaci!D20,3,1)="S",MID(Osnovni_podaci!D20,8,1)="k"),VLOOKUP( T_ApifImport[[#This Row],[Bilans]], T_Bilansi[], 4, 0),A1)</f>
        <v>26</v>
      </c>
      <c r="C96" s="227">
        <f>IF(AND([0]!Godina=2025,MID(Osnovni_podaci!D20,3,1)="S",Osnovni_podaci!L24=4,Osnovni_podaci!G24=0,MID(Osnovni_podaci!D20,3,1)="S",MID(Osnovni_podaci!D20,8,1)="k"),VLOOKUP( T_ApifImport[[#This Row],[ld]], T_Aop[], 4, 0),A1)</f>
        <v>128</v>
      </c>
      <c r="D96"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19340559</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19340558</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IF(AND([0]!Godina=2025,MID(Osnovni_podaci!D20,3,1)="S",Osnovni_podaci!L24=4,Osnovni_podaci!G24=0,MID(Osnovni_podaci!D20,3,1)="S",MID(Osnovni_podaci!D20,8,1)="k"),VLOOKUP( T_ApifImport[[#This Row],[Bilans]], T_Bilansi[], 4, 0),A1)</f>
        <v>26</v>
      </c>
      <c r="C97" s="227">
        <f>IF(AND([0]!Godina=2025,MID(Osnovni_podaci!D20,3,1)="S",Osnovni_podaci!L24=4,Osnovni_podaci!G24=0,MID(Osnovni_podaci!D20,3,1)="S",MID(Osnovni_podaci!D20,8,1)="k"),VLOOKUP( T_ApifImport[[#This Row],[ld]], T_Aop[], 4, 0),A1)</f>
        <v>129</v>
      </c>
      <c r="D97"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19340559</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19340558</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IF(AND([0]!Godina=2025,MID(Osnovni_podaci!D20,3,1)="S",Osnovni_podaci!L24=4,Osnovni_podaci!G24=0,MID(Osnovni_podaci!D20,3,1)="S",MID(Osnovni_podaci!D20,8,1)="k"),VLOOKUP( T_ApifImport[[#This Row],[Bilans]], T_Bilansi[], 4, 0),A1)</f>
        <v>26</v>
      </c>
      <c r="C98" s="227">
        <f>IF(AND([0]!Godina=2025,MID(Osnovni_podaci!D20,3,1)="S",Osnovni_podaci!L24=4,Osnovni_podaci!G24=0,MID(Osnovni_podaci!D20,3,1)="S",MID(Osnovni_podaci!D20,8,1)="k"),VLOOKUP( T_ApifImport[[#This Row],[ld]], T_Aop[], 4, 0),A1)</f>
        <v>130</v>
      </c>
      <c r="D98"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IF(AND([0]!Godina=2025,MID(Osnovni_podaci!D20,3,1)="S",Osnovni_podaci!L24=4,Osnovni_podaci!G24=0,MID(Osnovni_podaci!D20,3,1)="S",MID(Osnovni_podaci!D20,8,1)="k"),VLOOKUP( T_ApifImport[[#This Row],[Bilans]], T_Bilansi[], 4, 0),A1)</f>
        <v>26</v>
      </c>
      <c r="C99" s="227">
        <f>IF(AND([0]!Godina=2025,MID(Osnovni_podaci!D20,3,1)="S",Osnovni_podaci!L24=4,Osnovni_podaci!G24=0,MID(Osnovni_podaci!D20,3,1)="S",MID(Osnovni_podaci!D20,8,1)="k"),VLOOKUP( T_ApifImport[[#This Row],[ld]], T_Aop[], 4, 0),A1)</f>
        <v>131</v>
      </c>
      <c r="D99"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IF(AND([0]!Godina=2025,MID(Osnovni_podaci!D20,3,1)="S",Osnovni_podaci!L24=4,Osnovni_podaci!G24=0,MID(Osnovni_podaci!D20,3,1)="S",MID(Osnovni_podaci!D20,8,1)="k"),VLOOKUP( T_ApifImport[[#This Row],[Bilans]], T_Bilansi[], 4, 0),A1)</f>
        <v>26</v>
      </c>
      <c r="C100" s="227">
        <f>IF(AND([0]!Godina=2025,MID(Osnovni_podaci!D20,3,1)="S",Osnovni_podaci!L24=4,Osnovni_podaci!G24=0,MID(Osnovni_podaci!D20,3,1)="S",MID(Osnovni_podaci!D20,8,1)="k"),VLOOKUP( T_ApifImport[[#This Row],[ld]], T_Aop[], 4, 0),A1)</f>
        <v>132</v>
      </c>
      <c r="D100" s="227" t="str">
        <f ca="1">IF(AND([0]!Godina=2025,MID(Osnovni_podaci!D20,3,1)="S",Osnovni_podaci!L24=4,Osnovni_podaci!G24=0,MID(Osnovni_podaci!D20,3,1)="S",MID(Osnovni_podaci!D20,8,1)="k"),IF(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96294230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88912171</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IF(AND([0]!Godina=2025,MID(Osnovni_podaci!D20,3,1)="S",Osnovni_podaci!L24=4,Osnovni_podaci!G24=0,MID(Osnovni_podaci!D20,3,1)="S",MID(Osnovni_podaci!D20,8,1)="k"),VLOOKUP(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4970281</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5466023</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IF(AND([0]!Godina=2025,MID(Osnovni_podaci!D20,3,1)="S",Osnovni_podaci!L24=4,Osnovni_podaci!G24=0,MID(Osnovni_podaci!D20,3,1)="S",MID(Osnovni_podaci!D20,8,1)="k"),VLOOKUP(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IF(AND([0]!Godina=2025,MID(Osnovni_podaci!D20,3,1)="S",Osnovni_podaci!L24=4,Osnovni_podaci!G24=0,MID(Osnovni_podaci!D20,3,1)="S",MID(Osnovni_podaci!D20,8,1)="k"),VLOOKUP(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1991726</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2404967</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IF(AND([0]!Godina=2025,MID(Osnovni_podaci!D20,3,1)="S",Osnovni_podaci!L24=4,Osnovni_podaci!G24=0,MID(Osnovni_podaci!D20,3,1)="S",MID(Osnovni_podaci!D20,8,1)="k"),VLOOKUP(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2978555</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3061056</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IF(AND([0]!Godina=2025,MID(Osnovni_podaci!D20,3,1)="S",Osnovni_podaci!L24=4,Osnovni_podaci!G24=0,MID(Osnovni_podaci!D20,3,1)="S",MID(Osnovni_podaci!D20,8,1)="k"),VLOOKUP(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74779510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67083820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IF(AND([0]!Godina=2025,MID(Osnovni_podaci!D20,3,1)="S",Osnovni_podaci!L24=4,Osnovni_podaci!G24=0,MID(Osnovni_podaci!D20,3,1)="S",MID(Osnovni_podaci!D20,8,1)="k"),VLOOKUP(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6782620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6782620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IF(AND([0]!Godina=2025,MID(Osnovni_podaci!D20,3,1)="S",Osnovni_podaci!L24=4,Osnovni_podaci!G24=0,MID(Osnovni_podaci!D20,3,1)="S",MID(Osnovni_podaci!D20,8,1)="k"),VLOOKUP(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7695690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IF(AND([0]!Godina=2025,MID(Osnovni_podaci!D20,3,1)="S",Osnovni_podaci!L24=4,Osnovni_podaci!G24=0,MID(Osnovni_podaci!D20,3,1)="S",MID(Osnovni_podaci!D20,8,1)="k"),VLOOKUP(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32713164</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32713164</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IF(AND([0]!Godina=2025,MID(Osnovni_podaci!D20,3,1)="S",Osnovni_podaci!L24=4,Osnovni_podaci!G24=0,MID(Osnovni_podaci!D20,3,1)="S",MID(Osnovni_podaci!D20,8,1)="k"),VLOOKUP(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27588036</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27588036</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IF(AND([0]!Godina=2025,MID(Osnovni_podaci!D20,3,1)="S",Osnovni_podaci!L24=4,Osnovni_podaci!G24=0,MID(Osnovni_podaci!D20,3,1)="S",MID(Osnovni_podaci!D20,8,1)="k"),VLOOKUP(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IF(AND([0]!Godina=2025,MID(Osnovni_podaci!D20,3,1)="S",Osnovni_podaci!L24=4,Osnovni_podaci!G24=0,MID(Osnovni_podaci!D20,3,1)="S",MID(Osnovni_podaci!D20,8,1)="k"),VLOOKUP(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IF(AND([0]!Godina=2025,MID(Osnovni_podaci!D20,3,1)="S",Osnovni_podaci!L24=4,Osnovni_podaci!G24=0,MID(Osnovni_podaci!D20,3,1)="S",MID(Osnovni_podaci!D20,8,1)="k"),VLOOKUP(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IF(AND([0]!Godina=2025,MID(Osnovni_podaci!D20,3,1)="S",Osnovni_podaci!L24=4,Osnovni_podaci!G24=0,MID(Osnovni_podaci!D20,3,1)="S",MID(Osnovni_podaci!D20,8,1)="k"),VLOOKUP(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16544439</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16362328</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IF(AND([0]!Godina=2025,MID(Osnovni_podaci!D20,3,1)="S",Osnovni_podaci!L24=4,Osnovni_podaci!G24=0,MID(Osnovni_podaci!D20,3,1)="S",MID(Osnovni_podaci!D20,8,1)="k"),VLOOKUP(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19444683</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19444683</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IF(AND([0]!Godina=2025,MID(Osnovni_podaci!D20,3,1)="S",Osnovni_podaci!L24=4,Osnovni_podaci!G24=0,MID(Osnovni_podaci!D20,3,1)="S",MID(Osnovni_podaci!D20,8,1)="k"),VLOOKUP(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159830213</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176897259</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IF(AND([0]!Godina=2025,MID(Osnovni_podaci!D20,3,1)="S",Osnovni_podaci!L24=4,Osnovni_podaci!G24=0,MID(Osnovni_podaci!D20,3,1)="S",MID(Osnovni_podaci!D20,8,1)="k"),VLOOKUP(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2805979</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10242910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IF(AND([0]!Godina=2025,MID(Osnovni_podaci!D20,3,1)="S",Osnovni_podaci!L24=4,Osnovni_podaci!G24=0,MID(Osnovni_podaci!D20,3,1)="S",MID(Osnovni_podaci!D20,8,1)="k"),VLOOKUP(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703698</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2814790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IF(AND([0]!Godina=2025,MID(Osnovni_podaci!D20,3,1)="S",Osnovni_podaci!L24=4,Osnovni_podaci!G24=0,MID(Osnovni_podaci!D20,3,1)="S",MID(Osnovni_podaci!D20,8,1)="k"),VLOOKUP(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2102281</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4836550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IF(AND([0]!Godina=2025,MID(Osnovni_podaci!D20,3,1)="S",Osnovni_podaci!L24=4,Osnovni_podaci!G24=0,MID(Osnovni_podaci!D20,3,1)="S",MID(Osnovni_podaci!D20,8,1)="k"),VLOOKUP(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IF(AND([0]!Godina=2025,MID(Osnovni_podaci!D20,3,1)="S",Osnovni_podaci!L24=4,Osnovni_podaci!G24=0,MID(Osnovni_podaci!D20,3,1)="S",MID(Osnovni_podaci!D20,8,1)="k"),VLOOKUP(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2591570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IF(AND([0]!Godina=2025,MID(Osnovni_podaci!D20,3,1)="S",Osnovni_podaci!L24=4,Osnovni_podaci!G24=0,MID(Osnovni_podaci!D20,3,1)="S",MID(Osnovni_podaci!D20,8,1)="k"),VLOOKUP(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IF(AND([0]!Godina=2025,MID(Osnovni_podaci!D20,3,1)="S",Osnovni_podaci!L24=4,Osnovni_podaci!G24=0,MID(Osnovni_podaci!D20,3,1)="S",MID(Osnovni_podaci!D20,8,1)="k"),VLOOKUP(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IF(AND([0]!Godina=2025,MID(Osnovni_podaci!D20,3,1)="S",Osnovni_podaci!L24=4,Osnovni_podaci!G24=0,MID(Osnovni_podaci!D20,3,1)="S",MID(Osnovni_podaci!D20,8,1)="k"),VLOOKUP(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134208267</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145540037</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IF(AND([0]!Godina=2025,MID(Osnovni_podaci!D20,3,1)="S",Osnovni_podaci!L24=4,Osnovni_podaci!G24=0,MID(Osnovni_podaci!D20,3,1)="S",MID(Osnovni_podaci!D20,8,1)="k"),VLOOKUP(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635048</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648728</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IF(AND([0]!Godina=2025,MID(Osnovni_podaci!D20,3,1)="S",Osnovni_podaci!L24=4,Osnovni_podaci!G24=0,MID(Osnovni_podaci!D20,3,1)="S",MID(Osnovni_podaci!D20,8,1)="k"),VLOOKUP(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126734719</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131947423</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IF(AND([0]!Godina=2025,MID(Osnovni_podaci!D20,3,1)="S",Osnovni_podaci!L24=4,Osnovni_podaci!G24=0,MID(Osnovni_podaci!D20,3,1)="S",MID(Osnovni_podaci!D20,8,1)="k"),VLOOKUP(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6582221</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12460882</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IF(AND([0]!Godina=2025,MID(Osnovni_podaci!D20,3,1)="S",Osnovni_podaci!L24=4,Osnovni_podaci!G24=0,MID(Osnovni_podaci!D20,3,1)="S",MID(Osnovni_podaci!D20,8,1)="k"),VLOOKUP(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149211</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360763</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IF(AND([0]!Godina=2025,MID(Osnovni_podaci!D20,3,1)="S",Osnovni_podaci!L24=4,Osnovni_podaci!G24=0,MID(Osnovni_podaci!D20,3,1)="S",MID(Osnovni_podaci!D20,8,1)="k"),VLOOKUP(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107068</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122241</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IF(AND([0]!Godina=2025,MID(Osnovni_podaci!D20,3,1)="S",Osnovni_podaci!L24=4,Osnovni_podaci!G24=0,MID(Osnovni_podaci!D20,3,1)="S",MID(Osnovni_podaci!D20,8,1)="k"),VLOOKUP(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13969339</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13070720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IF(AND([0]!Godina=2025,MID(Osnovni_podaci!D20,3,1)="S",Osnovni_podaci!L24=4,Osnovni_podaci!G24=0,MID(Osnovni_podaci!D20,3,1)="S",MID(Osnovni_podaci!D20,8,1)="k"),VLOOKUP(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5399524</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3699652</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IF(AND([0]!Godina=2025,MID(Osnovni_podaci!D20,3,1)="S",Osnovni_podaci!L24=4,Osnovni_podaci!G24=0,MID(Osnovni_podaci!D20,3,1)="S",MID(Osnovni_podaci!D20,8,1)="k"),VLOOKUP(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177908</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697901</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IF(AND([0]!Godina=2025,MID(Osnovni_podaci!D20,3,1)="S",Osnovni_podaci!L24=4,Osnovni_podaci!G24=0,MID(Osnovni_podaci!D20,3,1)="S",MID(Osnovni_podaci!D20,8,1)="k"),VLOOKUP(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1170527</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813541</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IF(AND([0]!Godina=2025,MID(Osnovni_podaci!D20,3,1)="S",Osnovni_podaci!L24=4,Osnovni_podaci!G24=0,MID(Osnovni_podaci!D20,3,1)="S",MID(Osnovni_podaci!D20,8,1)="k"),VLOOKUP(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46247</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127979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IF(AND([0]!Godina=2025,MID(Osnovni_podaci!D20,3,1)="S",Osnovni_podaci!L24=4,Osnovni_podaci!G24=0,MID(Osnovni_podaci!D20,3,1)="S",MID(Osnovni_podaci!D20,8,1)="k"),VLOOKUP(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295600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IF(AND([0]!Godina=2025,MID(Osnovni_podaci!D20,3,1)="S",Osnovni_podaci!L24=4,Osnovni_podaci!G24=0,MID(Osnovni_podaci!D20,3,1)="S",MID(Osnovni_podaci!D20,8,1)="k"),VLOOKUP(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2052422</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2408919</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IF(AND([0]!Godina=2025,MID(Osnovni_podaci!D20,3,1)="S",Osnovni_podaci!L24=4,Osnovni_podaci!G24=0,MID(Osnovni_podaci!D20,3,1)="S",MID(Osnovni_podaci!D20,8,1)="k"),VLOOKUP(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IF(AND([0]!Godina=2025,MID(Osnovni_podaci!D20,3,1)="S",Osnovni_podaci!L24=4,Osnovni_podaci!G24=0,MID(Osnovni_podaci!D20,3,1)="S",MID(Osnovni_podaci!D20,8,1)="k"),VLOOKUP(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515413818</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519459614</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IF(AND([0]!Godina=2025,MID(Osnovni_podaci!D20,3,1)="S",Osnovni_podaci!L24=4,Osnovni_podaci!G24=0,MID(Osnovni_podaci!D20,3,1)="S",MID(Osnovni_podaci!D20,8,1)="k"),VLOOKUP(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116246129</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116246129</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IF(AND([0]!Godina=2025,MID(Osnovni_podaci!D20,3,1)="S",Osnovni_podaci!L24=4,Osnovni_podaci!G24=0,MID(Osnovni_podaci!D20,3,1)="S",MID(Osnovni_podaci!D20,8,1)="k"),VLOOKUP(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114176968</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111246987</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IF(AND([0]!Godina=2025,MID(Osnovni_podaci!D20,3,1)="S",Osnovni_podaci!L24=4,Osnovni_podaci!G24=0,MID(Osnovni_podaci!D20,3,1)="S",MID(Osnovni_podaci!D20,8,1)="k"),VLOOKUP(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485532</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767886</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IF(AND([0]!Godina=2025,MID(Osnovni_podaci!D20,3,1)="S",Osnovni_podaci!L24=4,Osnovni_podaci!G24=0,MID(Osnovni_podaci!D20,3,1)="S",MID(Osnovni_podaci!D20,8,1)="k"),VLOOKUP(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IF(AND([0]!Godina=2025,MID(Osnovni_podaci!D20,3,1)="S",Osnovni_podaci!L24=4,Osnovni_podaci!G24=0,MID(Osnovni_podaci!D20,3,1)="S",MID(Osnovni_podaci!D20,8,1)="k"),VLOOKUP(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485532</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767886</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IF(AND([0]!Godina=2025,MID(Osnovni_podaci!D20,3,1)="S",Osnovni_podaci!L24=4,Osnovni_podaci!G24=0,MID(Osnovni_podaci!D20,3,1)="S",MID(Osnovni_podaci!D20,8,1)="k"),VLOOKUP(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IF(AND([0]!Godina=2025,MID(Osnovni_podaci!D20,3,1)="S",Osnovni_podaci!L24=4,Osnovni_podaci!G24=0,MID(Osnovni_podaci!D20,3,1)="S",MID(Osnovni_podaci!D20,8,1)="k"),VLOOKUP(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IF(AND([0]!Godina=2025,MID(Osnovni_podaci!D20,3,1)="S",Osnovni_podaci!L24=4,Osnovni_podaci!G24=0,MID(Osnovni_podaci!D20,3,1)="S",MID(Osnovni_podaci!D20,8,1)="k"),VLOOKUP(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IF(AND([0]!Godina=2025,MID(Osnovni_podaci!D20,3,1)="S",Osnovni_podaci!L24=4,Osnovni_podaci!G24=0,MID(Osnovni_podaci!D20,3,1)="S",MID(Osnovni_podaci!D20,8,1)="k"),VLOOKUP(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IF(AND([0]!Godina=2025,MID(Osnovni_podaci!D20,3,1)="S",Osnovni_podaci!L24=4,Osnovni_podaci!G24=0,MID(Osnovni_podaci!D20,3,1)="S",MID(Osnovni_podaci!D20,8,1)="k"),VLOOKUP(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IF(AND([0]!Godina=2025,MID(Osnovni_podaci!D20,3,1)="S",Osnovni_podaci!L24=4,Osnovni_podaci!G24=0,MID(Osnovni_podaci!D20,3,1)="S",MID(Osnovni_podaci!D20,8,1)="k"),VLOOKUP(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109034655</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105888279</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IF(AND([0]!Godina=2025,MID(Osnovni_podaci!D20,3,1)="S",Osnovni_podaci!L24=4,Osnovni_podaci!G24=0,MID(Osnovni_podaci!D20,3,1)="S",MID(Osnovni_podaci!D20,8,1)="k"),VLOOKUP(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104865607</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101781841</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IF(AND([0]!Godina=2025,MID(Osnovni_podaci!D20,3,1)="S",Osnovni_podaci!L24=4,Osnovni_podaci!G24=0,MID(Osnovni_podaci!D20,3,1)="S",MID(Osnovni_podaci!D20,8,1)="k"),VLOOKUP(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4169048</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4106438</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IF(AND([0]!Godina=2025,MID(Osnovni_podaci!D20,3,1)="S",Osnovni_podaci!L24=4,Osnovni_podaci!G24=0,MID(Osnovni_podaci!D20,3,1)="S",MID(Osnovni_podaci!D20,8,1)="k"),VLOOKUP(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IF(AND([0]!Godina=2025,MID(Osnovni_podaci!D20,3,1)="S",Osnovni_podaci!L24=4,Osnovni_podaci!G24=0,MID(Osnovni_podaci!D20,3,1)="S",MID(Osnovni_podaci!D20,8,1)="k"),VLOOKUP(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IF(AND([0]!Godina=2025,MID(Osnovni_podaci!D20,3,1)="S",Osnovni_podaci!L24=4,Osnovni_podaci!G24=0,MID(Osnovni_podaci!D20,3,1)="S",MID(Osnovni_podaci!D20,8,1)="k"),VLOOKUP(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IF(AND([0]!Godina=2025,MID(Osnovni_podaci!D20,3,1)="S",Osnovni_podaci!L24=4,Osnovni_podaci!G24=0,MID(Osnovni_podaci!D20,3,1)="S",MID(Osnovni_podaci!D20,8,1)="k"),VLOOKUP(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IF(AND([0]!Godina=2025,MID(Osnovni_podaci!D20,3,1)="S",Osnovni_podaci!L24=4,Osnovni_podaci!G24=0,MID(Osnovni_podaci!D20,3,1)="S",MID(Osnovni_podaci!D20,8,1)="k"),VLOOKUP(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IF(AND([0]!Godina=2025,MID(Osnovni_podaci!D20,3,1)="S",Osnovni_podaci!L24=4,Osnovni_podaci!G24=0,MID(Osnovni_podaci!D20,3,1)="S",MID(Osnovni_podaci!D20,8,1)="k"),VLOOKUP(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4656781</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4590822</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IF(AND([0]!Godina=2025,MID(Osnovni_podaci!D20,3,1)="S",Osnovni_podaci!L24=4,Osnovni_podaci!G24=0,MID(Osnovni_podaci!D20,3,1)="S",MID(Osnovni_podaci!D20,8,1)="k"),VLOOKUP(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109039548</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108366754</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IF(AND([0]!Godina=2025,MID(Osnovni_podaci!D20,3,1)="S",Osnovni_podaci!L24=4,Osnovni_podaci!G24=0,MID(Osnovni_podaci!D20,3,1)="S",MID(Osnovni_podaci!D20,8,1)="k"),VLOOKUP(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34848298</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35331107</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IF(AND([0]!Godina=2025,MID(Osnovni_podaci!D20,3,1)="S",Osnovni_podaci!L24=4,Osnovni_podaci!G24=0,MID(Osnovni_podaci!D20,3,1)="S",MID(Osnovni_podaci!D20,8,1)="k"),VLOOKUP(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1250288</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1423586</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IF(AND([0]!Godina=2025,MID(Osnovni_podaci!D20,3,1)="S",Osnovni_podaci!L24=4,Osnovni_podaci!G24=0,MID(Osnovni_podaci!D20,3,1)="S",MID(Osnovni_podaci!D20,8,1)="k"),VLOOKUP(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1328333</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1371995</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IF(AND([0]!Godina=2025,MID(Osnovni_podaci!D20,3,1)="S",Osnovni_podaci!L24=4,Osnovni_podaci!G24=0,MID(Osnovni_podaci!D20,3,1)="S",MID(Osnovni_podaci!D20,8,1)="k"),VLOOKUP(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37301444</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37091756</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IF(AND([0]!Godina=2025,MID(Osnovni_podaci!D20,3,1)="S",Osnovni_podaci!L24=4,Osnovni_podaci!G24=0,MID(Osnovni_podaci!D20,3,1)="S",MID(Osnovni_podaci!D20,8,1)="k"),VLOOKUP(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30133213</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29570706</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IF(AND([0]!Godina=2025,MID(Osnovni_podaci!D20,3,1)="S",Osnovni_podaci!L24=4,Osnovni_podaci!G24=0,MID(Osnovni_podaci!D20,3,1)="S",MID(Osnovni_podaci!D20,8,1)="k"),VLOOKUP(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7168231</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7521050</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IF(AND([0]!Godina=2025,MID(Osnovni_podaci!D20,3,1)="S",Osnovni_podaci!L24=4,Osnovni_podaci!G24=0,MID(Osnovni_podaci!D20,3,1)="S",MID(Osnovni_podaci!D20,8,1)="k"),VLOOKUP(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2533803</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3410558</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IF(AND([0]!Godina=2025,MID(Osnovni_podaci!D20,3,1)="S",Osnovni_podaci!L24=4,Osnovni_podaci!G24=0,MID(Osnovni_podaci!D20,3,1)="S",MID(Osnovni_podaci!D20,8,1)="k"),VLOOKUP(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22910629</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21624432</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IF(AND([0]!Godina=2025,MID(Osnovni_podaci!D20,3,1)="S",Osnovni_podaci!L24=4,Osnovni_podaci!G24=0,MID(Osnovni_podaci!D20,3,1)="S",MID(Osnovni_podaci!D20,8,1)="k"),VLOOKUP(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22910629</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21624432</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IF(AND([0]!Godina=2025,MID(Osnovni_podaci!D20,3,1)="S",Osnovni_podaci!L24=4,Osnovni_podaci!G24=0,MID(Osnovni_podaci!D20,3,1)="S",MID(Osnovni_podaci!D20,8,1)="k"),VLOOKUP(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22910629</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21624432</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IF(AND([0]!Godina=2025,MID(Osnovni_podaci!D20,3,1)="S",Osnovni_podaci!L24=4,Osnovni_podaci!G24=0,MID(Osnovni_podaci!D20,3,1)="S",MID(Osnovni_podaci!D20,8,1)="k"),VLOOKUP(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IF(AND([0]!Godina=2025,MID(Osnovni_podaci!D20,3,1)="S",Osnovni_podaci!L24=4,Osnovni_podaci!G24=0,MID(Osnovni_podaci!D20,3,1)="S",MID(Osnovni_podaci!D20,8,1)="k"),VLOOKUP(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IF(AND([0]!Godina=2025,MID(Osnovni_podaci!D20,3,1)="S",Osnovni_podaci!L24=4,Osnovni_podaci!G24=0,MID(Osnovni_podaci!D20,3,1)="S",MID(Osnovni_podaci!D20,8,1)="k"),VLOOKUP(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IF(AND([0]!Godina=2025,MID(Osnovni_podaci!D20,3,1)="S",Osnovni_podaci!L24=4,Osnovni_podaci!G24=0,MID(Osnovni_podaci!D20,3,1)="S",MID(Osnovni_podaci!D20,8,1)="k"),VLOOKUP(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IF(AND([0]!Godina=2025,MID(Osnovni_podaci!D20,3,1)="S",Osnovni_podaci!L24=4,Osnovni_podaci!G24=0,MID(Osnovni_podaci!D20,3,1)="S",MID(Osnovni_podaci!D20,8,1)="k"),VLOOKUP(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8282342</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7556721</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IF(AND([0]!Godina=2025,MID(Osnovni_podaci!D20,3,1)="S",Osnovni_podaci!L24=4,Osnovni_podaci!G24=0,MID(Osnovni_podaci!D20,3,1)="S",MID(Osnovni_podaci!D20,8,1)="k"),VLOOKUP(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338720</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330202</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IF(AND([0]!Godina=2025,MID(Osnovni_podaci!D20,3,1)="S",Osnovni_podaci!L24=4,Osnovni_podaci!G24=0,MID(Osnovni_podaci!D20,3,1)="S",MID(Osnovni_podaci!D20,8,1)="k"),VLOOKUP(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245691</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226397</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IF(AND([0]!Godina=2025,MID(Osnovni_podaci!D20,3,1)="S",Osnovni_podaci!L24=4,Osnovni_podaci!G24=0,MID(Osnovni_podaci!D20,3,1)="S",MID(Osnovni_podaci!D20,8,1)="k"),VLOOKUP(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5137420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2880233</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IF(AND([0]!Godina=2025,MID(Osnovni_podaci!D20,3,1)="S",Osnovni_podaci!L24=4,Osnovni_podaci!G24=0,MID(Osnovni_podaci!D20,3,1)="S",MID(Osnovni_podaci!D20,8,1)="k"),VLOOKUP(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IF(AND([0]!Godina=2025,MID(Osnovni_podaci!D20,3,1)="S",Osnovni_podaci!L24=4,Osnovni_podaci!G24=0,MID(Osnovni_podaci!D20,3,1)="S",MID(Osnovni_podaci!D20,8,1)="k"),VLOOKUP(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448481</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862504</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IF(AND([0]!Godina=2025,MID(Osnovni_podaci!D20,3,1)="S",Osnovni_podaci!L24=4,Osnovni_podaci!G24=0,MID(Osnovni_podaci!D20,3,1)="S",MID(Osnovni_podaci!D20,8,1)="k"),VLOOKUP(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448473</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854750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IF(AND([0]!Godina=2025,MID(Osnovni_podaci!D20,3,1)="S",Osnovni_podaci!L24=4,Osnovni_podaci!G24=0,MID(Osnovni_podaci!D20,3,1)="S",MID(Osnovni_podaci!D20,8,1)="k"),VLOOKUP(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IF(AND([0]!Godina=2025,MID(Osnovni_podaci!D20,3,1)="S",Osnovni_podaci!L24=4,Osnovni_podaci!G24=0,MID(Osnovni_podaci!D20,3,1)="S",MID(Osnovni_podaci!D20,8,1)="k"),VLOOKUP(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IF(AND([0]!Godina=2025,MID(Osnovni_podaci!D20,3,1)="S",Osnovni_podaci!L24=4,Osnovni_podaci!G24=0,MID(Osnovni_podaci!D20,3,1)="S",MID(Osnovni_podaci!D20,8,1)="k"),VLOOKUP(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7754</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IF(AND([0]!Godina=2025,MID(Osnovni_podaci!D20,3,1)="S",Osnovni_podaci!L24=4,Osnovni_podaci!G24=0,MID(Osnovni_podaci!D20,3,1)="S",MID(Osnovni_podaci!D20,8,1)="k"),VLOOKUP(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2564031</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1104917</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IF(AND([0]!Godina=2025,MID(Osnovni_podaci!D20,3,1)="S",Osnovni_podaci!L24=4,Osnovni_podaci!G24=0,MID(Osnovni_podaci!D20,3,1)="S",MID(Osnovni_podaci!D20,8,1)="k"),VLOOKUP(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2564029</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1104913</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IF(AND([0]!Godina=2025,MID(Osnovni_podaci!D20,3,1)="S",Osnovni_podaci!L24=4,Osnovni_podaci!G24=0,MID(Osnovni_podaci!D20,3,1)="S",MID(Osnovni_podaci!D20,8,1)="k"),VLOOKUP(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IF(AND([0]!Godina=2025,MID(Osnovni_podaci!D20,3,1)="S",Osnovni_podaci!L24=4,Osnovni_podaci!G24=0,MID(Osnovni_podaci!D20,3,1)="S",MID(Osnovni_podaci!D20,8,1)="k"),VLOOKUP(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IF(AND([0]!Godina=2025,MID(Osnovni_podaci!D20,3,1)="S",Osnovni_podaci!L24=4,Osnovni_podaci!G24=0,MID(Osnovni_podaci!D20,3,1)="S",MID(Osnovni_podaci!D20,8,1)="k"),VLOOKUP(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IF(AND([0]!Godina=2025,MID(Osnovni_podaci!D20,3,1)="S",Osnovni_podaci!L24=4,Osnovni_podaci!G24=0,MID(Osnovni_podaci!D20,3,1)="S",MID(Osnovni_podaci!D20,8,1)="k"),VLOOKUP(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3021870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2637820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IF(AND([0]!Godina=2025,MID(Osnovni_podaci!D20,3,1)="S",Osnovni_podaci!L24=4,Osnovni_podaci!G24=0,MID(Osnovni_podaci!D20,3,1)="S",MID(Osnovni_podaci!D20,8,1)="k"),VLOOKUP(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IF(AND([0]!Godina=2025,MID(Osnovni_podaci!D20,3,1)="S",Osnovni_podaci!L24=4,Osnovni_podaci!G24=0,MID(Osnovni_podaci!D20,3,1)="S",MID(Osnovni_podaci!D20,8,1)="k"),VLOOKUP(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1498566</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812683</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IF(AND([0]!Godina=2025,MID(Osnovni_podaci!D20,3,1)="S",Osnovni_podaci!L24=4,Osnovni_podaci!G24=0,MID(Osnovni_podaci!D20,3,1)="S",MID(Osnovni_podaci!D20,8,1)="k"),VLOOKUP(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IF(AND([0]!Godina=2025,MID(Osnovni_podaci!D20,3,1)="S",Osnovni_podaci!L24=4,Osnovni_podaci!G24=0,MID(Osnovni_podaci!D20,3,1)="S",MID(Osnovni_podaci!D20,8,1)="k"),VLOOKUP(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IF(AND([0]!Godina=2025,MID(Osnovni_podaci!D20,3,1)="S",Osnovni_podaci!L24=4,Osnovni_podaci!G24=0,MID(Osnovni_podaci!D20,3,1)="S",MID(Osnovni_podaci!D20,8,1)="k"),VLOOKUP(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IF(AND([0]!Godina=2025,MID(Osnovni_podaci!D20,3,1)="S",Osnovni_podaci!L24=4,Osnovni_podaci!G24=0,MID(Osnovni_podaci!D20,3,1)="S",MID(Osnovni_podaci!D20,8,1)="k"),VLOOKUP(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IF(AND([0]!Godina=2025,MID(Osnovni_podaci!D20,3,1)="S",Osnovni_podaci!L24=4,Osnovni_podaci!G24=0,MID(Osnovni_podaci!D20,3,1)="S",MID(Osnovni_podaci!D20,8,1)="k"),VLOOKUP(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IF(AND([0]!Godina=2025,MID(Osnovni_podaci!D20,3,1)="S",Osnovni_podaci!L24=4,Osnovni_podaci!G24=0,MID(Osnovni_podaci!D20,3,1)="S",MID(Osnovni_podaci!D20,8,1)="k"),VLOOKUP(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3107</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IF(AND([0]!Godina=2025,MID(Osnovni_podaci!D20,3,1)="S",Osnovni_podaci!L24=4,Osnovni_podaci!G24=0,MID(Osnovni_podaci!D20,3,1)="S",MID(Osnovni_podaci!D20,8,1)="k"),VLOOKUP(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35471</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IF(AND([0]!Godina=2025,MID(Osnovni_podaci!D20,3,1)="S",Osnovni_podaci!L24=4,Osnovni_podaci!G24=0,MID(Osnovni_podaci!D20,3,1)="S",MID(Osnovni_podaci!D20,8,1)="k"),VLOOKUP(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1459888</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811323</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IF(AND([0]!Godina=2025,MID(Osnovni_podaci!D20,3,1)="S",Osnovni_podaci!L24=4,Osnovni_podaci!G24=0,MID(Osnovni_podaci!D20,3,1)="S",MID(Osnovni_podaci!D20,8,1)="k"),VLOOKUP(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IF(AND([0]!Godina=2025,MID(Osnovni_podaci!D20,3,1)="S",Osnovni_podaci!L24=4,Osnovni_podaci!G24=0,MID(Osnovni_podaci!D20,3,1)="S",MID(Osnovni_podaci!D20,8,1)="k"),VLOOKUP(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288032</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287663</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IF(AND([0]!Godina=2025,MID(Osnovni_podaci!D20,3,1)="S",Osnovni_podaci!L24=4,Osnovni_podaci!G24=0,MID(Osnovni_podaci!D20,3,1)="S",MID(Osnovni_podaci!D20,8,1)="k"),VLOOKUP(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35285</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288032</v>
      </c>
      <c r="F20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252378</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1210534</v>
      </c>
      <c r="F20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525020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1610299</v>
      </c>
      <c r="F21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1439259</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1610299</v>
      </c>
      <c r="F21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1439259</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910738</v>
      </c>
      <c r="F22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699561</v>
      </c>
      <c r="F22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1439259</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213667</v>
      </c>
      <c r="F22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147108</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213667</v>
      </c>
      <c r="F23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147108</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35100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213667</v>
      </c>
      <c r="F23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112008</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1396632</v>
      </c>
      <c r="F23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1292151</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10156</v>
      </c>
      <c r="F23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13931</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117744470</v>
      </c>
      <c r="F24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114375364</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112105278</v>
      </c>
      <c r="F24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109906442</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5639192</v>
      </c>
      <c r="F24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4468922</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5639192</v>
      </c>
      <c r="F25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4468922</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1405</v>
      </c>
      <c r="F26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1383</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1348</v>
      </c>
      <c r="F26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1334</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5639192</v>
      </c>
      <c r="F26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4468922</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5639192</v>
      </c>
      <c r="F27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4468922</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1"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3"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IF(AND([0]!Godina=2025,MID(Osnovni_podaci!D20,3,1)="S",Osnovni_podaci!L24=4,Osnovni_podaci!G24=0,MID(Osnovni_podaci!D20,3,1)="S",MID(Osnovni_podaci!D20,8,1)="k"),IF(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IF(AND([0]!Godina=2025,MID(Osnovni_podaci!D20,3,1)="S",Osnovni_podaci!L24=4,Osnovni_podaci!G24=0,MID(Osnovni_podaci!D20,3,1)="S",MID(Osnovni_podaci!D20,8,1)="k"),IF(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1" s="8">
        <v>452</v>
      </c>
      <c r="P441" s="568" t="s">
        <v>135</v>
      </c>
    </row>
  </sheetData>
  <sheetProtection algorithmName="SHA-512" hashValue="ZxThh89dZ6UIbrWtld332aPDsQ0l+WDcckS8butQheQbpbzF+vTyU2KqcDbZAlw9uTE/Yb48Z5lTSGKeS8zpIg==" saltValue="J4fmF2DKZr5bSnzKXvRO8w==" spinCount="100000" sheet="1" objects="1" scenarios="1"/>
  <phoneticPr fontId="28"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7" activePane="bottomRight" state="frozen"/>
      <selection activeCell="K31" sqref="K31"/>
      <selection pane="topRight" activeCell="K31" sqref="K31"/>
      <selection pane="bottomLeft" activeCell="K31" sqref="K31"/>
      <selection pane="bottomRight" activeCell="D45" sqref="D45:V4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90">
        <v>1</v>
      </c>
      <c r="E8" s="590"/>
      <c r="F8" s="44"/>
      <c r="G8" s="590">
        <v>1</v>
      </c>
      <c r="H8" s="590"/>
      <c r="I8" s="44"/>
      <c r="J8" s="593">
        <v>2025</v>
      </c>
      <c r="K8" s="594"/>
      <c r="L8" s="595"/>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96"/>
      <c r="K9" s="597"/>
      <c r="L9" s="598"/>
      <c r="Y9" s="14"/>
      <c r="Z9" s="14"/>
      <c r="AA9" s="96"/>
      <c r="AB9" s="93"/>
    </row>
    <row r="10" spans="2:31" ht="15.75" customHeight="1" thickBot="1" x14ac:dyDescent="0.25">
      <c r="B10" s="85" t="str">
        <f>Osnovno_Kraj_perioda</f>
        <v>Kraj izvještajnog perioda:</v>
      </c>
      <c r="D10" s="591">
        <v>30</v>
      </c>
      <c r="E10" s="592"/>
      <c r="F10" s="44"/>
      <c r="G10" s="591">
        <v>9</v>
      </c>
      <c r="H10" s="592"/>
      <c r="I10" s="44"/>
      <c r="J10" s="599"/>
      <c r="K10" s="600"/>
      <c r="L10" s="601"/>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30.09.2025.</v>
      </c>
      <c r="AB10" s="92" t="str">
        <f>IF(Y10, IF( Z10, AA10, Kontrola_Neispravno), Kontrola_Obavezno)</f>
        <v>30.09.2025.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Treći kvartal</v>
      </c>
      <c r="E12" s="167"/>
      <c r="F12" s="167"/>
      <c r="G12" s="167"/>
      <c r="H12" s="167"/>
      <c r="I12" s="167"/>
      <c r="J12" s="167"/>
      <c r="K12" s="167"/>
      <c r="L12" s="167"/>
      <c r="M12"/>
      <c r="N12"/>
      <c r="O12"/>
      <c r="P12"/>
      <c r="Q12"/>
      <c r="R12"/>
      <c r="S12"/>
      <c r="T12"/>
      <c r="U12"/>
      <c r="V12"/>
      <c r="Y12" s="14"/>
      <c r="Z12" s="14"/>
      <c r="AA12" s="86"/>
      <c r="AB12" s="92" t="str">
        <f>D12</f>
        <v>Treći kvartal</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1</v>
      </c>
      <c r="E15" s="83">
        <v>0</v>
      </c>
      <c r="F15" s="83">
        <v>7</v>
      </c>
      <c r="G15" s="83">
        <v>4</v>
      </c>
      <c r="H15" s="83">
        <v>4</v>
      </c>
      <c r="I15" s="83">
        <v>4</v>
      </c>
      <c r="J15" s="83">
        <v>0</v>
      </c>
      <c r="K15" s="83"/>
      <c r="L15" s="83"/>
      <c r="M15" s="83"/>
      <c r="N15" s="83"/>
      <c r="O15" s="83"/>
      <c r="P15" s="83"/>
      <c r="Y15" s="14" t="b">
        <f>LEN(AA15) &gt;= 7</f>
        <v>1</v>
      </c>
      <c r="Z15" s="14" t="b">
        <v>1</v>
      </c>
      <c r="AA15" s="96" t="str">
        <f>CONCATENATE( D15, E15, F15, G15, H15, I15, J15, K15,L15,M15,N15,O15,P15)</f>
        <v>1074440</v>
      </c>
      <c r="AB15" s="92" t="str">
        <f>IF(Y15, IF( Z15, AA15, Kontrola_Neispravno), Kontrola_Obavezno)</f>
        <v>1074440</v>
      </c>
    </row>
    <row r="16" spans="2:31" ht="4.9000000000000004" customHeight="1" x14ac:dyDescent="0.2">
      <c r="B16" s="85"/>
      <c r="Y16" s="14"/>
      <c r="Z16" s="14"/>
      <c r="AA16" s="96"/>
      <c r="AB16" s="93"/>
    </row>
    <row r="17" spans="2:31" ht="15.2" customHeight="1" x14ac:dyDescent="0.2">
      <c r="B17" s="85" t="str">
        <f>Zaglavlje_Sifra_djelatnosti</f>
        <v>Šifra djelatnosti</v>
      </c>
      <c r="D17" s="578">
        <v>3</v>
      </c>
      <c r="E17" s="578">
        <v>5</v>
      </c>
      <c r="F17" s="87" t="s">
        <v>400</v>
      </c>
      <c r="G17" s="83">
        <v>1</v>
      </c>
      <c r="H17" s="83">
        <v>3</v>
      </c>
      <c r="I17" s="91"/>
      <c r="Y17" s="14" t="b">
        <f>AND( D17 &lt;&gt; "", LEN( AA17) &gt;= 5)</f>
        <v>1</v>
      </c>
      <c r="Z17" s="14" t="b">
        <v>1</v>
      </c>
      <c r="AA17" s="96" t="str">
        <f>CONCATENATE( D17, E17, F17, G17, H17, I17)</f>
        <v>35.13</v>
      </c>
      <c r="AB17" s="92" t="str">
        <f>IF(Y17, IF( Z17, AA17, Kontrola_Neispravno), Kontrola_Obavezno)</f>
        <v>35.13</v>
      </c>
      <c r="AE17" s="88"/>
    </row>
    <row r="18" spans="2:31" ht="4.9000000000000004" customHeight="1" x14ac:dyDescent="0.2">
      <c r="B18" s="85"/>
      <c r="Y18" s="14"/>
      <c r="Z18" s="14"/>
      <c r="AA18" s="96"/>
      <c r="AB18" s="93"/>
    </row>
    <row r="19" spans="2:31" ht="12.75" customHeight="1" x14ac:dyDescent="0.2">
      <c r="B19" s="583" t="str">
        <f>Zaglavlje_Naziv_preduzeca</f>
        <v xml:space="preserve">Naziv privrednog društva, zadruge, drugog pravnog lica ili preduzetnika: </v>
      </c>
      <c r="Y19" s="14"/>
      <c r="Z19" s="14"/>
      <c r="AA19" s="96"/>
      <c r="AB19" s="93"/>
    </row>
    <row r="20" spans="2:31" ht="22.9" customHeight="1" x14ac:dyDescent="0.2">
      <c r="B20" s="583"/>
      <c r="D20" s="584" t="s">
        <v>3074</v>
      </c>
      <c r="E20" s="584"/>
      <c r="F20" s="584"/>
      <c r="G20" s="584"/>
      <c r="H20" s="584"/>
      <c r="I20" s="584"/>
      <c r="J20" s="584"/>
      <c r="K20" s="584"/>
      <c r="L20" s="584"/>
      <c r="M20" s="584"/>
      <c r="N20" s="584"/>
      <c r="O20" s="584"/>
      <c r="P20" s="584"/>
      <c r="Q20" s="584"/>
      <c r="R20" s="584"/>
      <c r="S20" s="584"/>
      <c r="T20" s="584"/>
      <c r="U20" s="584"/>
      <c r="V20" s="584"/>
      <c r="Y20" s="14" t="b">
        <f>LEN(AA20) &gt; 0</f>
        <v>1</v>
      </c>
      <c r="Z20" s="14" t="b">
        <v>1</v>
      </c>
      <c r="AA20" s="96" t="str">
        <f>CONCATENATE( D20)</f>
        <v>ODS Elektrokrajina a.d. Banja Luka</v>
      </c>
      <c r="AB20" s="94" t="str">
        <f>IF(Y20, IF( Z20, AA20, Kontrola_Neispravno), Kontrola_Obavezno)</f>
        <v>ODS Elektrokrajina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88" t="s">
        <v>3075</v>
      </c>
      <c r="E22" s="589"/>
      <c r="F22" s="589"/>
      <c r="G22" s="589"/>
      <c r="H22" s="589"/>
      <c r="I22" s="589"/>
      <c r="J22" s="589"/>
      <c r="K22" s="589"/>
      <c r="L22" s="589"/>
      <c r="M22" s="589"/>
      <c r="N22" s="589"/>
      <c r="O22" s="589"/>
      <c r="P22" s="589"/>
      <c r="Q22" s="589"/>
      <c r="R22" s="589"/>
      <c r="S22" s="589"/>
      <c r="T22" s="589"/>
      <c r="U22" s="589"/>
      <c r="V22" s="589"/>
      <c r="Y22" s="14" t="b">
        <f>LEN(AA22) &gt; 0</f>
        <v>1</v>
      </c>
      <c r="Z22" s="14" t="b">
        <v>1</v>
      </c>
      <c r="AA22" s="96" t="str">
        <f>CONCATENATE( D22)</f>
        <v>Kralja Petra I Karađorđevića 95 Banja Luka</v>
      </c>
      <c r="AB22" s="92" t="str">
        <f>IF(Y22, IF( Z22, AA22, Kontrola_Neispravno), Kontrola_Obavezno)</f>
        <v>Kralja Petra I Karađorđevića 95 Banja Luka</v>
      </c>
    </row>
    <row r="23" spans="2:31" ht="6.75" customHeight="1" x14ac:dyDescent="0.2">
      <c r="B23" s="85"/>
      <c r="Y23" s="14"/>
      <c r="Z23" s="14"/>
      <c r="AA23" s="96"/>
      <c r="AB23" s="93"/>
    </row>
    <row r="24" spans="2:31" ht="15.2" customHeight="1" x14ac:dyDescent="0.2">
      <c r="B24" s="85" t="str">
        <f>Zaglavlje_JIB</f>
        <v>JIB</v>
      </c>
      <c r="D24" s="575">
        <v>4</v>
      </c>
      <c r="E24" s="576">
        <v>4</v>
      </c>
      <c r="F24" s="577">
        <v>0</v>
      </c>
      <c r="G24" s="575">
        <v>0</v>
      </c>
      <c r="H24" s="576">
        <v>8</v>
      </c>
      <c r="I24" s="577">
        <v>5</v>
      </c>
      <c r="J24" s="575">
        <v>5</v>
      </c>
      <c r="K24" s="576">
        <v>6</v>
      </c>
      <c r="L24" s="577">
        <v>4</v>
      </c>
      <c r="M24" s="576">
        <v>0</v>
      </c>
      <c r="N24" s="577">
        <v>0</v>
      </c>
      <c r="O24" s="576">
        <v>0</v>
      </c>
      <c r="P24" s="577">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4400855640000</v>
      </c>
      <c r="AB24" s="92" t="str">
        <f>IF(Y24, IF( Z24, AA24, Kontrola_Neispravno), Kontrola_Obavezno)</f>
        <v>4400855640000</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5</v>
      </c>
      <c r="F27" s="83">
        <v>5</v>
      </c>
      <c r="G27" s="84" t="s">
        <v>399</v>
      </c>
      <c r="H27" s="83">
        <v>0</v>
      </c>
      <c r="I27" s="83">
        <v>0</v>
      </c>
      <c r="J27" s="83">
        <v>7</v>
      </c>
      <c r="K27" s="84" t="s">
        <v>399</v>
      </c>
      <c r="L27" s="83">
        <v>0</v>
      </c>
      <c r="M27" s="83">
        <v>0</v>
      </c>
      <c r="N27" s="83">
        <v>0</v>
      </c>
      <c r="O27" s="83">
        <v>4</v>
      </c>
      <c r="P27" s="83">
        <v>6</v>
      </c>
      <c r="Q27" s="83">
        <v>1</v>
      </c>
      <c r="R27" s="83">
        <v>7</v>
      </c>
      <c r="S27" s="83">
        <v>8</v>
      </c>
      <c r="T27" s="44" t="s">
        <v>399</v>
      </c>
      <c r="U27" s="83">
        <v>4</v>
      </c>
      <c r="V27" s="83">
        <v>5</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5550070004617845</v>
      </c>
      <c r="AB27" s="92" t="str">
        <f>IF(Y27, IF( Z27, CONCATENATE( D27, E27, F27, G27, H27, I27, J27, K27, L27, M27, N27, O27, P27, Q27, R27, S27, T27, U27, V27), Kontrola_Neispravno), Kontrola_Obavezno)</f>
        <v>555-007-00046178-45</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7</v>
      </c>
      <c r="F29" s="83">
        <v>1</v>
      </c>
      <c r="G29" s="84" t="s">
        <v>399</v>
      </c>
      <c r="H29" s="83">
        <v>0</v>
      </c>
      <c r="I29" s="83">
        <v>1</v>
      </c>
      <c r="J29" s="83">
        <v>0</v>
      </c>
      <c r="K29" s="84" t="s">
        <v>399</v>
      </c>
      <c r="L29" s="83">
        <v>0</v>
      </c>
      <c r="M29" s="83">
        <v>0</v>
      </c>
      <c r="N29" s="83">
        <v>0</v>
      </c>
      <c r="O29" s="83">
        <v>0</v>
      </c>
      <c r="P29" s="83">
        <v>0</v>
      </c>
      <c r="Q29" s="83">
        <v>5</v>
      </c>
      <c r="R29" s="83">
        <v>8</v>
      </c>
      <c r="S29" s="83">
        <v>2</v>
      </c>
      <c r="T29" s="44" t="s">
        <v>399</v>
      </c>
      <c r="U29" s="83">
        <v>6</v>
      </c>
      <c r="V29" s="83">
        <v>4</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5710100000058264</v>
      </c>
      <c r="AB29" s="92" t="str">
        <f>IF( LEN(AA29) = 0, "", IF( AND( LEN(AA29) = 16, Z29), CONCATENATE( D29, E29, F29, G29, H29, I29, J29, K29, L29, M29, N29, O29, P29, Q29, R29, S29, T29, U29, V29), Kontrola_Neispravno))</f>
        <v>571-010-00000582-64</v>
      </c>
    </row>
    <row r="30" spans="2:31" ht="4.9000000000000004" customHeight="1" x14ac:dyDescent="0.2">
      <c r="B30" s="85"/>
      <c r="Y30" s="14"/>
      <c r="Z30" s="14"/>
      <c r="AA30" s="96"/>
      <c r="AB30" s="93"/>
    </row>
    <row r="31" spans="2:31" ht="15.2" customHeight="1" x14ac:dyDescent="0.2">
      <c r="B31" s="85"/>
      <c r="D31" s="83">
        <v>5</v>
      </c>
      <c r="E31" s="83">
        <v>6</v>
      </c>
      <c r="F31" s="83">
        <v>2</v>
      </c>
      <c r="G31" s="84" t="s">
        <v>399</v>
      </c>
      <c r="H31" s="83">
        <v>0</v>
      </c>
      <c r="I31" s="83">
        <v>9</v>
      </c>
      <c r="J31" s="83">
        <v>9</v>
      </c>
      <c r="K31" s="84" t="s">
        <v>399</v>
      </c>
      <c r="L31" s="83">
        <v>0</v>
      </c>
      <c r="M31" s="83">
        <v>0</v>
      </c>
      <c r="N31" s="83">
        <v>0</v>
      </c>
      <c r="O31" s="83">
        <v>0</v>
      </c>
      <c r="P31" s="83">
        <v>1</v>
      </c>
      <c r="Q31" s="83">
        <v>3</v>
      </c>
      <c r="R31" s="83">
        <v>4</v>
      </c>
      <c r="S31" s="83">
        <v>9</v>
      </c>
      <c r="T31" s="44" t="s">
        <v>399</v>
      </c>
      <c r="U31" s="83">
        <v>3</v>
      </c>
      <c r="V31" s="83">
        <v>6</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5620990000134936</v>
      </c>
      <c r="AB31" s="92" t="str">
        <f>IF( LEN(AA31) = 0, "", IF( AND( LEN(AA31) = 16, Z31), CONCATENATE( D31, E31, F31, G31, H31, I31, J31, K31, L31, M31, N31, O31, P31, Q31, R31, S31, T31, U31, V31), Kontrola_Neispravno))</f>
        <v>562-099-00001349-36</v>
      </c>
    </row>
    <row r="32" spans="2:31" ht="4.9000000000000004" customHeight="1" x14ac:dyDescent="0.2">
      <c r="B32" s="85"/>
      <c r="Y32" s="14"/>
      <c r="Z32" s="14"/>
      <c r="AA32" s="96"/>
      <c r="AB32" s="93"/>
    </row>
    <row r="33" spans="2:28" ht="15.2" customHeight="1" x14ac:dyDescent="0.2">
      <c r="B33" s="85"/>
      <c r="D33" s="83">
        <v>5</v>
      </c>
      <c r="E33" s="83">
        <v>5</v>
      </c>
      <c r="F33" s="83">
        <v>2</v>
      </c>
      <c r="G33" s="84" t="s">
        <v>399</v>
      </c>
      <c r="H33" s="83">
        <v>0</v>
      </c>
      <c r="I33" s="83">
        <v>0</v>
      </c>
      <c r="J33" s="83">
        <v>0</v>
      </c>
      <c r="K33" s="84" t="s">
        <v>399</v>
      </c>
      <c r="L33" s="83">
        <v>2</v>
      </c>
      <c r="M33" s="83">
        <v>0</v>
      </c>
      <c r="N33" s="83">
        <v>6</v>
      </c>
      <c r="O33" s="83">
        <v>4</v>
      </c>
      <c r="P33" s="83">
        <v>4</v>
      </c>
      <c r="Q33" s="83">
        <v>7</v>
      </c>
      <c r="R33" s="83">
        <v>9</v>
      </c>
      <c r="S33" s="83">
        <v>6</v>
      </c>
      <c r="T33" s="44" t="s">
        <v>399</v>
      </c>
      <c r="U33" s="83">
        <v>7</v>
      </c>
      <c r="V33" s="83">
        <v>8</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5520002064479678</v>
      </c>
      <c r="AB33" s="92" t="str">
        <f>IF( LEN(AA33) = 0, "", IF( AND( LEN(AA33) = 16, Z33), CONCATENATE( D33, E33, F33, G33, H33, I33, J33, K33, L33, M33, N33, O33, P33, Q33, R33, S33, T33, U33, V33), Kontrola_Neispravno))</f>
        <v>552-000-20644796-78</v>
      </c>
    </row>
    <row r="34" spans="2:28" ht="4.9000000000000004" customHeight="1" x14ac:dyDescent="0.2">
      <c r="B34" s="85"/>
      <c r="Y34" s="14"/>
      <c r="Z34" s="14"/>
      <c r="AA34" s="96"/>
      <c r="AB34" s="93"/>
    </row>
    <row r="35" spans="2:28" ht="15.2" customHeight="1" x14ac:dyDescent="0.2">
      <c r="B35" s="85"/>
      <c r="D35" s="83">
        <v>5</v>
      </c>
      <c r="E35" s="83">
        <v>6</v>
      </c>
      <c r="F35" s="83">
        <v>7</v>
      </c>
      <c r="G35" s="84" t="s">
        <v>399</v>
      </c>
      <c r="H35" s="83">
        <v>1</v>
      </c>
      <c r="I35" s="83">
        <v>6</v>
      </c>
      <c r="J35" s="83">
        <v>2</v>
      </c>
      <c r="K35" s="84" t="s">
        <v>399</v>
      </c>
      <c r="L35" s="83">
        <v>1</v>
      </c>
      <c r="M35" s="83">
        <v>1</v>
      </c>
      <c r="N35" s="83">
        <v>0</v>
      </c>
      <c r="O35" s="83">
        <v>0</v>
      </c>
      <c r="P35" s="83">
        <v>1</v>
      </c>
      <c r="Q35" s="83">
        <v>1</v>
      </c>
      <c r="R35" s="83">
        <v>7</v>
      </c>
      <c r="S35" s="83">
        <v>8</v>
      </c>
      <c r="T35" s="44" t="s">
        <v>399</v>
      </c>
      <c r="U35" s="83">
        <v>8</v>
      </c>
      <c r="V35" s="83">
        <v>5</v>
      </c>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5671621100117885</v>
      </c>
      <c r="AB35" s="92" t="str">
        <f>IF( LEN(AA35) = 0, "", IF( AND( LEN(AA35) = 16, Z35), CONCATENATE( D35, E35, F35, G35, H35, I35, J35, K35, L35, M35, N35, O35, P35, Q35, R35, S35, T35, U35, V35), Kontrola_Neispravno))</f>
        <v>567-162-11001178-85</v>
      </c>
    </row>
    <row r="36" spans="2:28" ht="4.9000000000000004" customHeight="1" x14ac:dyDescent="0.2">
      <c r="B36" s="85"/>
      <c r="Y36" s="14"/>
      <c r="Z36" s="14"/>
      <c r="AA36" s="96"/>
      <c r="AB36" s="93"/>
    </row>
    <row r="37" spans="2:28" ht="15.2" customHeight="1" x14ac:dyDescent="0.2">
      <c r="B37" s="85"/>
      <c r="D37" s="83">
        <v>5</v>
      </c>
      <c r="E37" s="83">
        <v>7</v>
      </c>
      <c r="F37" s="83">
        <v>2</v>
      </c>
      <c r="G37" s="84" t="s">
        <v>399</v>
      </c>
      <c r="H37" s="83">
        <v>1</v>
      </c>
      <c r="I37" s="83">
        <v>0</v>
      </c>
      <c r="J37" s="83">
        <v>6</v>
      </c>
      <c r="K37" s="84" t="s">
        <v>399</v>
      </c>
      <c r="L37" s="83">
        <v>0</v>
      </c>
      <c r="M37" s="83">
        <v>0</v>
      </c>
      <c r="N37" s="83">
        <v>0</v>
      </c>
      <c r="O37" s="83">
        <v>1</v>
      </c>
      <c r="P37" s="83">
        <v>9</v>
      </c>
      <c r="Q37" s="83">
        <v>1</v>
      </c>
      <c r="R37" s="83">
        <v>6</v>
      </c>
      <c r="S37" s="83">
        <v>6</v>
      </c>
      <c r="T37" s="44" t="s">
        <v>399</v>
      </c>
      <c r="U37" s="83">
        <v>2</v>
      </c>
      <c r="V37" s="83">
        <v>4</v>
      </c>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5721060001916624</v>
      </c>
      <c r="AB37" s="92" t="str">
        <f>IF( LEN(AA37) = 0, "", IF( AND( LEN(AA37) = 16, Z37), CONCATENATE( D37, E37, F37, G37, H37, I37, J37, K37, L37, M37, N37, O37, P37, Q37, R37, S37, T37, U37, V37), Kontrola_Neispravno))</f>
        <v>572-106-00019166-24</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81" t="s">
        <v>3076</v>
      </c>
      <c r="E40" s="580"/>
      <c r="F40" s="580"/>
      <c r="G40" s="580"/>
      <c r="H40" s="580"/>
      <c r="I40" s="580"/>
      <c r="J40" s="580"/>
      <c r="K40" s="580"/>
      <c r="L40" s="580"/>
      <c r="M40" s="580"/>
      <c r="N40" s="580"/>
      <c r="O40" s="580"/>
      <c r="P40" s="580"/>
      <c r="Q40" s="580"/>
      <c r="R40" s="580"/>
      <c r="S40" s="580"/>
      <c r="T40" s="580"/>
      <c r="U40" s="580"/>
      <c r="V40" s="580"/>
      <c r="Y40" s="14" t="b">
        <f>LEN(AA40) &gt; 0</f>
        <v>1</v>
      </c>
      <c r="Z40" s="14" t="b">
        <v>1</v>
      </c>
      <c r="AA40" s="96" t="str">
        <f>CONCATENATE( D40)</f>
        <v>Banja Luci</v>
      </c>
      <c r="AB40" s="94" t="str">
        <f>IF(Y40, IF( Z40, AA40, Kontrola_Neispravno), Kontrola_Obavezno)</f>
        <v>Banja Luci</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85">
        <v>30</v>
      </c>
      <c r="E43" s="587"/>
      <c r="F43" s="44"/>
      <c r="G43" s="585">
        <v>10</v>
      </c>
      <c r="H43" s="587"/>
      <c r="I43" s="44"/>
      <c r="J43" s="585">
        <v>2025</v>
      </c>
      <c r="K43" s="586"/>
      <c r="L43" s="587"/>
      <c r="M43"/>
      <c r="Y43" s="14" t="b">
        <f>AND( D43 &lt;&gt; "", G43 &lt;&gt; "", J43 &lt;&gt; "")</f>
        <v>1</v>
      </c>
      <c r="Z43" s="44" t="b">
        <f>IF( Y43, TEXT( DATE( J43, G43, D43), "dd.mm.yyyy" ) = TEXT( D43, "00") &amp; "." &amp; TEXT( G43, "00") &amp;"." &amp; CONCATENATE( J43), FALSE)</f>
        <v>1</v>
      </c>
      <c r="AA43" s="86" t="str">
        <f>IF( OR( Y43, Z43), TEXT( DATE( J43, G43, D43), "dd.mm.yyyy."), "")</f>
        <v>30.10.2025.</v>
      </c>
      <c r="AB43" s="94" t="str">
        <f>IF(Y43, IF( Z43, AA43, Kontrola_Neispravno), Kontrola_Obavezno)</f>
        <v>30.10.2025.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81" t="s">
        <v>3077</v>
      </c>
      <c r="E45" s="580"/>
      <c r="F45" s="580"/>
      <c r="G45" s="580"/>
      <c r="H45" s="580"/>
      <c r="I45" s="580"/>
      <c r="J45" s="580"/>
      <c r="K45" s="580"/>
      <c r="L45" s="580"/>
      <c r="M45" s="580"/>
      <c r="N45" s="580"/>
      <c r="O45" s="580"/>
      <c r="P45" s="580"/>
      <c r="Q45" s="580"/>
      <c r="R45" s="580"/>
      <c r="S45" s="580"/>
      <c r="T45" s="580"/>
      <c r="U45" s="580"/>
      <c r="V45" s="580"/>
      <c r="Y45" s="14" t="b">
        <f>LEN(AA45) &gt; 0</f>
        <v>1</v>
      </c>
      <c r="Z45" s="14" t="b">
        <v>1</v>
      </c>
      <c r="AA45" s="96" t="str">
        <f>CONCATENATE( D45)</f>
        <v>Nikola Pilipović</v>
      </c>
      <c r="AB45" s="94" t="str">
        <f>IF(Y45, IF( Z45, AA45, Kontrola_Neispravno), Kontrola_Obavezno)</f>
        <v>Nikola Pilipović</v>
      </c>
    </row>
    <row r="46" spans="2:28" ht="4.9000000000000004" customHeight="1" x14ac:dyDescent="0.2">
      <c r="B46" s="85"/>
      <c r="Y46" s="14"/>
      <c r="Z46" s="14"/>
      <c r="AA46" s="96"/>
      <c r="AB46" s="93"/>
    </row>
    <row r="47" spans="2:28" ht="15.2" customHeight="1" x14ac:dyDescent="0.2">
      <c r="B47" s="85" t="str">
        <f>Podnozje_Broj_licence</f>
        <v>Broj licence:</v>
      </c>
      <c r="D47" s="581" t="s">
        <v>3078</v>
      </c>
      <c r="E47" s="580"/>
      <c r="F47" s="580"/>
      <c r="G47" s="580"/>
      <c r="H47" s="580"/>
      <c r="I47" s="580"/>
      <c r="J47" s="580"/>
      <c r="K47" s="580"/>
      <c r="L47" s="580"/>
      <c r="M47" s="580"/>
      <c r="N47" s="580"/>
      <c r="O47" s="580"/>
      <c r="P47" s="580"/>
      <c r="Q47" s="580"/>
      <c r="R47" s="580"/>
      <c r="S47" s="580"/>
      <c r="T47" s="580"/>
      <c r="U47" s="580"/>
      <c r="V47" s="580"/>
      <c r="Y47" s="14" t="b">
        <f>LEN(AA47) &gt; 0</f>
        <v>1</v>
      </c>
      <c r="Z47" s="14" t="b">
        <v>1</v>
      </c>
      <c r="AA47" s="96" t="str">
        <f>CONCATENATE( D47)</f>
        <v>SR-1401/25</v>
      </c>
      <c r="AB47" s="94" t="str">
        <f>IF(Y47, IF( Z47, AA47, Kontrola_Neispravno), Kontrola_Obavezno)</f>
        <v>SR-1401/25</v>
      </c>
    </row>
    <row r="48" spans="2:28" ht="4.9000000000000004" customHeight="1" x14ac:dyDescent="0.2">
      <c r="B48" s="85"/>
      <c r="Y48" s="14"/>
      <c r="Z48" s="14"/>
      <c r="AA48" s="96"/>
      <c r="AB48" s="93"/>
    </row>
    <row r="49" spans="2:28" ht="15.2" customHeight="1" x14ac:dyDescent="0.2">
      <c r="B49" s="116" t="str">
        <f>Podnozje_Direktor</f>
        <v>Lice ovlašćeno za zastupanje:</v>
      </c>
      <c r="D49" s="581" t="s">
        <v>3079</v>
      </c>
      <c r="E49" s="580"/>
      <c r="F49" s="580"/>
      <c r="G49" s="580"/>
      <c r="H49" s="580"/>
      <c r="I49" s="580"/>
      <c r="J49" s="580"/>
      <c r="K49" s="580"/>
      <c r="L49" s="580"/>
      <c r="M49" s="580"/>
      <c r="N49" s="580"/>
      <c r="O49" s="580"/>
      <c r="P49" s="580"/>
      <c r="Q49" s="580"/>
      <c r="R49" s="580"/>
      <c r="S49" s="580"/>
      <c r="T49" s="580"/>
      <c r="U49" s="580"/>
      <c r="V49" s="580"/>
      <c r="Y49" s="14" t="b">
        <f>LEN(AA49) &gt; 0</f>
        <v>1</v>
      </c>
      <c r="Z49" s="14" t="b">
        <v>1</v>
      </c>
      <c r="AA49" s="96" t="str">
        <f>CONCATENATE( D49)</f>
        <v>V.D. Direktor, Saša Popović, dipl.inž.el.</v>
      </c>
      <c r="AB49" s="94" t="str">
        <f>IF(Y49, IF( Z49, AA49, Kontrola_Neispravno), Kontrola_Obavezno)</f>
        <v>V.D. Direktor, Saša Popović, dipl.inž.el.</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582" t="s">
        <v>3080</v>
      </c>
      <c r="E52" s="580"/>
      <c r="F52" s="580"/>
      <c r="G52" s="580"/>
      <c r="H52" s="580"/>
      <c r="I52" s="580"/>
      <c r="J52" s="580"/>
      <c r="K52" s="580"/>
      <c r="L52" s="580"/>
      <c r="M52" s="580"/>
      <c r="N52" s="580"/>
      <c r="O52" s="580"/>
      <c r="P52" s="580"/>
      <c r="Q52" s="580"/>
      <c r="R52" s="580"/>
      <c r="S52" s="580"/>
      <c r="T52" s="580"/>
      <c r="U52" s="580"/>
      <c r="V52" s="580"/>
      <c r="Y52" s="14" t="b">
        <f>LEN(AA52) &gt; 0</f>
        <v>1</v>
      </c>
      <c r="Z52" s="14" t="b">
        <v>1</v>
      </c>
      <c r="AA52" s="96" t="str">
        <f>CONCATENATE( D52)</f>
        <v>Kralja Petra I Karađorđevića 95</v>
      </c>
      <c r="AB52" s="94" t="str">
        <f>IF(Y52, IF( Z52, AA52, Kontrola_Neispravno), Kontrola_Obavezno)</f>
        <v>Kralja Petra I Karađorđevića 95</v>
      </c>
    </row>
    <row r="53" spans="2:28" ht="4.9000000000000004" customHeight="1" x14ac:dyDescent="0.2">
      <c r="B53" s="47"/>
      <c r="Y53" s="14"/>
      <c r="Z53" s="14"/>
      <c r="AA53" s="96"/>
      <c r="AB53" s="93"/>
    </row>
    <row r="54" spans="2:28" ht="15.2" customHeight="1" x14ac:dyDescent="0.2">
      <c r="B54" s="85" t="str">
        <f>Kontakt_web</f>
        <v>Internet adresa:</v>
      </c>
      <c r="D54" s="581" t="s">
        <v>3081</v>
      </c>
      <c r="E54" s="580"/>
      <c r="F54" s="580"/>
      <c r="G54" s="580"/>
      <c r="H54" s="580"/>
      <c r="I54" s="580"/>
      <c r="J54" s="580"/>
      <c r="K54" s="580"/>
      <c r="L54" s="580"/>
      <c r="M54" s="580"/>
      <c r="N54" s="580"/>
      <c r="O54" s="580"/>
      <c r="P54" s="580"/>
      <c r="Q54" s="580"/>
      <c r="R54" s="580"/>
      <c r="S54" s="580"/>
      <c r="T54" s="580"/>
      <c r="U54" s="580"/>
      <c r="V54" s="580"/>
      <c r="Y54" s="14" t="b">
        <f>LEN(AA54) &gt;= 0</f>
        <v>1</v>
      </c>
      <c r="Z54" s="14" t="b">
        <v>1</v>
      </c>
      <c r="AA54" s="96" t="str">
        <f>CONCATENATE( D54)</f>
        <v>www.elektrokrajina.com</v>
      </c>
      <c r="AB54" s="94" t="str">
        <f>IF(Y54, IF( Z54, AA54, Kontrola_Neispravno), Kontrola_Obavezno)</f>
        <v>www.elektrokrajina.com</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81" t="s">
        <v>3082</v>
      </c>
      <c r="E56" s="580"/>
      <c r="F56" s="580"/>
      <c r="G56" s="580"/>
      <c r="H56" s="580"/>
      <c r="I56" s="580"/>
      <c r="J56" s="580"/>
      <c r="K56" s="580"/>
      <c r="L56" s="580"/>
      <c r="M56" s="580"/>
      <c r="N56" s="580"/>
      <c r="O56" s="580"/>
      <c r="P56" s="580"/>
      <c r="Q56" s="580"/>
      <c r="R56" s="580"/>
      <c r="S56" s="580"/>
      <c r="T56" s="580"/>
      <c r="U56" s="580"/>
      <c r="V56" s="580"/>
      <c r="Y56" s="14" t="b">
        <f>LEN(AA56) &gt; 0</f>
        <v>1</v>
      </c>
      <c r="Z56" s="14" t="b">
        <v>1</v>
      </c>
      <c r="AA56" s="96" t="str">
        <f>CONCATENATE(D56)</f>
        <v>direkcija@elektrokrajina.com</v>
      </c>
      <c r="AB56" s="94" t="str">
        <f>IF(Y56, IF( Z56, AA56, Kontrola_Neispravno), Kontrola_Obavezno)</f>
        <v>direkcija@elektrokrajina.com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1</v>
      </c>
      <c r="G58" s="44" t="s">
        <v>399</v>
      </c>
      <c r="H58" s="83">
        <v>2</v>
      </c>
      <c r="I58" s="83">
        <v>4</v>
      </c>
      <c r="J58" s="83">
        <v>6</v>
      </c>
      <c r="K58" s="44" t="s">
        <v>399</v>
      </c>
      <c r="L58" s="83">
        <v>3</v>
      </c>
      <c r="M58" s="83">
        <v>0</v>
      </c>
      <c r="N58" s="83">
        <v>0</v>
      </c>
      <c r="O58" s="44"/>
      <c r="P58" s="44"/>
      <c r="Q58" s="44"/>
      <c r="R58" s="44"/>
      <c r="S58" s="44"/>
      <c r="T58" s="44"/>
      <c r="U58"/>
      <c r="V58"/>
      <c r="Y58" s="14" t="b">
        <f>LEN(AA58) = 11</f>
        <v>1</v>
      </c>
      <c r="Z58" s="14" t="b">
        <v>1</v>
      </c>
      <c r="AA58" s="96" t="str">
        <f>CONCATENATE( D58,E58, F58, G58, H58, I58, J58, K58, L58, M58, N58)</f>
        <v>051-246-300</v>
      </c>
      <c r="AB58" s="94" t="str">
        <f>IF(Y58, IF( Z58, AA58, Kontrola_Neispravno), Kontrola_Obavezno)</f>
        <v>051-246-300</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v>0</v>
      </c>
      <c r="E60" s="83">
        <v>5</v>
      </c>
      <c r="F60" s="83">
        <v>1</v>
      </c>
      <c r="G60" s="44" t="s">
        <v>399</v>
      </c>
      <c r="H60" s="83">
        <v>2</v>
      </c>
      <c r="I60" s="83">
        <v>1</v>
      </c>
      <c r="J60" s="83">
        <v>5</v>
      </c>
      <c r="K60" s="44" t="s">
        <v>399</v>
      </c>
      <c r="L60" s="83">
        <v>6</v>
      </c>
      <c r="M60" s="83">
        <v>1</v>
      </c>
      <c r="N60" s="83">
        <v>0</v>
      </c>
      <c r="O60" s="44"/>
      <c r="P60" s="44"/>
      <c r="Y60" s="14" t="b">
        <f>OR( LEN( AA60) = 2, LEN(AA60) = 11)</f>
        <v>1</v>
      </c>
      <c r="Z60" s="14" t="b">
        <v>1</v>
      </c>
      <c r="AA60" s="96" t="str">
        <f>CONCATENATE( D60,E60, F60, G60, H60, I60, J60, K60, L60, M60, N60)</f>
        <v>051-215-610</v>
      </c>
      <c r="AB60" s="94" t="str">
        <f>IF(Y60, IF( Z60, AA60, Kontrola_Neispravno), Kontrola_Obavezno)</f>
        <v>051-215-610</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3"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83"/>
      <c r="C70" s="9"/>
      <c r="D70" s="580"/>
      <c r="E70" s="580"/>
      <c r="F70" s="580"/>
      <c r="G70" s="580"/>
      <c r="H70" s="580"/>
      <c r="I70" s="580"/>
      <c r="J70" s="580"/>
      <c r="K70" s="580"/>
      <c r="L70" s="580"/>
      <c r="M70" s="580"/>
      <c r="N70" s="580"/>
      <c r="O70" s="580"/>
      <c r="P70" s="580"/>
      <c r="Q70" s="580"/>
      <c r="R70" s="580"/>
      <c r="S70" s="580"/>
      <c r="T70" s="580"/>
      <c r="U70" s="580"/>
      <c r="V70" s="580"/>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80"/>
      <c r="E72" s="580"/>
      <c r="F72" s="580"/>
      <c r="G72" s="580"/>
      <c r="H72" s="580"/>
      <c r="I72" s="580"/>
      <c r="J72" s="580"/>
      <c r="K72" s="580"/>
      <c r="L72" s="580"/>
      <c r="M72" s="580"/>
      <c r="N72" s="580"/>
      <c r="O72" s="580"/>
      <c r="P72" s="580"/>
      <c r="Q72" s="580"/>
      <c r="R72" s="580"/>
      <c r="S72" s="580"/>
      <c r="T72" s="580"/>
      <c r="U72" s="580"/>
      <c r="V72" s="580"/>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83" t="str">
        <f>IF( Konsolidovan_izvjestaj, Zaglavlje_Naziv_preduzeca, "")</f>
        <v/>
      </c>
      <c r="Y81"/>
      <c r="Z81"/>
      <c r="AA81"/>
    </row>
    <row r="82" spans="1:27" ht="21" customHeight="1" x14ac:dyDescent="0.2">
      <c r="A82" s="9"/>
      <c r="B82" s="583"/>
      <c r="D82" s="580"/>
      <c r="E82" s="580"/>
      <c r="F82" s="580"/>
      <c r="G82" s="580"/>
      <c r="H82" s="580"/>
      <c r="I82" s="580"/>
      <c r="J82" s="580"/>
      <c r="K82" s="580"/>
      <c r="L82" s="580"/>
      <c r="M82" s="580"/>
      <c r="N82" s="580"/>
      <c r="O82" s="580"/>
      <c r="P82" s="580"/>
      <c r="Q82" s="580"/>
      <c r="R82" s="580"/>
      <c r="S82" s="580"/>
      <c r="T82" s="580"/>
      <c r="U82" s="580"/>
      <c r="V82" s="580"/>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80"/>
      <c r="E84" s="580"/>
      <c r="F84" s="580"/>
      <c r="G84" s="580"/>
      <c r="H84" s="580"/>
      <c r="I84" s="580"/>
      <c r="J84" s="580"/>
      <c r="K84" s="580"/>
      <c r="L84" s="580"/>
      <c r="M84" s="580"/>
      <c r="N84" s="580"/>
      <c r="O84" s="580"/>
      <c r="P84" s="580"/>
      <c r="Q84" s="580"/>
      <c r="R84" s="580"/>
      <c r="S84" s="580"/>
      <c r="T84" s="580"/>
      <c r="U84" s="580"/>
      <c r="V84" s="580"/>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83" t="str">
        <f>IF( Konsolidovan_izvjestaj, Zaglavlje_Naziv_preduzeca, "")</f>
        <v/>
      </c>
    </row>
    <row r="92" spans="1:27" ht="21.75" customHeight="1" x14ac:dyDescent="0.2">
      <c r="A92" s="9"/>
      <c r="B92" s="583"/>
      <c r="D92" s="580"/>
      <c r="E92" s="580"/>
      <c r="F92" s="580"/>
      <c r="G92" s="580"/>
      <c r="H92" s="580"/>
      <c r="I92" s="580"/>
      <c r="J92" s="580"/>
      <c r="K92" s="580"/>
      <c r="L92" s="580"/>
      <c r="M92" s="580"/>
      <c r="N92" s="580"/>
      <c r="O92" s="580"/>
      <c r="P92" s="580"/>
      <c r="Q92" s="580"/>
      <c r="R92" s="580"/>
      <c r="S92" s="580"/>
      <c r="T92" s="580"/>
      <c r="U92" s="580"/>
      <c r="V92" s="580"/>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80"/>
      <c r="E94" s="580"/>
      <c r="F94" s="580"/>
      <c r="G94" s="580"/>
      <c r="H94" s="580"/>
      <c r="I94" s="580"/>
      <c r="J94" s="580"/>
      <c r="K94" s="580"/>
      <c r="L94" s="580"/>
      <c r="M94" s="580"/>
      <c r="N94" s="580"/>
      <c r="O94" s="580"/>
      <c r="P94" s="580"/>
      <c r="Q94" s="580"/>
      <c r="R94" s="580"/>
      <c r="S94" s="580"/>
      <c r="T94" s="580"/>
      <c r="U94" s="580"/>
      <c r="V94" s="580"/>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83" t="str">
        <f>IF( Konsolidovan_izvjestaj, Zaglavlje_Naziv_preduzeca, "")</f>
        <v/>
      </c>
    </row>
    <row r="102" spans="1:32" ht="20.25" customHeight="1" x14ac:dyDescent="0.2">
      <c r="A102" s="9"/>
      <c r="B102" s="583"/>
      <c r="D102" s="580"/>
      <c r="E102" s="580"/>
      <c r="F102" s="580"/>
      <c r="G102" s="580"/>
      <c r="H102" s="580"/>
      <c r="I102" s="580"/>
      <c r="J102" s="580"/>
      <c r="K102" s="580"/>
      <c r="L102" s="580"/>
      <c r="M102" s="580"/>
      <c r="N102" s="580"/>
      <c r="O102" s="580"/>
      <c r="P102" s="580"/>
      <c r="Q102" s="580"/>
      <c r="R102" s="580"/>
      <c r="S102" s="580"/>
      <c r="T102" s="580"/>
      <c r="U102" s="580"/>
      <c r="V102" s="580"/>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80"/>
      <c r="E104" s="580"/>
      <c r="F104" s="580"/>
      <c r="G104" s="580"/>
      <c r="H104" s="580"/>
      <c r="I104" s="580"/>
      <c r="J104" s="580"/>
      <c r="K104" s="580"/>
      <c r="L104" s="580"/>
      <c r="M104" s="580"/>
      <c r="N104" s="580"/>
      <c r="O104" s="580"/>
      <c r="P104" s="580"/>
      <c r="Q104" s="580"/>
      <c r="R104" s="580"/>
      <c r="S104" s="580"/>
      <c r="T104" s="580"/>
      <c r="U104" s="580"/>
      <c r="V104" s="580"/>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3" t="str">
        <f>IF( Konsolidovan_izvjestaj, Zaglavlje_Naziv_preduzeca, "")</f>
        <v/>
      </c>
    </row>
    <row r="112" spans="1:32" ht="22.9" customHeight="1" x14ac:dyDescent="0.2">
      <c r="B112" s="583"/>
      <c r="D112" s="580"/>
      <c r="E112" s="580"/>
      <c r="F112" s="580"/>
      <c r="G112" s="580"/>
      <c r="H112" s="580"/>
      <c r="I112" s="580"/>
      <c r="J112" s="580"/>
      <c r="K112" s="580"/>
      <c r="L112" s="580"/>
      <c r="M112" s="580"/>
      <c r="N112" s="580"/>
      <c r="O112" s="580"/>
      <c r="P112" s="580"/>
      <c r="Q112" s="580"/>
      <c r="R112" s="580"/>
      <c r="S112" s="580"/>
      <c r="T112" s="580"/>
      <c r="U112" s="580"/>
      <c r="V112" s="580"/>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80"/>
      <c r="E114" s="580"/>
      <c r="F114" s="580"/>
      <c r="G114" s="580"/>
      <c r="H114" s="580"/>
      <c r="I114" s="580"/>
      <c r="J114" s="580"/>
      <c r="K114" s="580"/>
      <c r="L114" s="580"/>
      <c r="M114" s="580"/>
      <c r="N114" s="580"/>
      <c r="O114" s="580"/>
      <c r="P114" s="580"/>
      <c r="Q114" s="580"/>
      <c r="R114" s="580"/>
      <c r="S114" s="580"/>
      <c r="T114" s="580"/>
      <c r="U114" s="580"/>
      <c r="V114" s="580"/>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3" t="str">
        <f>IF( Konsolidovan_izvjestaj, Zaglavlje_Naziv_preduzeca, "")</f>
        <v/>
      </c>
    </row>
    <row r="122" spans="2:32" ht="8.25" customHeight="1" x14ac:dyDescent="0.2">
      <c r="B122" s="583"/>
      <c r="D122" s="580"/>
      <c r="E122" s="580"/>
      <c r="F122" s="580"/>
      <c r="G122" s="580"/>
      <c r="H122" s="580"/>
      <c r="I122" s="580"/>
      <c r="J122" s="580"/>
      <c r="K122" s="580"/>
      <c r="L122" s="580"/>
      <c r="M122" s="580"/>
      <c r="N122" s="580"/>
      <c r="O122" s="580"/>
      <c r="P122" s="580"/>
      <c r="Q122" s="580"/>
      <c r="R122" s="580"/>
      <c r="S122" s="580"/>
      <c r="T122" s="580"/>
      <c r="U122" s="580"/>
      <c r="V122" s="580"/>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80"/>
      <c r="E124" s="580"/>
      <c r="F124" s="580"/>
      <c r="G124" s="580"/>
      <c r="H124" s="580"/>
      <c r="I124" s="580"/>
      <c r="J124" s="580"/>
      <c r="K124" s="580"/>
      <c r="L124" s="580"/>
      <c r="M124" s="580"/>
      <c r="N124" s="580"/>
      <c r="O124" s="580"/>
      <c r="P124" s="580"/>
      <c r="Q124" s="580"/>
      <c r="R124" s="580"/>
      <c r="S124" s="580"/>
      <c r="T124" s="580"/>
      <c r="U124" s="580"/>
      <c r="V124" s="580"/>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a9j7mXvjAcYxKMU6V9mrNG4VZND/Enf57rjKuQ4I5kcas/ni1eUuwMwL7+x49Jc0k2m5+TrdEu3AH+VVLp7vww==" saltValue="ClWYd4C2gbuvgkWCtxahLQ=="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4" priority="52" stopIfTrue="1">
      <formula>$AC$3 &gt; 0</formula>
    </cfRule>
  </conditionalFormatting>
  <conditionalFormatting sqref="D15:P15">
    <cfRule type="expression" dxfId="203" priority="2" stopIfTrue="1">
      <formula>$AC$3 &gt; 0</formula>
    </cfRule>
  </conditionalFormatting>
  <conditionalFormatting sqref="E24:P24 E74:P74 E86:P86 E96:P96 E106:P106 E116:P116 E126:P126">
    <cfRule type="expression" dxfId="202" priority="67" stopIfTrue="1">
      <formula>$O$14 &gt; 0</formula>
    </cfRule>
  </conditionalFormatting>
  <conditionalFormatting sqref="G17:I17">
    <cfRule type="expression" dxfId="201" priority="50" stopIfTrue="1">
      <formula>$AC$3 &gt; 0</formula>
    </cfRule>
  </conditionalFormatting>
  <conditionalFormatting sqref="U27:V27">
    <cfRule type="expression" dxfId="200" priority="49" stopIfTrue="1">
      <formula>$AC$3 &gt; 0</formula>
    </cfRule>
  </conditionalFormatting>
  <conditionalFormatting sqref="U29:V29">
    <cfRule type="expression" dxfId="199" priority="48" stopIfTrue="1">
      <formula>$AC$3 &gt; 0</formula>
    </cfRule>
  </conditionalFormatting>
  <conditionalFormatting sqref="U31:V31">
    <cfRule type="expression" dxfId="198" priority="47" stopIfTrue="1">
      <formula>$AC$3 &gt; 0</formula>
    </cfRule>
  </conditionalFormatting>
  <conditionalFormatting sqref="U33:V33">
    <cfRule type="expression" dxfId="197" priority="46" stopIfTrue="1">
      <formula>$AC$3 &gt; 0</formula>
    </cfRule>
  </conditionalFormatting>
  <conditionalFormatting sqref="U35:V35">
    <cfRule type="expression" dxfId="196" priority="45" stopIfTrue="1">
      <formula>$AC$3 &gt; 0</formula>
    </cfRule>
  </conditionalFormatting>
  <conditionalFormatting sqref="U37:V37">
    <cfRule type="expression" dxfId="195" priority="44" stopIfTrue="1">
      <formula>$AC$3 &gt; 0</formula>
    </cfRule>
  </conditionalFormatting>
  <conditionalFormatting sqref="D17:E17">
    <cfRule type="expression" dxfId="194" priority="1"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K31" sqref="K31"/>
      <selection pane="topRight" activeCell="K31" sqref="K31"/>
      <selection pane="bottomLeft" activeCell="K31" sqref="K31"/>
      <selection pane="bottomRight" activeCell="D150" sqref="D150:H150"/>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7" t="str">
        <f>Zaglavlje_Naziv_preduzeca</f>
        <v xml:space="preserve">Naziv privrednog društva, zadruge, drugog pravnog lica ili preduzetnika: </v>
      </c>
      <c r="D5" s="637"/>
      <c r="E5" s="637"/>
      <c r="F5" s="126"/>
      <c r="G5" s="126"/>
      <c r="H5" s="126"/>
      <c r="I5" s="126"/>
      <c r="K5" s="126"/>
      <c r="N5" s="392" t="str">
        <f>Podatak_MB</f>
        <v>1074440</v>
      </c>
    </row>
    <row r="6" spans="1:14" x14ac:dyDescent="0.2">
      <c r="A6" s="13"/>
      <c r="B6" s="13"/>
      <c r="C6" s="637"/>
      <c r="D6" s="637"/>
      <c r="E6" s="637"/>
      <c r="F6" s="128"/>
      <c r="G6" s="126"/>
      <c r="J6" s="126"/>
      <c r="K6" s="126"/>
      <c r="L6" s="126"/>
      <c r="N6" s="421" t="str">
        <f>Zaglavlje_MB</f>
        <v>Matični broj</v>
      </c>
    </row>
    <row r="7" spans="1:14" x14ac:dyDescent="0.2">
      <c r="A7" s="16"/>
      <c r="B7" s="16"/>
      <c r="C7" s="657" t="str">
        <f>Podatak_Naziv_preduzeca</f>
        <v>ODS Elektrokrajina a.d. Banja Luka</v>
      </c>
      <c r="D7" s="657"/>
      <c r="E7" s="657"/>
      <c r="F7" s="244"/>
      <c r="J7" s="126"/>
      <c r="K7" s="126"/>
      <c r="L7" s="126"/>
      <c r="N7" s="392" t="str">
        <f>Podatak_Sifra_djelatnosti</f>
        <v>35.13</v>
      </c>
    </row>
    <row r="8" spans="1:14" x14ac:dyDescent="0.2">
      <c r="A8" s="16"/>
      <c r="B8" s="16"/>
      <c r="C8" s="125" t="str">
        <f>Zaglavlje_Sjediste</f>
        <v>Sjedište:</v>
      </c>
      <c r="D8" s="614" t="str">
        <f>Podatak_Sjediste</f>
        <v>Kralja Petra I Karađorđevića 95 Banja Luka</v>
      </c>
      <c r="E8" s="614"/>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61" t="str">
        <f>Podatak_JIB</f>
        <v>4400855640000</v>
      </c>
      <c r="M9" s="661"/>
      <c r="N9" s="661"/>
    </row>
    <row r="10" spans="1:14" x14ac:dyDescent="0.2">
      <c r="A10" s="13"/>
      <c r="B10" s="13"/>
      <c r="C10" s="660" t="str">
        <f>Podatak_Ziro_racun_1</f>
        <v>555-007-00046178-45</v>
      </c>
      <c r="D10" s="660"/>
      <c r="E10" s="660"/>
      <c r="F10" s="125"/>
      <c r="G10" s="647" t="s">
        <v>786</v>
      </c>
      <c r="H10" s="647"/>
      <c r="J10" s="126"/>
      <c r="K10" s="126"/>
      <c r="L10" s="126"/>
      <c r="N10" s="243" t="str">
        <f>Zaglavlje_JIB</f>
        <v>JIB</v>
      </c>
    </row>
    <row r="11" spans="1:14" x14ac:dyDescent="0.2">
      <c r="B11" s="8"/>
      <c r="C11" s="660" t="str">
        <f>Podatak_Ziro_racun_2</f>
        <v>571-010-00000582-64</v>
      </c>
      <c r="D11" s="660"/>
      <c r="E11" s="660"/>
      <c r="F11" s="130"/>
      <c r="G11" s="130"/>
      <c r="H11" s="130"/>
      <c r="I11" s="130"/>
      <c r="J11" s="131"/>
      <c r="K11" s="131"/>
      <c r="L11" s="130"/>
      <c r="M11" s="132"/>
      <c r="N11" s="132"/>
    </row>
    <row r="12" spans="1:14" x14ac:dyDescent="0.2">
      <c r="B12" s="8"/>
      <c r="C12" s="660" t="str">
        <f>Podatak_Ziro_racun_3</f>
        <v>562-099-00001349-36</v>
      </c>
      <c r="D12" s="660"/>
      <c r="E12" s="660"/>
      <c r="F12" s="130"/>
      <c r="G12" s="130"/>
      <c r="H12" s="130"/>
      <c r="I12" s="130"/>
      <c r="J12" s="131"/>
      <c r="K12" s="131"/>
      <c r="L12" s="130"/>
      <c r="M12" s="132"/>
      <c r="N12" s="132"/>
    </row>
    <row r="13" spans="1:14" x14ac:dyDescent="0.2">
      <c r="B13" s="8"/>
      <c r="C13" s="660" t="str">
        <f>Podatak_Ziro_racun_4</f>
        <v>552-000-20644796-78</v>
      </c>
      <c r="D13" s="660"/>
      <c r="E13" s="660"/>
      <c r="F13" s="130"/>
      <c r="G13" s="130"/>
      <c r="H13" s="130"/>
      <c r="I13" s="130"/>
      <c r="J13" s="131"/>
      <c r="K13" s="131"/>
      <c r="L13" s="130"/>
      <c r="M13" s="132"/>
      <c r="N13" s="132"/>
    </row>
    <row r="14" spans="1:14" ht="15.75" x14ac:dyDescent="0.2">
      <c r="B14" s="8"/>
      <c r="C14" s="615" t="str">
        <f>IF( Id_Konsolidovani, Nazivi_bilansa_Konsolidovani_naziv &amp; LOWER( Nazivi_bilansa_BS), Nazivi_bilansa_BS)</f>
        <v>Bilans stanja</v>
      </c>
      <c r="D14" s="615"/>
      <c r="E14" s="615"/>
      <c r="F14" s="615"/>
      <c r="G14" s="615"/>
      <c r="H14" s="615"/>
      <c r="I14" s="615"/>
      <c r="J14" s="615"/>
      <c r="K14" s="615"/>
      <c r="L14" s="615"/>
      <c r="M14" s="615"/>
      <c r="N14" s="615"/>
    </row>
    <row r="15" spans="1:14" x14ac:dyDescent="0.2">
      <c r="B15" s="8"/>
      <c r="C15" s="653" t="str">
        <f>Nazivi_bilansa_BS1</f>
        <v>(Izvještaj o finansijskom položaju)</v>
      </c>
      <c r="D15" s="653"/>
      <c r="E15" s="653"/>
      <c r="F15" s="653"/>
      <c r="G15" s="653"/>
      <c r="H15" s="653"/>
      <c r="I15" s="653"/>
      <c r="J15" s="653"/>
      <c r="K15" s="653"/>
      <c r="L15" s="653"/>
      <c r="M15" s="653"/>
      <c r="N15" s="653"/>
    </row>
    <row r="16" spans="1:14" x14ac:dyDescent="0.2">
      <c r="B16" s="8"/>
      <c r="C16" s="653" t="str">
        <f>Datumi_Datum_BS</f>
        <v>na dan 30.09.2025. godine</v>
      </c>
      <c r="D16" s="653"/>
      <c r="E16" s="653"/>
      <c r="F16" s="653"/>
      <c r="G16" s="653"/>
      <c r="H16" s="653"/>
      <c r="I16" s="653"/>
      <c r="J16" s="653"/>
      <c r="K16" s="653"/>
      <c r="L16" s="653"/>
      <c r="M16" s="653"/>
      <c r="N16" s="653"/>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50" t="str">
        <f>Tabele_zaglavlje_Grupa_racuna</f>
        <v>Grupa računa, račun</v>
      </c>
      <c r="D18" s="638" t="str">
        <f>Tabele_zaglavlje_Pozicija</f>
        <v>POZICIJA</v>
      </c>
      <c r="E18" s="639"/>
      <c r="F18" s="639"/>
      <c r="G18" s="639"/>
      <c r="H18" s="640"/>
      <c r="I18" s="654" t="str">
        <f>Tabele_zaglavlje_Oznaka_aop</f>
        <v>Oznaka za AOP</v>
      </c>
      <c r="J18" s="658" t="str" cm="1">
        <f t="array" ref="J18">Tabele_zaglavlje_Napomena_aop</f>
        <v>Napomena</v>
      </c>
      <c r="K18" s="652" t="str">
        <f>Tabele_zaglavlje_BS_iznos_tekuca</f>
        <v>Iznos na dan bilansa tekuće godine</v>
      </c>
      <c r="L18" s="652"/>
      <c r="M18" s="652"/>
      <c r="N18" s="648" t="str">
        <f>Tabele_zaglavlje_BS_iznos_prethodna</f>
        <v>Iznos na dan bilansa prethodne godine (PS)</v>
      </c>
    </row>
    <row r="19" spans="2:16" ht="38.25" customHeight="1" x14ac:dyDescent="0.2">
      <c r="B19" s="8"/>
      <c r="C19" s="651"/>
      <c r="D19" s="641"/>
      <c r="E19" s="642"/>
      <c r="F19" s="642"/>
      <c r="G19" s="642"/>
      <c r="H19" s="643"/>
      <c r="I19" s="655"/>
      <c r="J19" s="659"/>
      <c r="K19" s="22" t="str">
        <f>Tabele_zaglavlje_BS_bruto</f>
        <v>Bruto</v>
      </c>
      <c r="L19" s="23" t="str">
        <f>Tabele_zaglavlje_BS_ispravka</f>
        <v>Ispravka vrijednosti</v>
      </c>
      <c r="M19" s="23" t="str">
        <f>Tabele_zaglavlje_BS_neto</f>
        <v>Neto (5-6)</v>
      </c>
      <c r="N19" s="649"/>
      <c r="P19" s="134" t="s">
        <v>490</v>
      </c>
    </row>
    <row r="20" spans="2:16" x14ac:dyDescent="0.2">
      <c r="B20" s="15" t="s">
        <v>123</v>
      </c>
      <c r="C20" s="24">
        <v>1</v>
      </c>
      <c r="D20" s="644">
        <v>2</v>
      </c>
      <c r="E20" s="645"/>
      <c r="F20" s="645"/>
      <c r="G20" s="645"/>
      <c r="H20" s="646"/>
      <c r="I20" s="25">
        <v>3</v>
      </c>
      <c r="J20" s="25">
        <v>4</v>
      </c>
      <c r="K20" s="25">
        <v>5</v>
      </c>
      <c r="L20" s="25">
        <v>6</v>
      </c>
      <c r="M20" s="25">
        <v>7</v>
      </c>
      <c r="N20" s="26">
        <v>8</v>
      </c>
    </row>
    <row r="21" spans="2:16" ht="26.25" customHeight="1" x14ac:dyDescent="0.2">
      <c r="B21" s="15">
        <v>1</v>
      </c>
      <c r="C21" s="169">
        <f>VLOOKUP( $B21, T_Aop[], 5, 1)</f>
        <v>0</v>
      </c>
      <c r="D21" s="616" t="str">
        <f>VLOOKUP( $B21, T_Aop[], 6, 1)</f>
        <v xml:space="preserve">  BILANSNA AKTIVA
A. STALNA SREDSTVA (002+008+015+016+017+022+034)</v>
      </c>
      <c r="E21" s="617"/>
      <c r="F21" s="617"/>
      <c r="G21" s="617"/>
      <c r="H21" s="618"/>
      <c r="I21" s="426">
        <f>VLOOKUP( $B21, T_Aop[], 4, 1)</f>
        <v>1</v>
      </c>
      <c r="J21" s="427"/>
      <c r="K21" s="32">
        <f>SUBTOTAL( 9, K22:K54)</f>
        <v>1163187079</v>
      </c>
      <c r="L21" s="32">
        <f>SUBTOTAL( 9, L22:L54)</f>
        <v>690458708</v>
      </c>
      <c r="M21" s="236">
        <f>IF(AND([0]!Godina=2025,MID(Osnovni_podaci!D20,3,1)="S",Osnovni_podaci!L24=4,Osnovni_podaci!G24=0,MID(Osnovni_podaci!D20,3,1)="S",MID(Osnovni_podaci!D20,8,1)="k"),SUM(K21,-L21),A1)</f>
        <v>472728371</v>
      </c>
      <c r="N21" s="33">
        <f>SUBTOTAL( 9, N22:N54)</f>
        <v>479751513</v>
      </c>
    </row>
    <row r="22" spans="2:16" x14ac:dyDescent="0.2">
      <c r="B22" s="15">
        <v>2</v>
      </c>
      <c r="C22" s="360" t="str">
        <f>VLOOKUP( $B22, T_Aop[], 5, 1)</f>
        <v>01</v>
      </c>
      <c r="D22" s="634" t="str">
        <f>VLOOKUP( $B22, T_Aop[], 6, 1)</f>
        <v xml:space="preserve">  I  NEMATERIJALNA SREDSTVA  (003 do 007)</v>
      </c>
      <c r="E22" s="635"/>
      <c r="F22" s="635"/>
      <c r="G22" s="635"/>
      <c r="H22" s="636"/>
      <c r="I22" s="168">
        <f>VLOOKUP( $B22, T_Aop[], 4, 1)</f>
        <v>2</v>
      </c>
      <c r="J22" s="425"/>
      <c r="K22" s="30">
        <f>SUBTOTAL( 9, K23:K27)</f>
        <v>30359854</v>
      </c>
      <c r="L22" s="30">
        <f>SUBTOTAL( 9, L23:L27)</f>
        <v>18978718</v>
      </c>
      <c r="M22" s="30">
        <f>IF(AND([0]!Godina=2025,MID(Osnovni_podaci!D20,3,1)="S",Osnovni_podaci!L24=4,Osnovni_podaci!G24=0,MID(Osnovni_podaci!D20,3,1)="S",MID(Osnovni_podaci!D20,8,1)="k"),SUM(K22,-L22),A1)</f>
        <v>11381136</v>
      </c>
      <c r="N22" s="240">
        <f>SUBTOTAL( 9, N23:N27)</f>
        <v>12762570</v>
      </c>
      <c r="P22" s="44"/>
    </row>
    <row r="23" spans="2:16" x14ac:dyDescent="0.2">
      <c r="B23" s="15">
        <v>3</v>
      </c>
      <c r="C23" s="361" t="str">
        <f>VLOOKUP( $B23, T_Aop[], 5, 1)</f>
        <v>010, dio 019</v>
      </c>
      <c r="D23" s="608" t="str">
        <f>VLOOKUP( $B23, T_Aop[], 6, 1)</f>
        <v xml:space="preserve">    1. Ulaganja u razvoj</v>
      </c>
      <c r="E23" s="609"/>
      <c r="F23" s="609"/>
      <c r="G23" s="609"/>
      <c r="H23" s="610"/>
      <c r="I23" s="121">
        <f>VLOOKUP( $B23, T_Aop[], 4, 1)</f>
        <v>3</v>
      </c>
      <c r="J23" s="157"/>
      <c r="K23" s="157">
        <v>1110722</v>
      </c>
      <c r="L23" s="157">
        <v>1110722</v>
      </c>
      <c r="M23" s="237">
        <f>IF(AND([0]!Godina=2025,MID(Osnovni_podaci!D20,3,1)="S",Osnovni_podaci!L24=4,Osnovni_podaci!G24=0,MID(Osnovni_podaci!D20,3,1)="S",MID(Osnovni_podaci!D20,8,1)="k"),SUM(K23,-L23),A1)</f>
        <v>0</v>
      </c>
      <c r="N23" s="193">
        <v>0</v>
      </c>
      <c r="P23" s="44"/>
    </row>
    <row r="24" spans="2:16" x14ac:dyDescent="0.2">
      <c r="B24" s="15">
        <v>4</v>
      </c>
      <c r="C24" s="362" t="str">
        <f>VLOOKUP( $B24, T_Aop[], 5, 1)</f>
        <v>011, 013 dio 019</v>
      </c>
      <c r="D24" s="611" t="str">
        <f>VLOOKUP( $B24, T_Aop[], 6, 1)</f>
        <v xml:space="preserve">    2. Koncesije, patenti, licence, softver i ostala prava</v>
      </c>
      <c r="E24" s="612"/>
      <c r="F24" s="612"/>
      <c r="G24" s="612"/>
      <c r="H24" s="613"/>
      <c r="I24" s="122">
        <f>VLOOKUP( $B24, T_Aop[], 4, 1)</f>
        <v>4</v>
      </c>
      <c r="J24" s="155"/>
      <c r="K24" s="155">
        <v>26609938</v>
      </c>
      <c r="L24" s="155">
        <v>17867996</v>
      </c>
      <c r="M24" s="150">
        <f>IF(AND([0]!Godina=2025,MID(Osnovni_podaci!D20,3,1)="S",Osnovni_podaci!L24=4,Osnovni_podaci!G24=0,MID(Osnovni_podaci!D20,3,1)="S",MID(Osnovni_podaci!D20,8,1)="k"),SUM(K24,-L24),A1)</f>
        <v>8741942</v>
      </c>
      <c r="N24" s="192">
        <v>10367487</v>
      </c>
      <c r="P24" s="44"/>
    </row>
    <row r="25" spans="2:16" x14ac:dyDescent="0.2">
      <c r="B25" s="15">
        <v>5</v>
      </c>
      <c r="C25" s="361" t="str">
        <f>VLOOKUP( $B25, T_Aop[], 5, 1)</f>
        <v>012, dio 019</v>
      </c>
      <c r="D25" s="608" t="str">
        <f>VLOOKUP( $B25, T_Aop[], 6, 1)</f>
        <v xml:space="preserve">    3. Goodwill</v>
      </c>
      <c r="E25" s="609"/>
      <c r="F25" s="609"/>
      <c r="G25" s="609"/>
      <c r="H25" s="610"/>
      <c r="I25" s="121">
        <f>VLOOKUP( $B25, T_Aop[], 4, 1)</f>
        <v>5</v>
      </c>
      <c r="J25" s="157"/>
      <c r="K25" s="157">
        <v>0</v>
      </c>
      <c r="L25" s="157">
        <v>0</v>
      </c>
      <c r="M25" s="151">
        <f>IF(AND([0]!Godina=2025,MID(Osnovni_podaci!D20,3,1)="S",Osnovni_podaci!L24=4,Osnovni_podaci!G24=0,MID(Osnovni_podaci!D20,3,1)="S",MID(Osnovni_podaci!D20,8,1)="k"),SUM(K25,-L25),A1)</f>
        <v>0</v>
      </c>
      <c r="N25" s="193">
        <v>0</v>
      </c>
      <c r="P25" s="44"/>
    </row>
    <row r="26" spans="2:16" x14ac:dyDescent="0.2">
      <c r="B26" s="15">
        <v>6</v>
      </c>
      <c r="C26" s="362" t="str">
        <f>VLOOKUP( $B26, T_Aop[], 5, 1)</f>
        <v>014, dio 019</v>
      </c>
      <c r="D26" s="611" t="str">
        <f>VLOOKUP( $B26, T_Aop[], 6, 1)</f>
        <v xml:space="preserve">    4. Ostala nematerijalna sredstva</v>
      </c>
      <c r="E26" s="612"/>
      <c r="F26" s="612"/>
      <c r="G26" s="612"/>
      <c r="H26" s="613"/>
      <c r="I26" s="122">
        <f>VLOOKUP( $B26, T_Aop[], 4, 1)</f>
        <v>6</v>
      </c>
      <c r="J26" s="155"/>
      <c r="K26" s="155">
        <v>0</v>
      </c>
      <c r="L26" s="155">
        <v>0</v>
      </c>
      <c r="M26" s="152">
        <f>IF(AND([0]!Godina=2025,MID(Osnovni_podaci!D20,3,1)="S",Osnovni_podaci!L24=4,Osnovni_podaci!G24=0,MID(Osnovni_podaci!D20,3,1)="S",MID(Osnovni_podaci!D20,8,1)="k"),SUM(K26,-L26),A1)</f>
        <v>0</v>
      </c>
      <c r="N26" s="192">
        <v>0</v>
      </c>
      <c r="P26" s="44"/>
    </row>
    <row r="27" spans="2:16" x14ac:dyDescent="0.2">
      <c r="B27" s="15">
        <v>7</v>
      </c>
      <c r="C27" s="361" t="str">
        <f>VLOOKUP( $B27, T_Aop[], 5, 1)</f>
        <v>015, 016, dio 019</v>
      </c>
      <c r="D27" s="608" t="str">
        <f>VLOOKUP( $B27, T_Aop[], 6, 1)</f>
        <v xml:space="preserve">    5. Avansi i nematerijalna sredstva u pripremi </v>
      </c>
      <c r="E27" s="609"/>
      <c r="F27" s="609"/>
      <c r="G27" s="609"/>
      <c r="H27" s="610"/>
      <c r="I27" s="121">
        <f>VLOOKUP( $B27, T_Aop[], 4, 1)</f>
        <v>7</v>
      </c>
      <c r="J27" s="157"/>
      <c r="K27" s="157">
        <v>2639194</v>
      </c>
      <c r="L27" s="157">
        <v>0</v>
      </c>
      <c r="M27" s="151">
        <f>IF(AND([0]!Godina=2025,MID(Osnovni_podaci!D20,3,1)="S",Osnovni_podaci!L24=4,Osnovni_podaci!G24=0,MID(Osnovni_podaci!D20,3,1)="S",MID(Osnovni_podaci!D20,8,1)="k"),SUM(K27,-L27),A1)</f>
        <v>2639194</v>
      </c>
      <c r="N27" s="193">
        <v>2395083</v>
      </c>
      <c r="P27" s="44"/>
    </row>
    <row r="28" spans="2:16" x14ac:dyDescent="0.2">
      <c r="B28" s="15">
        <v>8</v>
      </c>
      <c r="C28" s="362" t="str">
        <f>VLOOKUP( $B28, T_Aop[], 5, 1)</f>
        <v>02</v>
      </c>
      <c r="D28" s="619" t="str">
        <f>VLOOKUP( $B28, T_Aop[], 6, 1)</f>
        <v xml:space="preserve">  II  NEKRETNINE, POSTROJENJA I OPREMA (009 do 014) </v>
      </c>
      <c r="E28" s="620"/>
      <c r="F28" s="620"/>
      <c r="G28" s="620"/>
      <c r="H28" s="621"/>
      <c r="I28" s="171">
        <f>VLOOKUP( $B28, T_Aop[], 4, 1)</f>
        <v>8</v>
      </c>
      <c r="J28" s="155"/>
      <c r="K28" s="30">
        <f>SUBTOTAL(9,K29:K34)</f>
        <v>1120046989</v>
      </c>
      <c r="L28" s="30">
        <f>SUBTOTAL(9,L29:L34)</f>
        <v>658870640</v>
      </c>
      <c r="M28" s="31">
        <f>IF(AND([0]!Godina=2025,MID(Osnovni_podaci!D20,3,1)="S",Osnovni_podaci!L24=4,Osnovni_podaci!G24=0,MID(Osnovni_podaci!D20,3,1)="S",MID(Osnovni_podaci!D20,8,1)="k"),SUM(K28,-L28),A1)</f>
        <v>461176349</v>
      </c>
      <c r="N28" s="240">
        <f>SUBTOTAL(9,N29:N34)</f>
        <v>466816305</v>
      </c>
      <c r="P28" s="44"/>
    </row>
    <row r="29" spans="2:16" x14ac:dyDescent="0.2">
      <c r="B29" s="15">
        <v>9</v>
      </c>
      <c r="C29" s="361" t="str">
        <f>VLOOKUP( $B29, T_Aop[], 5, 1)</f>
        <v>020, dio 029</v>
      </c>
      <c r="D29" s="608" t="str">
        <f>VLOOKUP( $B29, T_Aop[], 6, 1)</f>
        <v xml:space="preserve">    1. Zemljište</v>
      </c>
      <c r="E29" s="609"/>
      <c r="F29" s="609"/>
      <c r="G29" s="609"/>
      <c r="H29" s="610"/>
      <c r="I29" s="121">
        <f>VLOOKUP( $B29, T_Aop[], 4, 1)</f>
        <v>9</v>
      </c>
      <c r="J29" s="157"/>
      <c r="K29" s="157">
        <v>12411087</v>
      </c>
      <c r="L29" s="157">
        <v>0</v>
      </c>
      <c r="M29" s="151">
        <f>IF(AND([0]!Godina=2025,MID(Osnovni_podaci!D20,3,1)="S",Osnovni_podaci!L24=4,Osnovni_podaci!G24=0,MID(Osnovni_podaci!D20,3,1)="S",MID(Osnovni_podaci!D20,8,1)="k"),SUM(K29,-L29),A1)</f>
        <v>12411087</v>
      </c>
      <c r="N29" s="193">
        <v>12387150</v>
      </c>
      <c r="P29" s="44"/>
    </row>
    <row r="30" spans="2:16" x14ac:dyDescent="0.2">
      <c r="B30" s="15">
        <v>10</v>
      </c>
      <c r="C30" s="362" t="str">
        <f>VLOOKUP( $B30, T_Aop[], 5, 1)</f>
        <v>021, dio 029</v>
      </c>
      <c r="D30" s="611" t="str">
        <f>VLOOKUP( $B30, T_Aop[], 6, 1)</f>
        <v xml:space="preserve">    2. Građevinski objekti</v>
      </c>
      <c r="E30" s="612"/>
      <c r="F30" s="612"/>
      <c r="G30" s="612"/>
      <c r="H30" s="613"/>
      <c r="I30" s="122">
        <f>VLOOKUP( $B30, T_Aop[], 4, 1)</f>
        <v>10</v>
      </c>
      <c r="J30" s="155"/>
      <c r="K30" s="155">
        <v>376733155</v>
      </c>
      <c r="L30" s="155">
        <v>241272175</v>
      </c>
      <c r="M30" s="152">
        <f>IF(AND([0]!Godina=2025,MID(Osnovni_podaci!D20,3,1)="S",Osnovni_podaci!L24=4,Osnovni_podaci!G24=0,MID(Osnovni_podaci!D20,3,1)="S",MID(Osnovni_podaci!D20,8,1)="k"),SUM(K30,-L30),A1)</f>
        <v>135460980</v>
      </c>
      <c r="N30" s="192">
        <v>139356098</v>
      </c>
      <c r="P30" s="44"/>
    </row>
    <row r="31" spans="2:16" x14ac:dyDescent="0.2">
      <c r="B31" s="15">
        <v>11</v>
      </c>
      <c r="C31" s="361" t="str">
        <f>VLOOKUP( $B31, T_Aop[], 5, 1)</f>
        <v>022, dio 029</v>
      </c>
      <c r="D31" s="608" t="str">
        <f>VLOOKUP( $B31, T_Aop[], 6, 1)</f>
        <v xml:space="preserve">    3. Postrojenja i oprema</v>
      </c>
      <c r="E31" s="609"/>
      <c r="F31" s="609"/>
      <c r="G31" s="609"/>
      <c r="H31" s="610"/>
      <c r="I31" s="121">
        <f>VLOOKUP( $B31, T_Aop[], 4, 1)</f>
        <v>11</v>
      </c>
      <c r="J31" s="157"/>
      <c r="K31" s="157">
        <v>658251571</v>
      </c>
      <c r="L31" s="157">
        <v>417598465</v>
      </c>
      <c r="M31" s="151">
        <f>IF(AND([0]!Godina=2025,MID(Osnovni_podaci!D20,3,1)="S",Osnovni_podaci!L24=4,Osnovni_podaci!G24=0,MID(Osnovni_podaci!D20,3,1)="S",MID(Osnovni_podaci!D20,8,1)="k"),SUM(K31,-L31),A1)</f>
        <v>240653106</v>
      </c>
      <c r="N31" s="193">
        <v>245366983</v>
      </c>
      <c r="P31" s="44"/>
    </row>
    <row r="32" spans="2:16" x14ac:dyDescent="0.2">
      <c r="B32" s="15">
        <v>12</v>
      </c>
      <c r="C32" s="362" t="str">
        <f>VLOOKUP( $B32, T_Aop[], 5, 1)</f>
        <v>023, dio 029</v>
      </c>
      <c r="D32" s="611" t="str">
        <f>VLOOKUP( $B32, T_Aop[], 6, 1)</f>
        <v xml:space="preserve">    4. Ostale nekretnine, postrojenja i oprema</v>
      </c>
      <c r="E32" s="612"/>
      <c r="F32" s="612"/>
      <c r="G32" s="612"/>
      <c r="H32" s="613"/>
      <c r="I32" s="122">
        <f>VLOOKUP( $B32, T_Aop[], 4, 1)</f>
        <v>12</v>
      </c>
      <c r="J32" s="155"/>
      <c r="K32" s="155">
        <v>25817</v>
      </c>
      <c r="L32" s="155">
        <v>0</v>
      </c>
      <c r="M32" s="152">
        <f>IF(AND([0]!Godina=2025,MID(Osnovni_podaci!D20,3,1)="S",Osnovni_podaci!L24=4,Osnovni_podaci!G24=0,MID(Osnovni_podaci!D20,3,1)="S",MID(Osnovni_podaci!D20,8,1)="k"),SUM(K32,-L32),A1)</f>
        <v>25817</v>
      </c>
      <c r="N32" s="192">
        <v>25817</v>
      </c>
      <c r="P32" s="44"/>
    </row>
    <row r="33" spans="2:16" x14ac:dyDescent="0.2">
      <c r="B33" s="15">
        <v>13</v>
      </c>
      <c r="C33" s="361" t="str">
        <f>VLOOKUP( $B33, T_Aop[], 5, 1)</f>
        <v>024, dio 029</v>
      </c>
      <c r="D33" s="608" t="str">
        <f>VLOOKUP( $B33, T_Aop[], 6, 1)</f>
        <v xml:space="preserve">    5. Ulaganje na tuđim nekretninama, postrojenjima i opremi</v>
      </c>
      <c r="E33" s="609"/>
      <c r="F33" s="609"/>
      <c r="G33" s="609"/>
      <c r="H33" s="610"/>
      <c r="I33" s="121">
        <f>VLOOKUP( $B33, T_Aop[], 4, 1)</f>
        <v>13</v>
      </c>
      <c r="J33" s="157"/>
      <c r="K33" s="157">
        <v>0</v>
      </c>
      <c r="L33" s="157">
        <v>0</v>
      </c>
      <c r="M33" s="151">
        <f>IF(AND([0]!Godina=2025,MID(Osnovni_podaci!D20,3,1)="S",Osnovni_podaci!L24=4,Osnovni_podaci!G24=0,MID(Osnovni_podaci!D20,3,1)="S",MID(Osnovni_podaci!D20,8,1)="k"),SUM(K33,-L33),A1)</f>
        <v>0</v>
      </c>
      <c r="N33" s="193">
        <v>0</v>
      </c>
      <c r="P33" s="44"/>
    </row>
    <row r="34" spans="2:16" x14ac:dyDescent="0.2">
      <c r="B34" s="15">
        <v>14</v>
      </c>
      <c r="C34" s="362" t="str">
        <f>VLOOKUP( $B34, T_Aop[], 5, 1)</f>
        <v>025, 026, dio 029</v>
      </c>
      <c r="D34" s="611" t="str">
        <f>VLOOKUP( $B34, T_Aop[], 6, 1)</f>
        <v xml:space="preserve">    6. Avansi i nekretnine, postrojenja i oprema u pripremi</v>
      </c>
      <c r="E34" s="612"/>
      <c r="F34" s="612"/>
      <c r="G34" s="612"/>
      <c r="H34" s="613"/>
      <c r="I34" s="122">
        <f>VLOOKUP( $B34, T_Aop[], 4, 1)</f>
        <v>14</v>
      </c>
      <c r="J34" s="155"/>
      <c r="K34" s="155">
        <v>72625359</v>
      </c>
      <c r="L34" s="155">
        <v>0</v>
      </c>
      <c r="M34" s="152">
        <f>IF(AND([0]!Godina=2025,MID(Osnovni_podaci!D20,3,1)="S",Osnovni_podaci!L24=4,Osnovni_podaci!G24=0,MID(Osnovni_podaci!D20,3,1)="S",MID(Osnovni_podaci!D20,8,1)="k"),SUM(K34,-L34),A1)</f>
        <v>72625359</v>
      </c>
      <c r="N34" s="192">
        <v>69680257</v>
      </c>
      <c r="P34" s="44"/>
    </row>
    <row r="35" spans="2:16" ht="12.75" customHeight="1" x14ac:dyDescent="0.2">
      <c r="B35" s="15">
        <v>15</v>
      </c>
      <c r="C35" s="361" t="str">
        <f>VLOOKUP( $B35, T_Aop[], 5, 1)</f>
        <v>03</v>
      </c>
      <c r="D35" s="616" t="str">
        <f>VLOOKUP( $B35, T_Aop[], 6, 1)</f>
        <v xml:space="preserve">  III INVESTICIONE NEKRETNINE</v>
      </c>
      <c r="E35" s="617"/>
      <c r="F35" s="617"/>
      <c r="G35" s="617"/>
      <c r="H35" s="618"/>
      <c r="I35" s="170">
        <f>VLOOKUP( $B35, T_Aop[], 4, 1)</f>
        <v>15</v>
      </c>
      <c r="J35" s="157"/>
      <c r="K35" s="203">
        <v>0</v>
      </c>
      <c r="L35" s="203">
        <v>0</v>
      </c>
      <c r="M35" s="32">
        <f>IF(AND([0]!Godina=2025,MID(Osnovni_podaci!D20,3,1)="S",Osnovni_podaci!L24=4,Osnovni_podaci!G24=0,MID(Osnovni_podaci!D20,3,1)="S",MID(Osnovni_podaci!D20,8,1)="k"),SUM(K35,-L35),A1)</f>
        <v>0</v>
      </c>
      <c r="N35" s="194">
        <v>0</v>
      </c>
      <c r="P35" s="44"/>
    </row>
    <row r="36" spans="2:16" x14ac:dyDescent="0.2">
      <c r="B36" s="15">
        <v>16</v>
      </c>
      <c r="C36" s="362" t="str">
        <f>VLOOKUP( $B36, T_Aop[], 5, 1)</f>
        <v>04</v>
      </c>
      <c r="D36" s="619" t="str">
        <f>VLOOKUP( $B36, T_Aop[], 6, 1)</f>
        <v xml:space="preserve">  IV SREDSTVA UZETA U ZAKUP </v>
      </c>
      <c r="E36" s="620"/>
      <c r="F36" s="620"/>
      <c r="G36" s="620"/>
      <c r="H36" s="621"/>
      <c r="I36" s="171">
        <f>VLOOKUP( $B36, T_Aop[], 4, 1)</f>
        <v>16</v>
      </c>
      <c r="J36" s="155"/>
      <c r="K36" s="81">
        <v>0</v>
      </c>
      <c r="L36" s="81">
        <v>0</v>
      </c>
      <c r="M36" s="31">
        <f>IF(AND([0]!Godina=2025,MID(Osnovni_podaci!D20,3,1)="S",Osnovni_podaci!L24=4,Osnovni_podaci!G24=0,MID(Osnovni_podaci!D20,3,1)="S",MID(Osnovni_podaci!D20,8,1)="k"),SUM(K36,-L36),A1)</f>
        <v>0</v>
      </c>
      <c r="N36" s="437">
        <v>0</v>
      </c>
      <c r="P36" s="44"/>
    </row>
    <row r="37" spans="2:16" x14ac:dyDescent="0.2">
      <c r="B37" s="15">
        <v>17</v>
      </c>
      <c r="C37" s="361" t="str">
        <f>VLOOKUP( $B37, T_Aop[], 5, 1)</f>
        <v>05</v>
      </c>
      <c r="D37" s="616" t="str">
        <f>VLOOKUP( $B37, T_Aop[], 6, 1)</f>
        <v xml:space="preserve">  V BIOLOŠKA SREDSTVA   (018 do 021)</v>
      </c>
      <c r="E37" s="617"/>
      <c r="F37" s="617"/>
      <c r="G37" s="617"/>
      <c r="H37" s="618"/>
      <c r="I37" s="170">
        <f>VLOOKUP( $B37, T_Aop[], 4, 1)</f>
        <v>17</v>
      </c>
      <c r="J37" s="157"/>
      <c r="K37" s="32">
        <f>SUBTOTAL(9,K38:K41)</f>
        <v>0</v>
      </c>
      <c r="L37" s="32">
        <f>SUBTOTAL(9,L38:L41)</f>
        <v>0</v>
      </c>
      <c r="M37" s="32">
        <f>IF(AND([0]!Godina=2025,MID(Osnovni_podaci!D20,3,1)="S",Osnovni_podaci!L24=4,Osnovni_podaci!G24=0,MID(Osnovni_podaci!D20,3,1)="S",MID(Osnovni_podaci!D20,8,1)="k"),SUM(K37,-L37),A1)</f>
        <v>0</v>
      </c>
      <c r="N37" s="390">
        <f>SUBTOTAL(9,N38:N41)</f>
        <v>0</v>
      </c>
      <c r="P37" s="44"/>
    </row>
    <row r="38" spans="2:16" x14ac:dyDescent="0.2">
      <c r="B38" s="15">
        <v>18</v>
      </c>
      <c r="C38" s="362" t="str">
        <f>VLOOKUP( $B38, T_Aop[], 5, 1)</f>
        <v>050, dio 059</v>
      </c>
      <c r="D38" s="611" t="str">
        <f>VLOOKUP( $B38, T_Aop[], 6, 1)</f>
        <v xml:space="preserve">    1. Šume</v>
      </c>
      <c r="E38" s="612"/>
      <c r="F38" s="612"/>
      <c r="G38" s="612"/>
      <c r="H38" s="613"/>
      <c r="I38" s="122">
        <f>VLOOKUP( $B38, T_Aop[], 4, 1)</f>
        <v>18</v>
      </c>
      <c r="J38" s="155"/>
      <c r="K38" s="155">
        <v>0</v>
      </c>
      <c r="L38" s="155">
        <v>0</v>
      </c>
      <c r="M38" s="152">
        <f>IF(AND([0]!Godina=2025,MID(Osnovni_podaci!D20,3,1)="S",Osnovni_podaci!L24=4,Osnovni_podaci!G24=0,MID(Osnovni_podaci!D20,3,1)="S",MID(Osnovni_podaci!D20,8,1)="k"),SUM(K38,-L38),A1)</f>
        <v>0</v>
      </c>
      <c r="N38" s="192">
        <v>0</v>
      </c>
      <c r="P38" s="44"/>
    </row>
    <row r="39" spans="2:16" x14ac:dyDescent="0.2">
      <c r="B39" s="15">
        <v>19</v>
      </c>
      <c r="C39" s="361" t="str">
        <f>VLOOKUP( $B39, T_Aop[], 5, 1)</f>
        <v>051, dio 059</v>
      </c>
      <c r="D39" s="608" t="str">
        <f>VLOOKUP( $B39, T_Aop[], 6, 1)</f>
        <v xml:space="preserve">    2. Višegodišnji zasadi</v>
      </c>
      <c r="E39" s="609"/>
      <c r="F39" s="609"/>
      <c r="G39" s="609"/>
      <c r="H39" s="610"/>
      <c r="I39" s="121">
        <f>VLOOKUP( $B39, T_Aop[], 4, 1)</f>
        <v>19</v>
      </c>
      <c r="J39" s="157"/>
      <c r="K39" s="157">
        <v>0</v>
      </c>
      <c r="L39" s="157">
        <v>0</v>
      </c>
      <c r="M39" s="151">
        <f>IF(AND([0]!Godina=2025,MID(Osnovni_podaci!D20,3,1)="S",Osnovni_podaci!L24=4,Osnovni_podaci!G24=0,MID(Osnovni_podaci!D20,3,1)="S",MID(Osnovni_podaci!D20,8,1)="k"),SUM(K39,-L39),A1)</f>
        <v>0</v>
      </c>
      <c r="N39" s="193">
        <v>0</v>
      </c>
      <c r="P39" s="44"/>
    </row>
    <row r="40" spans="2:16" x14ac:dyDescent="0.2">
      <c r="B40" s="15">
        <v>20</v>
      </c>
      <c r="C40" s="362" t="str">
        <f>VLOOKUP( $B40, T_Aop[], 5, 1)</f>
        <v>052, 053 dio 059</v>
      </c>
      <c r="D40" s="611" t="str">
        <f>VLOOKUP( $B40, T_Aop[], 6, 1)</f>
        <v xml:space="preserve">    3. Osnovno stado i ostala biološka sredstva</v>
      </c>
      <c r="E40" s="612"/>
      <c r="F40" s="612"/>
      <c r="G40" s="612"/>
      <c r="H40" s="613"/>
      <c r="I40" s="122">
        <f>VLOOKUP( $B40, T_Aop[], 4, 1)</f>
        <v>20</v>
      </c>
      <c r="J40" s="155"/>
      <c r="K40" s="155">
        <v>0</v>
      </c>
      <c r="L40" s="155">
        <v>0</v>
      </c>
      <c r="M40" s="152">
        <f>IF(AND([0]!Godina=2025,MID(Osnovni_podaci!D20,3,1)="S",Osnovni_podaci!L24=4,Osnovni_podaci!G24=0,MID(Osnovni_podaci!D20,3,1)="S",MID(Osnovni_podaci!D20,8,1)="k"),SUM(K40,-L40),A1)</f>
        <v>0</v>
      </c>
      <c r="N40" s="192">
        <v>0</v>
      </c>
      <c r="P40" s="44"/>
    </row>
    <row r="41" spans="2:16" x14ac:dyDescent="0.2">
      <c r="B41" s="15">
        <v>21</v>
      </c>
      <c r="C41" s="361" t="str">
        <f>VLOOKUP( $B41, T_Aop[], 5, 1)</f>
        <v>055, 056 i dio 059</v>
      </c>
      <c r="D41" s="608" t="str">
        <f>VLOOKUP( $B41, T_Aop[], 6, 1)</f>
        <v xml:space="preserve">    4. Avansi i biološka sredstva u pripremi </v>
      </c>
      <c r="E41" s="609"/>
      <c r="F41" s="609"/>
      <c r="G41" s="609"/>
      <c r="H41" s="610"/>
      <c r="I41" s="121">
        <f>VLOOKUP( $B41, T_Aop[], 4, 1)</f>
        <v>21</v>
      </c>
      <c r="J41" s="157"/>
      <c r="K41" s="157">
        <v>0</v>
      </c>
      <c r="L41" s="157">
        <v>0</v>
      </c>
      <c r="M41" s="151">
        <f>IF(AND([0]!Godina=2025,MID(Osnovni_podaci!D20,3,1)="S",Osnovni_podaci!L24=4,Osnovni_podaci!G24=0,MID(Osnovni_podaci!D20,3,1)="S",MID(Osnovni_podaci!D20,8,1)="k"),SUM(K41,-L41),A1)</f>
        <v>0</v>
      </c>
      <c r="N41" s="193">
        <v>0</v>
      </c>
      <c r="P41" s="44"/>
    </row>
    <row r="42" spans="2:16" x14ac:dyDescent="0.2">
      <c r="B42" s="15">
        <v>22</v>
      </c>
      <c r="C42" s="362" t="str">
        <f>VLOOKUP( $B42, T_Aop[], 5, 1)</f>
        <v>06</v>
      </c>
      <c r="D42" s="619" t="str">
        <f>VLOOKUP( $B42, T_Aop[], 6, 1)</f>
        <v xml:space="preserve">  VI  DUGOROČNI FINANSIJSKI PLASMANI (023+024+025+030+033)</v>
      </c>
      <c r="E42" s="620"/>
      <c r="F42" s="620"/>
      <c r="G42" s="620"/>
      <c r="H42" s="621"/>
      <c r="I42" s="171">
        <f>VLOOKUP( $B42, T_Aop[], 4, 1)</f>
        <v>22</v>
      </c>
      <c r="J42" s="155"/>
      <c r="K42" s="31">
        <f>SUBTOTAL(9,K43:K53)</f>
        <v>12780236</v>
      </c>
      <c r="L42" s="31">
        <f>SUBTOTAL(9,L43:L53)</f>
        <v>12609350</v>
      </c>
      <c r="M42" s="31">
        <f>IF(AND([0]!Godina=2025,MID(Osnovni_podaci!D20,3,1)="S",Osnovni_podaci!L24=4,Osnovni_podaci!G24=0,MID(Osnovni_podaci!D20,3,1)="S",MID(Osnovni_podaci!D20,8,1)="k"),SUM(K42,-L42),A1)</f>
        <v>170886</v>
      </c>
      <c r="N42" s="34">
        <f>IF(AND([0]!Godina=2025,MID(Osnovni_podaci!D20,3,1)="S",Osnovni_podaci!L24=4,Osnovni_podaci!G24=0,MID(Osnovni_podaci!D20,3,1)="S",MID(Osnovni_podaci!D20,8,1)="k"),SUBTOTAL(9,N43:N53),A1)</f>
        <v>172638</v>
      </c>
      <c r="P42" s="44"/>
    </row>
    <row r="43" spans="2:16" x14ac:dyDescent="0.2">
      <c r="B43" s="15">
        <v>23</v>
      </c>
      <c r="C43" s="361" t="str">
        <f>VLOOKUP( $B43, T_Aop[], 5, 1)</f>
        <v>060, dio 069</v>
      </c>
      <c r="D43" s="608" t="str">
        <f>VLOOKUP( $B43, T_Aop[], 6, 1)</f>
        <v xml:space="preserve">    1. Učešće u kapitalu zavisnih subjekata</v>
      </c>
      <c r="E43" s="609"/>
      <c r="F43" s="609"/>
      <c r="G43" s="609"/>
      <c r="H43" s="610"/>
      <c r="I43" s="121">
        <f>VLOOKUP( $B43, T_Aop[], 4, 1)</f>
        <v>23</v>
      </c>
      <c r="J43" s="157"/>
      <c r="K43" s="157">
        <v>10000</v>
      </c>
      <c r="L43" s="157">
        <v>0</v>
      </c>
      <c r="M43" s="151">
        <f>IF(AND([0]!Godina=2025,MID(Osnovni_podaci!D20,3,1)="S",Osnovni_podaci!L24=4,Osnovni_podaci!G24=0,MID(Osnovni_podaci!D20,3,1)="S",MID(Osnovni_podaci!D20,8,1)="k"),SUM(K43,-L43),A1)</f>
        <v>10000</v>
      </c>
      <c r="N43" s="193">
        <v>10000</v>
      </c>
      <c r="P43" s="44"/>
    </row>
    <row r="44" spans="2:16" x14ac:dyDescent="0.2">
      <c r="B44" s="15">
        <v>24</v>
      </c>
      <c r="C44" s="362" t="str">
        <f>VLOOKUP( $B44, T_Aop[], 5, 1)</f>
        <v>061, dio 069</v>
      </c>
      <c r="D44" s="611" t="str">
        <f>VLOOKUP( $B44, T_Aop[], 6, 1)</f>
        <v xml:space="preserve">    2. Učešće u kapitalu pridruženih subjekata i zajedničkih poduhvata</v>
      </c>
      <c r="E44" s="612"/>
      <c r="F44" s="612"/>
      <c r="G44" s="612"/>
      <c r="H44" s="613"/>
      <c r="I44" s="122">
        <f>VLOOKUP( $B44, T_Aop[], 4, 1)</f>
        <v>24</v>
      </c>
      <c r="J44" s="155"/>
      <c r="K44" s="155">
        <v>0</v>
      </c>
      <c r="L44" s="155">
        <v>0</v>
      </c>
      <c r="M44" s="152">
        <f>IF(AND([0]!Godina=2025,MID(Osnovni_podaci!D20,3,1)="S",Osnovni_podaci!L24=4,Osnovni_podaci!G24=0,MID(Osnovni_podaci!D20,3,1)="S",MID(Osnovni_podaci!D20,8,1)="k"),SUM(K44,-L44),A1)</f>
        <v>0</v>
      </c>
      <c r="N44" s="192">
        <v>0</v>
      </c>
      <c r="P44" s="44"/>
    </row>
    <row r="45" spans="2:16" x14ac:dyDescent="0.2">
      <c r="B45" s="15">
        <v>25</v>
      </c>
      <c r="C45" s="361" t="str">
        <f>VLOOKUP( $B45, T_Aop[], 5, 1)</f>
        <v>dio 06</v>
      </c>
      <c r="D45" s="608" t="str">
        <f>VLOOKUP( $B45, T_Aop[], 6, 1)</f>
        <v xml:space="preserve">    3. Finansijska sredstva po amortizovanoj vrijednosti (026 do 029)</v>
      </c>
      <c r="E45" s="609"/>
      <c r="F45" s="609"/>
      <c r="G45" s="609"/>
      <c r="H45" s="610"/>
      <c r="I45" s="121">
        <f>VLOOKUP( $B45, T_Aop[], 4, 1)</f>
        <v>25</v>
      </c>
      <c r="J45" s="157"/>
      <c r="K45" s="32">
        <f>SUBTOTAL(9,K46:K49)</f>
        <v>12601102</v>
      </c>
      <c r="L45" s="32">
        <f>SUBTOTAL(9,L46:L49)</f>
        <v>12601102</v>
      </c>
      <c r="M45" s="203">
        <f>IF(AND([0]!Godina=2025,MID(Osnovni_podaci!D20,3,1)="S",Osnovni_podaci!L24=4,Osnovni_podaci!G24=0,MID(Osnovni_podaci!D20,3,1)="S",MID(Osnovni_podaci!D20,8,1)="k"),SUM(K45,-L45),A1)</f>
        <v>0</v>
      </c>
      <c r="N45" s="391">
        <f>IF(AND([0]!Godina=2025,MID(Osnovni_podaci!D20,3,1)="S",Osnovni_podaci!L24=4,Osnovni_podaci!G24=0,MID(Osnovni_podaci!D20,3,1)="S",MID(Osnovni_podaci!D20,8,1)="k"),SUBTOTAL(9,N46:N49),A1)</f>
        <v>0</v>
      </c>
      <c r="P45" s="44"/>
    </row>
    <row r="46" spans="2:16" x14ac:dyDescent="0.2">
      <c r="B46" s="15">
        <v>26</v>
      </c>
      <c r="C46" s="362" t="str">
        <f>VLOOKUP( $B46, T_Aop[], 5, 1)</f>
        <v>062, dio 069</v>
      </c>
      <c r="D46" s="611" t="str">
        <f>VLOOKUP( $B46, T_Aop[], 6, 1)</f>
        <v xml:space="preserve">      3.1. Dugoročni krediti povezanim pravnim licima</v>
      </c>
      <c r="E46" s="612"/>
      <c r="F46" s="612"/>
      <c r="G46" s="612"/>
      <c r="H46" s="613"/>
      <c r="I46" s="122">
        <f>VLOOKUP( $B46, T_Aop[], 4, 1)</f>
        <v>26</v>
      </c>
      <c r="J46" s="155"/>
      <c r="K46" s="155">
        <v>0</v>
      </c>
      <c r="L46" s="155">
        <v>0</v>
      </c>
      <c r="M46" s="152">
        <f>IF(AND([0]!Godina=2025,MID(Osnovni_podaci!D20,3,1)="S",Osnovni_podaci!L24=4,Osnovni_podaci!G24=0,MID(Osnovni_podaci!D20,3,1)="S",MID(Osnovni_podaci!D20,8,1)="k"),SUM(K46,-L46),A1)</f>
        <v>0</v>
      </c>
      <c r="N46" s="192">
        <v>0</v>
      </c>
      <c r="P46" s="44"/>
    </row>
    <row r="47" spans="2:16" x14ac:dyDescent="0.2">
      <c r="B47" s="15">
        <v>27</v>
      </c>
      <c r="C47" s="361" t="str">
        <f>VLOOKUP( $B47, T_Aop[], 5, 1)</f>
        <v>063, dio 069</v>
      </c>
      <c r="D47" s="608" t="str">
        <f>VLOOKUP( $B47, T_Aop[], 6, 1)</f>
        <v xml:space="preserve">      3.2. Dugoročni krediti u zemlji</v>
      </c>
      <c r="E47" s="609"/>
      <c r="F47" s="609"/>
      <c r="G47" s="609"/>
      <c r="H47" s="610"/>
      <c r="I47" s="121">
        <f>VLOOKUP( $B47, T_Aop[], 4, 1)</f>
        <v>27</v>
      </c>
      <c r="J47" s="157"/>
      <c r="K47" s="157">
        <v>12601102</v>
      </c>
      <c r="L47" s="157">
        <v>12601102</v>
      </c>
      <c r="M47" s="151">
        <f>IF(AND([0]!Godina=2025,MID(Osnovni_podaci!D20,3,1)="S",Osnovni_podaci!L24=4,Osnovni_podaci!G24=0,MID(Osnovni_podaci!D20,3,1)="S",MID(Osnovni_podaci!D20,8,1)="k"),SUM(K47,-L47),A1)</f>
        <v>0</v>
      </c>
      <c r="N47" s="193">
        <v>0</v>
      </c>
      <c r="P47" s="44"/>
    </row>
    <row r="48" spans="2:16" x14ac:dyDescent="0.2">
      <c r="B48" s="15">
        <v>28</v>
      </c>
      <c r="C48" s="362" t="str">
        <f>VLOOKUP( $B48, T_Aop[], 5, 1)</f>
        <v>064, dio 069</v>
      </c>
      <c r="D48" s="611" t="str">
        <f>VLOOKUP( $B48, T_Aop[], 6, 1)</f>
        <v xml:space="preserve">      3.3. Dugoročni krediti u inostranstvu</v>
      </c>
      <c r="E48" s="612"/>
      <c r="F48" s="612"/>
      <c r="G48" s="612"/>
      <c r="H48" s="613"/>
      <c r="I48" s="122">
        <f>VLOOKUP( $B48, T_Aop[], 4, 1)</f>
        <v>28</v>
      </c>
      <c r="J48" s="155"/>
      <c r="K48" s="155">
        <v>0</v>
      </c>
      <c r="L48" s="155">
        <v>0</v>
      </c>
      <c r="M48" s="152">
        <f>IF(AND([0]!Godina=2025,MID(Osnovni_podaci!D20,3,1)="S",Osnovni_podaci!L24=4,Osnovni_podaci!G24=0,MID(Osnovni_podaci!D20,3,1)="S",MID(Osnovni_podaci!D20,8,1)="k"),SUM(K48,-L48),A1)</f>
        <v>0</v>
      </c>
      <c r="N48" s="192">
        <v>0</v>
      </c>
      <c r="P48" s="44"/>
    </row>
    <row r="49" spans="2:16" x14ac:dyDescent="0.2">
      <c r="B49" s="15">
        <v>29</v>
      </c>
      <c r="C49" s="361" t="str">
        <f>VLOOKUP( $B49, T_Aop[], 5, 1)</f>
        <v>065, dio 069</v>
      </c>
      <c r="D49" s="608" t="str">
        <f>VLOOKUP( $B49, T_Aop[], 6, 1)</f>
        <v xml:space="preserve">      3.4. Ostala finansijska sredstva po amortizovanoj vrijednosti</v>
      </c>
      <c r="E49" s="609"/>
      <c r="F49" s="609"/>
      <c r="G49" s="609"/>
      <c r="H49" s="610"/>
      <c r="I49" s="121">
        <f>VLOOKUP( $B49, T_Aop[], 4, 1)</f>
        <v>29</v>
      </c>
      <c r="J49" s="157"/>
      <c r="K49" s="157">
        <v>0</v>
      </c>
      <c r="L49" s="157">
        <v>0</v>
      </c>
      <c r="M49" s="151">
        <f>IF(AND([0]!Godina=2025,MID(Osnovni_podaci!D20,3,1)="S",Osnovni_podaci!L24=4,Osnovni_podaci!G24=0,MID(Osnovni_podaci!D20,3,1)="S",MID(Osnovni_podaci!D20,8,1)="k"),SUM(K49,-L49),A1)</f>
        <v>0</v>
      </c>
      <c r="N49" s="395">
        <v>0</v>
      </c>
      <c r="P49" s="44"/>
    </row>
    <row r="50" spans="2:16" ht="21.75" customHeight="1" x14ac:dyDescent="0.2">
      <c r="B50" s="15">
        <v>30</v>
      </c>
      <c r="C50" s="362" t="str">
        <f>VLOOKUP( $B50, T_Aop[], 5, 1)</f>
        <v>dio 06</v>
      </c>
      <c r="D50" s="611" t="str">
        <f>VLOOKUP( $B50, T_Aop[], 6, 1)</f>
        <v xml:space="preserve">    4. Finansijska sredstva po fer vrijednosti kroz ostali ukupan rezultat (031+032)</v>
      </c>
      <c r="E50" s="612"/>
      <c r="F50" s="612"/>
      <c r="G50" s="612"/>
      <c r="H50" s="613"/>
      <c r="I50" s="122">
        <f>VLOOKUP( $B50, T_Aop[], 4, 1)</f>
        <v>30</v>
      </c>
      <c r="J50" s="155"/>
      <c r="K50" s="389">
        <f>SUBTOTAL( 9, K51:K52)</f>
        <v>169134</v>
      </c>
      <c r="L50" s="389">
        <f>SUBTOTAL( 9, L51:L52)</f>
        <v>8248</v>
      </c>
      <c r="M50" s="31">
        <f>IF(AND([0]!Godina=2025,MID(Osnovni_podaci!D20,3,1)="S",Osnovni_podaci!L24=4,Osnovni_podaci!G24=0,MID(Osnovni_podaci!D20,3,1)="S",MID(Osnovni_podaci!D20,8,1)="k"),SUM(K50,-L50),A1)</f>
        <v>160886</v>
      </c>
      <c r="N50" s="240">
        <f>IF(AND([0]!Godina=2025,MID(Osnovni_podaci!D20,3,1)="S",Osnovni_podaci!L24=4,Osnovni_podaci!G24=0,MID(Osnovni_podaci!D20,3,1)="S",MID(Osnovni_podaci!D20,8,1)="k"),SUBTOTAL( 9, N51:N52),A1)</f>
        <v>162638</v>
      </c>
      <c r="P50" s="44"/>
    </row>
    <row r="51" spans="2:16" x14ac:dyDescent="0.2">
      <c r="B51" s="15">
        <v>31</v>
      </c>
      <c r="C51" s="361" t="str">
        <f>VLOOKUP( $B51, T_Aop[], 5, 1)</f>
        <v>066, dio 069</v>
      </c>
      <c r="D51" s="608" t="str">
        <f>VLOOKUP( $B51, T_Aop[], 6, 1)</f>
        <v xml:space="preserve">      4.1. Vlasnički instrumenti</v>
      </c>
      <c r="E51" s="609"/>
      <c r="F51" s="609"/>
      <c r="G51" s="609"/>
      <c r="H51" s="610"/>
      <c r="I51" s="121">
        <f>VLOOKUP( $B51, T_Aop[], 4, 1)</f>
        <v>31</v>
      </c>
      <c r="J51" s="157"/>
      <c r="K51" s="238">
        <v>0</v>
      </c>
      <c r="L51" s="238">
        <v>0</v>
      </c>
      <c r="M51" s="151">
        <f>IF(AND([0]!Godina=2025,MID(Osnovni_podaci!D20,3,1)="S",Osnovni_podaci!L24=4,Osnovni_podaci!G24=0,MID(Osnovni_podaci!D20,3,1)="S",MID(Osnovni_podaci!D20,8,1)="k"),SUM(K51,-L51),A1)</f>
        <v>0</v>
      </c>
      <c r="N51" s="395">
        <v>0</v>
      </c>
      <c r="P51" s="44"/>
    </row>
    <row r="52" spans="2:16" x14ac:dyDescent="0.2">
      <c r="B52" s="15">
        <v>32</v>
      </c>
      <c r="C52" s="362" t="str">
        <f>VLOOKUP( $B52, T_Aop[], 5, 1)</f>
        <v>067, dio 069</v>
      </c>
      <c r="D52" s="611" t="str">
        <f>VLOOKUP( $B52, T_Aop[], 6, 1)</f>
        <v xml:space="preserve">      4.2. Dužnički instrumenti</v>
      </c>
      <c r="E52" s="612"/>
      <c r="F52" s="612"/>
      <c r="G52" s="612"/>
      <c r="H52" s="613"/>
      <c r="I52" s="122">
        <f>VLOOKUP( $B52, T_Aop[], 4, 1)</f>
        <v>32</v>
      </c>
      <c r="J52" s="155"/>
      <c r="K52" s="155">
        <v>169134</v>
      </c>
      <c r="L52" s="155">
        <v>8248</v>
      </c>
      <c r="M52" s="152">
        <f>IF(AND([0]!Godina=2025,MID(Osnovni_podaci!D20,3,1)="S",Osnovni_podaci!L24=4,Osnovni_podaci!G24=0,MID(Osnovni_podaci!D20,3,1)="S",MID(Osnovni_podaci!D20,8,1)="k"),SUM(K52,-L52),A1)</f>
        <v>160886</v>
      </c>
      <c r="N52" s="396">
        <v>162638</v>
      </c>
      <c r="P52" s="44"/>
    </row>
    <row r="53" spans="2:16" x14ac:dyDescent="0.2">
      <c r="B53" s="15">
        <v>33</v>
      </c>
      <c r="C53" s="361" t="str">
        <f>VLOOKUP( $B53, T_Aop[], 5, 1)</f>
        <v>068, dio 069</v>
      </c>
      <c r="D53" s="608" t="str">
        <f>VLOOKUP( $B53, T_Aop[], 6, 1)</f>
        <v xml:space="preserve">    5. Potraživanja po finansijskom lizingu</v>
      </c>
      <c r="E53" s="609"/>
      <c r="F53" s="609"/>
      <c r="G53" s="609"/>
      <c r="H53" s="610"/>
      <c r="I53" s="121">
        <f>VLOOKUP( $B53, T_Aop[], 4, 1)</f>
        <v>33</v>
      </c>
      <c r="J53" s="157"/>
      <c r="K53" s="238">
        <v>0</v>
      </c>
      <c r="L53" s="238">
        <v>0</v>
      </c>
      <c r="M53" s="151">
        <f>IF(AND([0]!Godina=2025,MID(Osnovni_podaci!D20,3,1)="S",Osnovni_podaci!L24=4,Osnovni_podaci!G24=0,MID(Osnovni_podaci!D20,3,1)="S",MID(Osnovni_podaci!D20,8,1)="k"),SUM(K53,-L53),A1)</f>
        <v>0</v>
      </c>
      <c r="N53" s="395">
        <v>0</v>
      </c>
      <c r="P53" s="44"/>
    </row>
    <row r="54" spans="2:16" x14ac:dyDescent="0.2">
      <c r="B54" s="15">
        <v>34</v>
      </c>
      <c r="C54" s="362" t="str">
        <f>VLOOKUP( $B54, T_Aop[], 5, 1)</f>
        <v>07 i 08</v>
      </c>
      <c r="D54" s="619" t="str">
        <f>VLOOKUP( $B54, T_Aop[], 6, 1)</f>
        <v xml:space="preserve">  VII OSTALA DUGOROČNA SREDSTVA I RAZGRANIČENJA</v>
      </c>
      <c r="E54" s="620"/>
      <c r="F54" s="620"/>
      <c r="G54" s="620"/>
      <c r="H54" s="621"/>
      <c r="I54" s="171">
        <f>VLOOKUP( $B54, T_Aop[], 4, 1)</f>
        <v>34</v>
      </c>
      <c r="J54" s="155"/>
      <c r="K54" s="81">
        <v>0</v>
      </c>
      <c r="L54" s="81">
        <v>0</v>
      </c>
      <c r="M54" s="31">
        <f>IF(AND([0]!Godina=2025,MID(Osnovni_podaci!D20,3,1)="S",Osnovni_podaci!L24=4,Osnovni_podaci!G24=0,MID(Osnovni_podaci!D20,3,1)="S",MID(Osnovni_podaci!D20,8,1)="k"),SUM(K54,-L54),A1)</f>
        <v>0</v>
      </c>
      <c r="N54" s="397">
        <v>0</v>
      </c>
      <c r="P54" s="44"/>
    </row>
    <row r="55" spans="2:16" x14ac:dyDescent="0.2">
      <c r="B55" s="15">
        <v>35</v>
      </c>
      <c r="C55" s="361" t="str">
        <f>VLOOKUP( $B55, T_Aop[], 5, 1)</f>
        <v>090</v>
      </c>
      <c r="D55" s="616" t="str">
        <f>VLOOKUP( $B55, T_Aop[], 6, 1)</f>
        <v xml:space="preserve">  B. ODLOŽENA PORESKA SREDSTVA</v>
      </c>
      <c r="E55" s="617"/>
      <c r="F55" s="617"/>
      <c r="G55" s="617"/>
      <c r="H55" s="618"/>
      <c r="I55" s="170">
        <f>VLOOKUP( $B55, T_Aop[], 4, 1)</f>
        <v>35</v>
      </c>
      <c r="J55" s="157"/>
      <c r="K55" s="203">
        <v>5213297</v>
      </c>
      <c r="L55" s="203">
        <v>0</v>
      </c>
      <c r="M55" s="32">
        <f>IF(AND([0]!Godina=2025,MID(Osnovni_podaci!D20,3,1)="S",Osnovni_podaci!L24=4,Osnovni_podaci!G24=0,MID(Osnovni_podaci!D20,3,1)="S",MID(Osnovni_podaci!D20,8,1)="k"),SUM(K55,-L55),A1)</f>
        <v>5213297</v>
      </c>
      <c r="N55" s="398">
        <v>5213297</v>
      </c>
      <c r="P55" s="44"/>
    </row>
    <row r="56" spans="2:16" x14ac:dyDescent="0.2">
      <c r="B56" s="15">
        <v>36</v>
      </c>
      <c r="C56" s="362" t="str">
        <f>VLOOKUP( $B56, T_Aop[], 5, 1)</f>
        <v xml:space="preserve"> </v>
      </c>
      <c r="D56" s="619" t="str">
        <f>VLOOKUP( $B56, T_Aop[], 6, 1)</f>
        <v xml:space="preserve">  V. TEKUĆA SREDSTVA (037+044)</v>
      </c>
      <c r="E56" s="620"/>
      <c r="F56" s="620"/>
      <c r="G56" s="620"/>
      <c r="H56" s="621"/>
      <c r="I56" s="171">
        <f>VLOOKUP( $B56, T_Aop[], 4, 1)</f>
        <v>36</v>
      </c>
      <c r="J56" s="155"/>
      <c r="K56" s="431">
        <f>SUBTOTAL( 9, K57:K85)</f>
        <v>198132174</v>
      </c>
      <c r="L56" s="431">
        <f>SUBTOTAL( 9, L57:L85)</f>
        <v>160660024</v>
      </c>
      <c r="M56" s="431">
        <f>IF(AND([0]!Godina=2025,MID(Osnovni_podaci!D20,3,1)="S",Osnovni_podaci!L24=4,Osnovni_podaci!G24=0,MID(Osnovni_podaci!D20,3,1)="S",MID(Osnovni_podaci!D20,8,1)="k"),SUM(K56,-L56),A1)</f>
        <v>37472150</v>
      </c>
      <c r="N56" s="432">
        <f>IF(AND([0]!Godina=2025,MID(Osnovni_podaci!D20,3,1)="S",Osnovni_podaci!L24=4,Osnovni_podaci!G24=0,MID(Osnovni_podaci!D20,3,1)="S",MID(Osnovni_podaci!D20,8,1)="k"),SUBTOTAL( 9, N57:N85),A1)</f>
        <v>34494804</v>
      </c>
      <c r="P56" s="44"/>
    </row>
    <row r="57" spans="2:16" ht="25.5" customHeight="1" x14ac:dyDescent="0.2">
      <c r="B57" s="15">
        <v>37</v>
      </c>
      <c r="C57" s="361" t="str">
        <f>VLOOKUP( $B57, T_Aop[], 5, 1)</f>
        <v>10 do 15</v>
      </c>
      <c r="D57" s="616" t="str">
        <f>VLOOKUP( $B57, T_Aop[], 6, 1)</f>
        <v xml:space="preserve">  I   ZALIHE, STALNA SREDSTVA NAMIJENJENA PRODAJI I SREDSTVA POSLOVANJA KOJE SE OBUSTAVLJA (038 do 043)</v>
      </c>
      <c r="E57" s="617"/>
      <c r="F57" s="617"/>
      <c r="G57" s="617"/>
      <c r="H57" s="618"/>
      <c r="I57" s="170">
        <f>VLOOKUP( $B57, T_Aop[], 4, 1)</f>
        <v>37</v>
      </c>
      <c r="J57" s="157"/>
      <c r="K57" s="394">
        <f>SUBTOTAL(9,K58:K63)</f>
        <v>18090553</v>
      </c>
      <c r="L57" s="393">
        <f>SUBTOTAL(9,L58:L63)</f>
        <v>3188336</v>
      </c>
      <c r="M57" s="32">
        <f>IF(AND([0]!Godina=2025,MID(Osnovni_podaci!D20,3,1)="S",Osnovni_podaci!L24=4,Osnovni_podaci!G24=0,MID(Osnovni_podaci!D20,3,1)="S",MID(Osnovni_podaci!D20,8,1)="k"),SUM(K57,-L57),A1)</f>
        <v>14902217</v>
      </c>
      <c r="N57" s="390">
        <f>IF(AND([0]!Godina=2025,MID(Osnovni_podaci!D20,3,1)="S",Osnovni_podaci!L24=4,Osnovni_podaci!G24=0,MID(Osnovni_podaci!D20,3,1)="S",MID(Osnovni_podaci!D20,8,1)="k"),SUBTOTAL(9,N58:N63),A1)</f>
        <v>15002427</v>
      </c>
      <c r="P57" s="44"/>
    </row>
    <row r="58" spans="2:16" x14ac:dyDescent="0.2">
      <c r="B58" s="15">
        <v>38</v>
      </c>
      <c r="C58" s="362" t="str">
        <f>VLOOKUP( $B58, T_Aop[], 5, 1)</f>
        <v>100 do 109</v>
      </c>
      <c r="D58" s="611" t="str">
        <f>VLOOKUP( $B58, T_Aop[], 6, 1)</f>
        <v xml:space="preserve">    1. Zalihe materijala</v>
      </c>
      <c r="E58" s="612"/>
      <c r="F58" s="612"/>
      <c r="G58" s="612"/>
      <c r="H58" s="613"/>
      <c r="I58" s="122">
        <f>VLOOKUP( $B58, T_Aop[], 4, 1)</f>
        <v>38</v>
      </c>
      <c r="J58" s="155"/>
      <c r="K58" s="155">
        <v>18064950</v>
      </c>
      <c r="L58" s="155">
        <v>3179009</v>
      </c>
      <c r="M58" s="152">
        <f>IF(AND([0]!Godina=2025,MID(Osnovni_podaci!D20,3,1)="S",Osnovni_podaci!L24=4,Osnovni_podaci!G24=0,MID(Osnovni_podaci!D20,3,1)="S",MID(Osnovni_podaci!D20,8,1)="k"),SUM(K58,-L58),A1)</f>
        <v>14885941</v>
      </c>
      <c r="N58" s="396">
        <v>14981462</v>
      </c>
      <c r="P58" s="44"/>
    </row>
    <row r="59" spans="2:16" x14ac:dyDescent="0.2">
      <c r="B59" s="15">
        <v>39</v>
      </c>
      <c r="C59" s="361" t="str">
        <f>VLOOKUP( $B59, T_Aop[], 5, 1)</f>
        <v>110 do 119</v>
      </c>
      <c r="D59" s="608" t="str">
        <f>VLOOKUP( $B59, T_Aop[], 6, 1)</f>
        <v xml:space="preserve">    2. Zalihe nedovršene proizvodnje, poluproizvoda i nedovršenih usluga</v>
      </c>
      <c r="E59" s="609"/>
      <c r="F59" s="609"/>
      <c r="G59" s="609"/>
      <c r="H59" s="610"/>
      <c r="I59" s="121">
        <f>VLOOKUP( $B59, T_Aop[], 4, 1)</f>
        <v>39</v>
      </c>
      <c r="J59" s="157"/>
      <c r="K59" s="157">
        <v>0</v>
      </c>
      <c r="L59" s="157">
        <v>0</v>
      </c>
      <c r="M59" s="151">
        <f>IF(AND([0]!Godina=2025,MID(Osnovni_podaci!D20,3,1)="S",Osnovni_podaci!L24=4,Osnovni_podaci!G24=0,MID(Osnovni_podaci!D20,3,1)="S",MID(Osnovni_podaci!D20,8,1)="k"),SUM(K59,-L59),A1)</f>
        <v>0</v>
      </c>
      <c r="N59" s="395">
        <v>0</v>
      </c>
      <c r="P59" s="44"/>
    </row>
    <row r="60" spans="2:16" x14ac:dyDescent="0.2">
      <c r="B60" s="15">
        <v>40</v>
      </c>
      <c r="C60" s="362" t="str">
        <f>VLOOKUP( $B60, T_Aop[], 5, 1)</f>
        <v>120 do 129</v>
      </c>
      <c r="D60" s="611" t="str">
        <f>VLOOKUP( $B60, T_Aop[], 6, 1)</f>
        <v xml:space="preserve">    3. Zalihe gotovih proizvoda</v>
      </c>
      <c r="E60" s="612"/>
      <c r="F60" s="612"/>
      <c r="G60" s="612"/>
      <c r="H60" s="613"/>
      <c r="I60" s="122">
        <f>VLOOKUP( $B60, T_Aop[], 4, 1)</f>
        <v>40</v>
      </c>
      <c r="J60" s="155"/>
      <c r="K60" s="155">
        <v>0</v>
      </c>
      <c r="L60" s="155">
        <v>0</v>
      </c>
      <c r="M60" s="152">
        <f>IF(AND([0]!Godina=2025,MID(Osnovni_podaci!D20,3,1)="S",Osnovni_podaci!L24=4,Osnovni_podaci!G24=0,MID(Osnovni_podaci!D20,3,1)="S",MID(Osnovni_podaci!D20,8,1)="k"),SUM(K60,-L60),A1)</f>
        <v>0</v>
      </c>
      <c r="N60" s="396">
        <v>0</v>
      </c>
      <c r="P60" s="44"/>
    </row>
    <row r="61" spans="2:16" s="27" customFormat="1" x14ac:dyDescent="0.2">
      <c r="B61" s="15">
        <v>41</v>
      </c>
      <c r="C61" s="361" t="str">
        <f>VLOOKUP( $B61, T_Aop[], 5, 1)</f>
        <v>130 do 139</v>
      </c>
      <c r="D61" s="608" t="str">
        <f>VLOOKUP( $B61, T_Aop[], 6, 1)</f>
        <v xml:space="preserve">    4. Zalihe robe</v>
      </c>
      <c r="E61" s="609"/>
      <c r="F61" s="609"/>
      <c r="G61" s="609"/>
      <c r="H61" s="610"/>
      <c r="I61" s="121">
        <f>VLOOKUP( $B61, T_Aop[], 4, 1)</f>
        <v>41</v>
      </c>
      <c r="J61" s="157"/>
      <c r="K61" s="157">
        <v>0</v>
      </c>
      <c r="L61" s="157">
        <v>0</v>
      </c>
      <c r="M61" s="151">
        <f>IF(AND([0]!Godina=2025,MID(Osnovni_podaci!D20,3,1)="S",Osnovni_podaci!L24=4,Osnovni_podaci!G24=0,MID(Osnovni_podaci!D20,3,1)="S",MID(Osnovni_podaci!D20,8,1)="k"),SUM(K61,-L61),A1)</f>
        <v>0</v>
      </c>
      <c r="N61" s="395">
        <v>0</v>
      </c>
      <c r="P61" s="174"/>
    </row>
    <row r="62" spans="2:16" x14ac:dyDescent="0.2">
      <c r="B62" s="15">
        <v>42</v>
      </c>
      <c r="C62" s="362" t="str">
        <f>VLOOKUP( $B62, T_Aop[], 5, 1)</f>
        <v>140 do 149</v>
      </c>
      <c r="D62" s="611" t="str">
        <f>VLOOKUP( $B62, T_Aop[], 6, 1)</f>
        <v xml:space="preserve">    5. Stalna sredstva namijenjena prodaji i sredstva poslovanja koje se obustavlja</v>
      </c>
      <c r="E62" s="612"/>
      <c r="F62" s="612"/>
      <c r="G62" s="612"/>
      <c r="H62" s="613"/>
      <c r="I62" s="122">
        <f>VLOOKUP( $B62, T_Aop[], 4, 1)</f>
        <v>42</v>
      </c>
      <c r="J62" s="155"/>
      <c r="K62" s="155">
        <v>0</v>
      </c>
      <c r="L62" s="155">
        <v>0</v>
      </c>
      <c r="M62" s="152">
        <f>IF(AND([0]!Godina=2025,MID(Osnovni_podaci!D20,3,1)="S",Osnovni_podaci!L24=4,Osnovni_podaci!G24=0,MID(Osnovni_podaci!D20,3,1)="S",MID(Osnovni_podaci!D20,8,1)="k"),SUM(K62,-L62),A1)</f>
        <v>0</v>
      </c>
      <c r="N62" s="396">
        <v>0</v>
      </c>
      <c r="P62" s="44"/>
    </row>
    <row r="63" spans="2:16" x14ac:dyDescent="0.2">
      <c r="B63" s="15">
        <v>43</v>
      </c>
      <c r="C63" s="361" t="str">
        <f>VLOOKUP( $B63, T_Aop[], 5, 1)</f>
        <v>150 do 159</v>
      </c>
      <c r="D63" s="608" t="str">
        <f>VLOOKUP( $B63, T_Aop[], 6, 1)</f>
        <v xml:space="preserve">    6. Dati avansi</v>
      </c>
      <c r="E63" s="609"/>
      <c r="F63" s="609"/>
      <c r="G63" s="609"/>
      <c r="H63" s="610"/>
      <c r="I63" s="121">
        <f>VLOOKUP( $B63, T_Aop[], 4, 1)</f>
        <v>43</v>
      </c>
      <c r="J63" s="157"/>
      <c r="K63" s="157">
        <v>25603</v>
      </c>
      <c r="L63" s="157">
        <v>9327</v>
      </c>
      <c r="M63" s="151">
        <f>IF(AND([0]!Godina=2025,MID(Osnovni_podaci!D20,3,1)="S",Osnovni_podaci!L24=4,Osnovni_podaci!G24=0,MID(Osnovni_podaci!D20,3,1)="S",MID(Osnovni_podaci!D20,8,1)="k"),SUM(K63,-L63),A1)</f>
        <v>16276</v>
      </c>
      <c r="N63" s="395">
        <v>20965</v>
      </c>
      <c r="P63" s="44"/>
    </row>
    <row r="64" spans="2:16" ht="23.65" customHeight="1" x14ac:dyDescent="0.2">
      <c r="B64" s="15">
        <v>44</v>
      </c>
      <c r="C64" s="362" t="str">
        <f>VLOOKUP( $B64, T_Aop[], 5, 1)</f>
        <v xml:space="preserve"> </v>
      </c>
      <c r="D64" s="619" t="str">
        <f>VLOOKUP( $B64, T_Aop[], 6, 1)</f>
        <v xml:space="preserve">  II  KRATKOROČNA SREDSTVA IZUZEV ZALIHA I STALNIH SREDSTAVA NAMIJENJENIH PRODAJI (045+052+061+064+065)</v>
      </c>
      <c r="E64" s="620"/>
      <c r="F64" s="620"/>
      <c r="G64" s="620"/>
      <c r="H64" s="621"/>
      <c r="I64" s="171">
        <f>VLOOKUP( $B64, T_Aop[], 4, 1)</f>
        <v>44</v>
      </c>
      <c r="J64" s="155"/>
      <c r="K64" s="431">
        <f>SUBTOTAL(9,K65:K85)</f>
        <v>180041621</v>
      </c>
      <c r="L64" s="431">
        <f>SUBTOTAL(9,L65:L85)</f>
        <v>157471688</v>
      </c>
      <c r="M64" s="431">
        <f>IF(AND([0]!Godina=2025,MID(Osnovni_podaci!D20,3,1)="S",Osnovni_podaci!L24=4,Osnovni_podaci!G24=0,MID(Osnovni_podaci!D20,3,1)="S",MID(Osnovni_podaci!D20,8,1)="k"),SUM(K64,-L64),A1)</f>
        <v>22569933</v>
      </c>
      <c r="N64" s="432">
        <f>IF(AND([0]!Godina=2025,MID(Osnovni_podaci!D20,3,1)="S",Osnovni_podaci!L24=4,Osnovni_podaci!G24=0,MID(Osnovni_podaci!D20,3,1)="S",MID(Osnovni_podaci!D20,8,1)="k"),SUBTOTAL(9,N65:N85),A1)</f>
        <v>19492377</v>
      </c>
      <c r="P64" s="44"/>
    </row>
    <row r="65" spans="2:16" x14ac:dyDescent="0.2">
      <c r="B65" s="15">
        <v>45</v>
      </c>
      <c r="C65" s="361" t="str">
        <f>VLOOKUP( $B65, T_Aop[], 5, 1)</f>
        <v xml:space="preserve"> </v>
      </c>
      <c r="D65" s="608" t="str">
        <f>VLOOKUP( $B65, T_Aop[], 6, 1)</f>
        <v xml:space="preserve">    1. Kratkoročna potraživanja (046 do 051)</v>
      </c>
      <c r="E65" s="609"/>
      <c r="F65" s="609"/>
      <c r="G65" s="609"/>
      <c r="H65" s="610"/>
      <c r="I65" s="121">
        <f>VLOOKUP( $B65, T_Aop[], 4, 1)</f>
        <v>45</v>
      </c>
      <c r="J65" s="157"/>
      <c r="K65" s="394">
        <f t="shared" ref="K65:L65" si="0">SUBTOTAL(9,K66:K71)</f>
        <v>175292241</v>
      </c>
      <c r="L65" s="394">
        <f t="shared" si="0"/>
        <v>153278050</v>
      </c>
      <c r="M65" s="394">
        <f>IF(AND([0]!Godina=2025,MID(Osnovni_podaci!D20,3,1)="S",Osnovni_podaci!L24=4,Osnovni_podaci!G24=0,MID(Osnovni_podaci!D20,3,1)="S",MID(Osnovni_podaci!D20,8,1)="k"),SUM(K65,-L65),A1)</f>
        <v>22014191</v>
      </c>
      <c r="N65" s="390">
        <f>IF(AND([0]!Godina=2025,MID(Osnovni_podaci!D20,3,1)="S",Osnovni_podaci!L24=4,Osnovni_podaci!G24=0,MID(Osnovni_podaci!D20,3,1)="S",MID(Osnovni_podaci!D20,8,1)="k"),SUBTOTAL(9,N66:N71),A1)</f>
        <v>19146574</v>
      </c>
      <c r="P65" s="44"/>
    </row>
    <row r="66" spans="2:16" x14ac:dyDescent="0.2">
      <c r="B66" s="15">
        <v>46</v>
      </c>
      <c r="C66" s="362" t="str">
        <f>VLOOKUP( $B66, T_Aop[], 5, 1)</f>
        <v>200, dio 209</v>
      </c>
      <c r="D66" s="611" t="str">
        <f>VLOOKUP( $B66, T_Aop[], 6, 1)</f>
        <v xml:space="preserve">      1.1. Kupci - povezana pravna lica</v>
      </c>
      <c r="E66" s="612"/>
      <c r="F66" s="612"/>
      <c r="G66" s="612"/>
      <c r="H66" s="613"/>
      <c r="I66" s="122">
        <f>VLOOKUP( $B66, T_Aop[], 4, 1)</f>
        <v>46</v>
      </c>
      <c r="J66" s="155"/>
      <c r="K66" s="155">
        <v>20682978</v>
      </c>
      <c r="L66" s="155">
        <v>147439</v>
      </c>
      <c r="M66" s="152">
        <f>IF(AND([0]!Godina=2025,MID(Osnovni_podaci!D20,3,1)="S",Osnovni_podaci!L24=4,Osnovni_podaci!G24=0,MID(Osnovni_podaci!D20,3,1)="S",MID(Osnovni_podaci!D20,8,1)="k"),SUM(K66,-L66),A1)</f>
        <v>20535539</v>
      </c>
      <c r="N66" s="396">
        <v>17968928</v>
      </c>
      <c r="P66" s="44"/>
    </row>
    <row r="67" spans="2:16" x14ac:dyDescent="0.2">
      <c r="B67" s="15">
        <v>47</v>
      </c>
      <c r="C67" s="361" t="str">
        <f>VLOOKUP( $B67, T_Aop[], 5, 1)</f>
        <v>201, 202, 203, dio 209</v>
      </c>
      <c r="D67" s="608" t="str">
        <f>VLOOKUP( $B67, T_Aop[], 6, 1)</f>
        <v xml:space="preserve">      1.2. Kupci u zemlji</v>
      </c>
      <c r="E67" s="609"/>
      <c r="F67" s="609"/>
      <c r="G67" s="609"/>
      <c r="H67" s="610"/>
      <c r="I67" s="121">
        <f>VLOOKUP( $B67, T_Aop[], 4, 1)</f>
        <v>47</v>
      </c>
      <c r="J67" s="157"/>
      <c r="K67" s="157">
        <v>154304639</v>
      </c>
      <c r="L67" s="157">
        <v>153092676</v>
      </c>
      <c r="M67" s="151">
        <f>IF(AND([0]!Godina=2025,MID(Osnovni_podaci!D20,3,1)="S",Osnovni_podaci!L24=4,Osnovni_podaci!G24=0,MID(Osnovni_podaci!D20,3,1)="S",MID(Osnovni_podaci!D20,8,1)="k"),SUM(K67,-L67),A1)</f>
        <v>1211963</v>
      </c>
      <c r="N67" s="395">
        <v>860186</v>
      </c>
      <c r="P67" s="44"/>
    </row>
    <row r="68" spans="2:16" x14ac:dyDescent="0.2">
      <c r="B68" s="15">
        <v>48</v>
      </c>
      <c r="C68" s="362" t="str">
        <f>VLOOKUP( $B68, T_Aop[], 5, 1)</f>
        <v>204, dio 209</v>
      </c>
      <c r="D68" s="611" t="str">
        <f>VLOOKUP( $B68, T_Aop[], 6, 1)</f>
        <v xml:space="preserve">      1.3. Kupci iz inostranstva</v>
      </c>
      <c r="E68" s="612"/>
      <c r="F68" s="612"/>
      <c r="G68" s="612"/>
      <c r="H68" s="613"/>
      <c r="I68" s="122">
        <f>VLOOKUP( $B68, T_Aop[], 4, 1)</f>
        <v>48</v>
      </c>
      <c r="J68" s="155"/>
      <c r="K68" s="155">
        <v>0</v>
      </c>
      <c r="L68" s="155">
        <v>0</v>
      </c>
      <c r="M68" s="152">
        <f>IF(AND([0]!Godina=2025,MID(Osnovni_podaci!D20,3,1)="S",Osnovni_podaci!L24=4,Osnovni_podaci!G24=0,MID(Osnovni_podaci!D20,3,1)="S",MID(Osnovni_podaci!D20,8,1)="k"),SUM(K68,-L68),A1)</f>
        <v>0</v>
      </c>
      <c r="N68" s="396">
        <v>0</v>
      </c>
      <c r="P68" s="44"/>
    </row>
    <row r="69" spans="2:16" x14ac:dyDescent="0.2">
      <c r="B69" s="15">
        <v>49</v>
      </c>
      <c r="C69" s="361" t="str">
        <f>VLOOKUP( $B69, T_Aop[], 5, 1)</f>
        <v>grupa 21, osim 214</v>
      </c>
      <c r="D69" s="608" t="str">
        <f>VLOOKUP( $B69, T_Aop[], 6, 1)</f>
        <v xml:space="preserve">      1.4.Potraživanja iz specifičnih poslova</v>
      </c>
      <c r="E69" s="609"/>
      <c r="F69" s="609"/>
      <c r="G69" s="609"/>
      <c r="H69" s="610"/>
      <c r="I69" s="121">
        <f>VLOOKUP( $B69, T_Aop[], 4, 1)</f>
        <v>49</v>
      </c>
      <c r="J69" s="157"/>
      <c r="K69" s="157">
        <v>0</v>
      </c>
      <c r="L69" s="157">
        <v>0</v>
      </c>
      <c r="M69" s="151">
        <f>IF(AND([0]!Godina=2025,MID(Osnovni_podaci!D20,3,1)="S",Osnovni_podaci!L24=4,Osnovni_podaci!G24=0,MID(Osnovni_podaci!D20,3,1)="S",MID(Osnovni_podaci!D20,8,1)="k"),SUM(K69,-L69),A1)</f>
        <v>0</v>
      </c>
      <c r="N69" s="395">
        <v>0</v>
      </c>
      <c r="P69" s="44"/>
    </row>
    <row r="70" spans="2:16" x14ac:dyDescent="0.2">
      <c r="B70" s="15">
        <v>50</v>
      </c>
      <c r="C70" s="362" t="str">
        <f>VLOOKUP( $B70, T_Aop[], 5, 1)</f>
        <v>grupa 22, osim 224</v>
      </c>
      <c r="D70" s="611" t="str">
        <f>VLOOKUP( $B70, T_Aop[], 6, 1)</f>
        <v xml:space="preserve">      1.5. Ostala kratkoročna potraživanja</v>
      </c>
      <c r="E70" s="612"/>
      <c r="F70" s="612"/>
      <c r="G70" s="612"/>
      <c r="H70" s="613"/>
      <c r="I70" s="122">
        <f>VLOOKUP( $B70, T_Aop[], 4, 1)</f>
        <v>50</v>
      </c>
      <c r="J70" s="155"/>
      <c r="K70" s="155">
        <v>261814</v>
      </c>
      <c r="L70" s="155">
        <v>37935</v>
      </c>
      <c r="M70" s="152">
        <f>IF(AND([0]!Godina=2025,MID(Osnovni_podaci!D20,3,1)="S",Osnovni_podaci!L24=4,Osnovni_podaci!G24=0,MID(Osnovni_podaci!D20,3,1)="S",MID(Osnovni_podaci!D20,8,1)="k"),SUM(K70,-L70),A1)</f>
        <v>223879</v>
      </c>
      <c r="N70" s="396">
        <v>317460</v>
      </c>
      <c r="P70" s="44"/>
    </row>
    <row r="71" spans="2:16" x14ac:dyDescent="0.2">
      <c r="B71" s="15">
        <v>51</v>
      </c>
      <c r="C71" s="361">
        <f>VLOOKUP( $B71, T_Aop[], 5, 1)</f>
        <v>224</v>
      </c>
      <c r="D71" s="608" t="str">
        <f>VLOOKUP( $B71, T_Aop[], 6, 1)</f>
        <v xml:space="preserve">      1.6. Potraživanja za više plaćen porez na dobit</v>
      </c>
      <c r="E71" s="609"/>
      <c r="F71" s="609"/>
      <c r="G71" s="609"/>
      <c r="H71" s="610"/>
      <c r="I71" s="121">
        <f>VLOOKUP( $B71, T_Aop[], 4, 1)</f>
        <v>51</v>
      </c>
      <c r="J71" s="157"/>
      <c r="K71" s="157">
        <v>42810</v>
      </c>
      <c r="L71" s="157">
        <v>0</v>
      </c>
      <c r="M71" s="151">
        <f>IF(AND([0]!Godina=2025,MID(Osnovni_podaci!D20,3,1)="S",Osnovni_podaci!L24=4,Osnovni_podaci!G24=0,MID(Osnovni_podaci!D20,3,1)="S",MID(Osnovni_podaci!D20,8,1)="k"),SUM(K71,-L71),A1)</f>
        <v>42810</v>
      </c>
      <c r="N71" s="395">
        <v>0</v>
      </c>
      <c r="P71" s="44"/>
    </row>
    <row r="72" spans="2:16" x14ac:dyDescent="0.2">
      <c r="B72" s="15">
        <v>52</v>
      </c>
      <c r="C72" s="362" t="str">
        <f>VLOOKUP( $B72, T_Aop[], 5, 1)</f>
        <v xml:space="preserve"> </v>
      </c>
      <c r="D72" s="611" t="str">
        <f>VLOOKUP( $B72, T_Aop[], 6, 1)</f>
        <v xml:space="preserve">    2. Kratkoročni finansijski plasmani ( 053 + 058 + 059 + 060)</v>
      </c>
      <c r="E72" s="612"/>
      <c r="F72" s="612"/>
      <c r="G72" s="612"/>
      <c r="H72" s="613"/>
      <c r="I72" s="122">
        <f>VLOOKUP( $B72, T_Aop[], 4, 1)</f>
        <v>52</v>
      </c>
      <c r="J72" s="155"/>
      <c r="K72" s="389">
        <f>IF(AND([0]!Godina=2025,MID(Osnovni_podaci!D20,3,1)="S",Osnovni_podaci!L24=4,Osnovni_podaci!G24=0,MID(Osnovni_podaci!D20,3,1)="S",MID(Osnovni_podaci!D20,8,1)="k"),SUBTOTAL(9,K73:K80),A1)</f>
        <v>4193638</v>
      </c>
      <c r="L72" s="389">
        <f>SUBTOTAL(9,L73:L80)</f>
        <v>4193638</v>
      </c>
      <c r="M72" s="389">
        <f>IF(AND([0]!Godina=2025,MID(Osnovni_podaci!D20,3,1)="S",Osnovni_podaci!L24=4,Osnovni_podaci!G24=0,MID(Osnovni_podaci!D20,3,1)="S",MID(Osnovni_podaci!D20,8,1)="k"),SUM(K72,-L72),A1)</f>
        <v>0</v>
      </c>
      <c r="N72" s="399">
        <f>IF(AND([0]!Godina=2025,MID(Osnovni_podaci!D20,3,1)="S",Osnovni_podaci!L24=4,Osnovni_podaci!G24=0,MID(Osnovni_podaci!D20,3,1)="S",MID(Osnovni_podaci!D20,8,1)="k"),SUBTOTAL(9,N73:N80),A1)</f>
        <v>0</v>
      </c>
      <c r="P72" s="44"/>
    </row>
    <row r="73" spans="2:16" x14ac:dyDescent="0.2">
      <c r="B73" s="15">
        <v>53</v>
      </c>
      <c r="C73" s="361" t="str">
        <f>VLOOKUP( $B73, T_Aop[], 5, 1)</f>
        <v xml:space="preserve"> </v>
      </c>
      <c r="D73" s="608" t="str">
        <f>VLOOKUP( $B73, T_Aop[], 6, 1)</f>
        <v xml:space="preserve">      2.1. Finansijska sredstva po amortizovanoj vrijednosti (054 do 057)</v>
      </c>
      <c r="E73" s="609"/>
      <c r="F73" s="609"/>
      <c r="G73" s="609"/>
      <c r="H73" s="610"/>
      <c r="I73" s="121">
        <f>VLOOKUP( $B73, T_Aop[], 4, 1)</f>
        <v>53</v>
      </c>
      <c r="J73" s="157"/>
      <c r="K73" s="32">
        <f>IF(AND([0]!Godina=2025,MID(Osnovni_podaci!D20,3,1)="S",Osnovni_podaci!L24=4,Osnovni_podaci!G24=0,MID(Osnovni_podaci!D20,3,1)="S",MID(Osnovni_podaci!D20,8,1)="k"),SUBTOTAL(9,K74:K77),A1)</f>
        <v>4193638</v>
      </c>
      <c r="L73" s="32">
        <f>SUBTOTAL(9,L74:L77)</f>
        <v>4193638</v>
      </c>
      <c r="M73" s="394">
        <f>IF(AND([0]!Godina=2025,MID(Osnovni_podaci!D20,3,1)="S",Osnovni_podaci!L24=4,Osnovni_podaci!G24=0,MID(Osnovni_podaci!D20,3,1)="S",MID(Osnovni_podaci!D20,8,1)="k"),SUM(K73,-L73),A1)</f>
        <v>0</v>
      </c>
      <c r="N73" s="400">
        <f>IF(AND([0]!Godina=2025,MID(Osnovni_podaci!D20,3,1)="S",Osnovni_podaci!L24=4,Osnovni_podaci!G24=0,MID(Osnovni_podaci!D20,3,1)="S",MID(Osnovni_podaci!D20,8,1)="k"),SUBTOTAL(9,N74:N77),A1)</f>
        <v>0</v>
      </c>
      <c r="P73" s="44"/>
    </row>
    <row r="74" spans="2:16" x14ac:dyDescent="0.2">
      <c r="B74" s="15">
        <v>54</v>
      </c>
      <c r="C74" s="362" t="str">
        <f>VLOOKUP( $B74, T_Aop[], 5, 1)</f>
        <v>230, dio 238</v>
      </c>
      <c r="D74" s="611" t="str">
        <f>VLOOKUP( $B74, T_Aop[], 6, 1)</f>
        <v xml:space="preserve">        a) Kratkoročni krediti povezanim pravnim licima</v>
      </c>
      <c r="E74" s="612"/>
      <c r="F74" s="612"/>
      <c r="G74" s="612"/>
      <c r="H74" s="613"/>
      <c r="I74" s="122">
        <f>VLOOKUP( $B74, T_Aop[], 4, 1)</f>
        <v>54</v>
      </c>
      <c r="J74" s="155"/>
      <c r="K74" s="155">
        <v>0</v>
      </c>
      <c r="L74" s="155">
        <v>0</v>
      </c>
      <c r="M74" s="152">
        <f>IF(AND([0]!Godina=2025,MID(Osnovni_podaci!D20,3,1)="S",Osnovni_podaci!L24=4,Osnovni_podaci!G24=0,MID(Osnovni_podaci!D20,3,1)="S",MID(Osnovni_podaci!D20,8,1)="k"),SUM(K74,-L74),A1)</f>
        <v>0</v>
      </c>
      <c r="N74" s="396">
        <v>0</v>
      </c>
      <c r="P74" s="44"/>
    </row>
    <row r="75" spans="2:16" x14ac:dyDescent="0.2">
      <c r="B75" s="15">
        <v>55</v>
      </c>
      <c r="C75" s="361" t="str">
        <f>VLOOKUP( $B75, T_Aop[], 5, 1)</f>
        <v>231, dio 238</v>
      </c>
      <c r="D75" s="608" t="str">
        <f>VLOOKUP( $B75, T_Aop[], 6, 1)</f>
        <v xml:space="preserve">        b) Kratkoročni krediti u zemlji</v>
      </c>
      <c r="E75" s="609"/>
      <c r="F75" s="609"/>
      <c r="G75" s="609"/>
      <c r="H75" s="610"/>
      <c r="I75" s="121">
        <f>VLOOKUP( $B75, T_Aop[], 4, 1)</f>
        <v>55</v>
      </c>
      <c r="J75" s="157"/>
      <c r="K75" s="157">
        <v>4193638</v>
      </c>
      <c r="L75" s="157">
        <v>4193638</v>
      </c>
      <c r="M75" s="151">
        <f>IF(AND([0]!Godina=2025,MID(Osnovni_podaci!D20,3,1)="S",Osnovni_podaci!L24=4,Osnovni_podaci!G24=0,MID(Osnovni_podaci!D20,3,1)="S",MID(Osnovni_podaci!D20,8,1)="k"),SUM(K75,-L75),A1)</f>
        <v>0</v>
      </c>
      <c r="N75" s="395">
        <v>0</v>
      </c>
      <c r="P75" s="44"/>
    </row>
    <row r="76" spans="2:16" x14ac:dyDescent="0.2">
      <c r="B76" s="15">
        <v>56</v>
      </c>
      <c r="C76" s="362" t="str">
        <f>VLOOKUP( $B76, T_Aop[], 5, 1)</f>
        <v>232, dio 238</v>
      </c>
      <c r="D76" s="611" t="str">
        <f>VLOOKUP( $B76, T_Aop[], 6, 1)</f>
        <v xml:space="preserve">        c) Kratkoročni krediti u inostranstvu</v>
      </c>
      <c r="E76" s="612"/>
      <c r="F76" s="612"/>
      <c r="G76" s="612"/>
      <c r="H76" s="613"/>
      <c r="I76" s="122">
        <f>VLOOKUP( $B76, T_Aop[], 4, 1)</f>
        <v>56</v>
      </c>
      <c r="J76" s="155"/>
      <c r="K76" s="155">
        <v>0</v>
      </c>
      <c r="L76" s="155">
        <v>0</v>
      </c>
      <c r="M76" s="152">
        <f>IF(AND([0]!Godina=2025,MID(Osnovni_podaci!D20,3,1)="S",Osnovni_podaci!L24=4,Osnovni_podaci!G24=0,MID(Osnovni_podaci!D20,3,1)="S",MID(Osnovni_podaci!D20,8,1)="k"),SUM(K76,-L76),A1)</f>
        <v>0</v>
      </c>
      <c r="N76" s="396">
        <v>0</v>
      </c>
      <c r="P76" s="44"/>
    </row>
    <row r="77" spans="2:16" x14ac:dyDescent="0.2">
      <c r="B77" s="15">
        <v>57</v>
      </c>
      <c r="C77" s="361" t="str">
        <f>VLOOKUP( $B77, T_Aop[], 5, 1)</f>
        <v>233, dio 238</v>
      </c>
      <c r="D77" s="608" t="str">
        <f>VLOOKUP( $B77, T_Aop[], 6, 1)</f>
        <v xml:space="preserve">        d) Ostala finansijska sredstva po amortizovanoj vrijednosti</v>
      </c>
      <c r="E77" s="609"/>
      <c r="F77" s="609"/>
      <c r="G77" s="609"/>
      <c r="H77" s="610"/>
      <c r="I77" s="121">
        <f>VLOOKUP( $B77, T_Aop[], 4, 1)</f>
        <v>57</v>
      </c>
      <c r="J77" s="157"/>
      <c r="K77" s="157">
        <v>0</v>
      </c>
      <c r="L77" s="157">
        <v>0</v>
      </c>
      <c r="M77" s="151">
        <f>IF(AND([0]!Godina=2025,MID(Osnovni_podaci!D20,3,1)="S",Osnovni_podaci!L24=4,Osnovni_podaci!G24=0,MID(Osnovni_podaci!D20,3,1)="S",MID(Osnovni_podaci!D20,8,1)="k"),SUM(K77,-L77),A1)</f>
        <v>0</v>
      </c>
      <c r="N77" s="395">
        <v>0</v>
      </c>
      <c r="P77" s="44"/>
    </row>
    <row r="78" spans="2:16" x14ac:dyDescent="0.2">
      <c r="B78" s="15">
        <v>58</v>
      </c>
      <c r="C78" s="362" t="str">
        <f>VLOOKUP( $B78, T_Aop[], 5, 1)</f>
        <v>235 i 236</v>
      </c>
      <c r="D78" s="611" t="str">
        <f>VLOOKUP( $B78, T_Aop[], 6, 1)</f>
        <v xml:space="preserve">      2.2. Finansijska sredstva po fer vrijednosti kroz bilans uspjeha</v>
      </c>
      <c r="E78" s="612"/>
      <c r="F78" s="612"/>
      <c r="G78" s="612"/>
      <c r="H78" s="613"/>
      <c r="I78" s="122">
        <f>VLOOKUP( $B78, T_Aop[], 4, 1)</f>
        <v>58</v>
      </c>
      <c r="J78" s="155"/>
      <c r="K78" s="155">
        <v>0</v>
      </c>
      <c r="L78" s="155">
        <v>0</v>
      </c>
      <c r="M78" s="152">
        <f>IF(AND([0]!Godina=2025,MID(Osnovni_podaci!D20,3,1)="S",Osnovni_podaci!L24=4,Osnovni_podaci!G24=0,MID(Osnovni_podaci!D20,3,1)="S",MID(Osnovni_podaci!D20,8,1)="k"),SUM(K78,-L78),A1)</f>
        <v>0</v>
      </c>
      <c r="N78" s="396">
        <v>0</v>
      </c>
      <c r="P78" s="44"/>
    </row>
    <row r="79" spans="2:16" x14ac:dyDescent="0.2">
      <c r="B79" s="15">
        <v>59</v>
      </c>
      <c r="C79" s="361" t="str">
        <f>VLOOKUP( $B79, T_Aop[], 5, 1)</f>
        <v>234, 239</v>
      </c>
      <c r="D79" s="608" t="str">
        <f>VLOOKUP( $B79, T_Aop[], 6, 1)</f>
        <v xml:space="preserve">      2.3. Potraživanje po finansijskom lizingu</v>
      </c>
      <c r="E79" s="609"/>
      <c r="F79" s="609"/>
      <c r="G79" s="609"/>
      <c r="H79" s="610"/>
      <c r="I79" s="121">
        <f>VLOOKUP( $B79, T_Aop[], 4, 1)</f>
        <v>59</v>
      </c>
      <c r="J79" s="157"/>
      <c r="K79" s="157">
        <v>0</v>
      </c>
      <c r="L79" s="157">
        <v>0</v>
      </c>
      <c r="M79" s="151">
        <f>IF(AND([0]!Godina=2025,MID(Osnovni_podaci!D20,3,1)="S",Osnovni_podaci!L24=4,Osnovni_podaci!G24=0,MID(Osnovni_podaci!D20,3,1)="S",MID(Osnovni_podaci!D20,8,1)="k"),SUM(K79,-L79),A1)</f>
        <v>0</v>
      </c>
      <c r="N79" s="395">
        <v>0</v>
      </c>
      <c r="P79" s="44"/>
    </row>
    <row r="80" spans="2:16" x14ac:dyDescent="0.2">
      <c r="B80" s="15">
        <v>60</v>
      </c>
      <c r="C80" s="362">
        <f>VLOOKUP( $B80, T_Aop[], 5, 1)</f>
        <v>214</v>
      </c>
      <c r="D80" s="611" t="str">
        <f>VLOOKUP( $B80, T_Aop[], 6, 1)</f>
        <v xml:space="preserve">      2.4. Derivatna finansijska sredstva</v>
      </c>
      <c r="E80" s="612"/>
      <c r="F80" s="612"/>
      <c r="G80" s="612"/>
      <c r="H80" s="613"/>
      <c r="I80" s="122">
        <f>VLOOKUP( $B80, T_Aop[], 4, 1)</f>
        <v>60</v>
      </c>
      <c r="J80" s="155"/>
      <c r="K80" s="155">
        <v>0</v>
      </c>
      <c r="L80" s="155">
        <v>0</v>
      </c>
      <c r="M80" s="152">
        <f>IF(AND([0]!Godina=2025,MID(Osnovni_podaci!D20,3,1)="S",Osnovni_podaci!L24=4,Osnovni_podaci!G24=0,MID(Osnovni_podaci!D20,3,1)="S",MID(Osnovni_podaci!D20,8,1)="k"),SUM(K80,-L80),A1)</f>
        <v>0</v>
      </c>
      <c r="N80" s="396">
        <v>0</v>
      </c>
      <c r="P80" s="44"/>
    </row>
    <row r="81" spans="2:16" x14ac:dyDescent="0.2">
      <c r="B81" s="15">
        <v>61</v>
      </c>
      <c r="C81" s="361">
        <f>VLOOKUP( $B81, T_Aop[], 5, 1)</f>
        <v>24</v>
      </c>
      <c r="D81" s="608" t="str">
        <f>VLOOKUP( $B81, T_Aop[], 6, 1)</f>
        <v xml:space="preserve">    3. Gotovinski ekvivalenti i gotovina (062 + 063)</v>
      </c>
      <c r="E81" s="609"/>
      <c r="F81" s="609"/>
      <c r="G81" s="609"/>
      <c r="H81" s="610"/>
      <c r="I81" s="121">
        <f>VLOOKUP( $B81, T_Aop[], 4, 1)</f>
        <v>61</v>
      </c>
      <c r="J81" s="157"/>
      <c r="K81" s="32">
        <f>IF(AND([0]!Godina=2025,MID(Osnovni_podaci!D20,3,1)="S",Osnovni_podaci!L24=4,Osnovni_podaci!G24=0,MID(Osnovni_podaci!D20,3,1)="S",MID(Osnovni_podaci!D20,8,1)="k"),SUBTOTAL(9,K82:K83),A1)</f>
        <v>463566</v>
      </c>
      <c r="L81" s="32">
        <f>IF(AND([0]!Godina=2025,MID(Osnovni_podaci!D20,3,1)="S",Osnovni_podaci!L24=4,Osnovni_podaci!G24=0,MID(Osnovni_podaci!D20,3,1)="S",MID(Osnovni_podaci!D20,8,1)="k"),SUBTOTAL(9,L82:L83),A1)</f>
        <v>0</v>
      </c>
      <c r="M81" s="32">
        <f t="shared" ref="M81:M86" si="1">SUM(K81,-L81)</f>
        <v>463566</v>
      </c>
      <c r="N81" s="400">
        <f>SUBTOTAL(9,N82:N83)</f>
        <v>207656</v>
      </c>
      <c r="P81" s="44"/>
    </row>
    <row r="82" spans="2:16" x14ac:dyDescent="0.2">
      <c r="B82" s="15">
        <v>62</v>
      </c>
      <c r="C82" s="362" t="str">
        <f>VLOOKUP( $B82, T_Aop[], 5, 1)</f>
        <v>240, dio 249</v>
      </c>
      <c r="D82" s="611" t="str">
        <f>VLOOKUP( $B82, T_Aop[], 6, 1)</f>
        <v xml:space="preserve">      3.1. Gotovinski ekvivalenti </v>
      </c>
      <c r="E82" s="612"/>
      <c r="F82" s="612"/>
      <c r="G82" s="612"/>
      <c r="H82" s="613"/>
      <c r="I82" s="122">
        <f>VLOOKUP( $B82, T_Aop[], 4, 1)</f>
        <v>62</v>
      </c>
      <c r="J82" s="155"/>
      <c r="K82" s="239">
        <v>0</v>
      </c>
      <c r="L82" s="155">
        <v>0</v>
      </c>
      <c r="M82" s="152">
        <f t="shared" si="1"/>
        <v>0</v>
      </c>
      <c r="N82" s="401">
        <v>0</v>
      </c>
      <c r="P82" s="44"/>
    </row>
    <row r="83" spans="2:16" x14ac:dyDescent="0.2">
      <c r="B83" s="15">
        <v>63</v>
      </c>
      <c r="C83" s="361" t="str">
        <f>VLOOKUP( $B83, T_Aop[], 5, 1)</f>
        <v>241 do 249</v>
      </c>
      <c r="D83" s="608" t="str">
        <f>VLOOKUP( $B83, T_Aop[], 6, 1)</f>
        <v xml:space="preserve">      3.2. Gotovina</v>
      </c>
      <c r="E83" s="609"/>
      <c r="F83" s="609"/>
      <c r="G83" s="609"/>
      <c r="H83" s="610"/>
      <c r="I83" s="121">
        <f>VLOOKUP( $B83, T_Aop[], 4, 1)</f>
        <v>63</v>
      </c>
      <c r="J83" s="157"/>
      <c r="K83" s="430">
        <v>463566</v>
      </c>
      <c r="L83" s="157">
        <v>0</v>
      </c>
      <c r="M83" s="151">
        <f t="shared" si="1"/>
        <v>463566</v>
      </c>
      <c r="N83" s="395">
        <v>207656</v>
      </c>
      <c r="P83" s="44"/>
    </row>
    <row r="84" spans="2:16" x14ac:dyDescent="0.2">
      <c r="B84" s="15">
        <v>64</v>
      </c>
      <c r="C84" s="362" t="str">
        <f>VLOOKUP( $B84, T_Aop[], 5, 1)</f>
        <v>270 do 279</v>
      </c>
      <c r="D84" s="611" t="str">
        <f>VLOOKUP( $B84, T_Aop[], 6, 1)</f>
        <v xml:space="preserve">    4. Porez na dodatu vrijednost</v>
      </c>
      <c r="E84" s="612"/>
      <c r="F84" s="612"/>
      <c r="G84" s="612"/>
      <c r="H84" s="613"/>
      <c r="I84" s="122">
        <f>VLOOKUP( $B84, T_Aop[], 4, 1)</f>
        <v>64</v>
      </c>
      <c r="J84" s="155"/>
      <c r="K84" s="429">
        <v>0</v>
      </c>
      <c r="L84" s="155">
        <v>0</v>
      </c>
      <c r="M84" s="152">
        <f t="shared" si="1"/>
        <v>0</v>
      </c>
      <c r="N84" s="396">
        <v>0</v>
      </c>
      <c r="P84" s="44"/>
    </row>
    <row r="85" spans="2:16" x14ac:dyDescent="0.2">
      <c r="B85" s="15">
        <v>65</v>
      </c>
      <c r="C85" s="361" t="str">
        <f>VLOOKUP( $B85, T_Aop[], 5, 1)</f>
        <v>280 do 289</v>
      </c>
      <c r="D85" s="608" t="str">
        <f>VLOOKUP( $B85, T_Aop[], 6, 1)</f>
        <v xml:space="preserve">    5. Kratkoročna  razgraničenja</v>
      </c>
      <c r="E85" s="609"/>
      <c r="F85" s="609"/>
      <c r="G85" s="609"/>
      <c r="H85" s="610"/>
      <c r="I85" s="121">
        <f>VLOOKUP( $B85, T_Aop[], 4, 1)</f>
        <v>65</v>
      </c>
      <c r="J85" s="157"/>
      <c r="K85" s="428">
        <v>92176</v>
      </c>
      <c r="L85" s="157">
        <v>0</v>
      </c>
      <c r="M85" s="151">
        <f t="shared" si="1"/>
        <v>92176</v>
      </c>
      <c r="N85" s="395">
        <v>138147</v>
      </c>
      <c r="P85" s="44"/>
    </row>
    <row r="86" spans="2:16" x14ac:dyDescent="0.2">
      <c r="B86" s="15">
        <v>66</v>
      </c>
      <c r="C86" s="362"/>
      <c r="D86" s="619" t="str">
        <f>VLOOKUP( $B86, T_Aop[], 6, 1)</f>
        <v xml:space="preserve">  G. BILANSNA AKTIVA (001 + 035 + 036)</v>
      </c>
      <c r="E86" s="620"/>
      <c r="F86" s="620"/>
      <c r="G86" s="620"/>
      <c r="H86" s="621"/>
      <c r="I86" s="172">
        <f>VLOOKUP( $B86, T_Aop[], 4, 1)</f>
        <v>66</v>
      </c>
      <c r="J86" s="155"/>
      <c r="K86" s="31">
        <f>IF(AND([0]!Godina=2025,MID(Osnovni_podaci!D20,3,1)="S",Osnovni_podaci!L24=4,Osnovni_podaci!G24=0,MID(Osnovni_podaci!D20,3,1)="S",MID(Osnovni_podaci!D20,8,1)="k"),SUBTOTAL( 9, K21:K85),A1)</f>
        <v>1366532550</v>
      </c>
      <c r="L86" s="31">
        <f>IF(AND([0]!Godina=2025,MID(Osnovni_podaci!D20,3,1)="S",Osnovni_podaci!L24=4,Osnovni_podaci!G24=0,MID(Osnovni_podaci!D20,3,1)="S",MID(Osnovni_podaci!D20,8,1)="k"),SUBTOTAL( 9, L21:L85),A1)</f>
        <v>851118732</v>
      </c>
      <c r="M86" s="81">
        <f t="shared" si="1"/>
        <v>515413818</v>
      </c>
      <c r="N86" s="240">
        <f>SUBTOTAL( 9, N21:N85)</f>
        <v>519459614</v>
      </c>
      <c r="P86" s="44"/>
    </row>
    <row r="87" spans="2:16" x14ac:dyDescent="0.2">
      <c r="B87" s="15">
        <v>67</v>
      </c>
      <c r="C87" s="363" t="str">
        <f>VLOOKUP( $B87, T_Aop[], 5, 1)</f>
        <v>880 do 888</v>
      </c>
      <c r="D87" s="662" t="str">
        <f>VLOOKUP( $B87, T_Aop[], 6, 1)</f>
        <v xml:space="preserve">  D. VANBILANSNA AKTIVA</v>
      </c>
      <c r="E87" s="663"/>
      <c r="F87" s="663"/>
      <c r="G87" s="663"/>
      <c r="H87" s="664"/>
      <c r="I87" s="173">
        <f>VLOOKUP( $B87, T_Aop[], 4, 1)</f>
        <v>67</v>
      </c>
      <c r="J87" s="402"/>
      <c r="K87" s="435">
        <v>116246129</v>
      </c>
      <c r="L87" s="435">
        <v>0</v>
      </c>
      <c r="M87" s="35">
        <f>SUM(K87,-L87)</f>
        <v>116246129</v>
      </c>
      <c r="N87" s="436">
        <v>116246129</v>
      </c>
      <c r="P87" s="44"/>
    </row>
    <row r="88" spans="2:16" x14ac:dyDescent="0.2">
      <c r="C88" s="123"/>
      <c r="D88" s="123"/>
      <c r="E88" s="123"/>
      <c r="F88" s="123"/>
      <c r="G88" s="123"/>
      <c r="H88" s="123"/>
      <c r="I88" s="123"/>
      <c r="J88" s="123"/>
      <c r="K88" s="123"/>
      <c r="L88" s="123"/>
      <c r="M88" s="124"/>
      <c r="N88" s="123"/>
      <c r="P88" s="44"/>
    </row>
    <row r="89" spans="2:16" x14ac:dyDescent="0.2">
      <c r="C89" s="650" t="str">
        <f>Tabele_zaglavlje_Grupa_racuna</f>
        <v>Grupa računa, račun</v>
      </c>
      <c r="D89" s="666" t="str">
        <f>Tabele_zaglavlje_Pozicija</f>
        <v>POZICIJA</v>
      </c>
      <c r="E89" s="667"/>
      <c r="F89" s="667"/>
      <c r="G89" s="667"/>
      <c r="H89" s="668"/>
      <c r="I89" s="676" t="str">
        <f>Tabele_zaglavlje_Oznaka_aop</f>
        <v>Oznaka za AOP</v>
      </c>
      <c r="J89" s="658" t="str">
        <f>Tabele_zaglavlje_Napomena_aop</f>
        <v>Napomena</v>
      </c>
      <c r="K89" s="672"/>
      <c r="L89" s="673"/>
      <c r="M89" s="654" t="str">
        <f>Tabele_zaglavlje_BS_iznos_tekuca</f>
        <v>Iznos na dan bilansa tekuće godine</v>
      </c>
      <c r="N89" s="665" t="str">
        <f>Tabele_zaglavlje_BS_iznos_prethodna</f>
        <v>Iznos na dan bilansa prethodne godine (PS)</v>
      </c>
      <c r="P89" s="44"/>
    </row>
    <row r="90" spans="2:16" ht="39.75" customHeight="1" x14ac:dyDescent="0.2">
      <c r="C90" s="651"/>
      <c r="D90" s="669"/>
      <c r="E90" s="670"/>
      <c r="F90" s="670"/>
      <c r="G90" s="670"/>
      <c r="H90" s="671"/>
      <c r="I90" s="655"/>
      <c r="J90" s="659"/>
      <c r="K90" s="674"/>
      <c r="L90" s="675"/>
      <c r="M90" s="655"/>
      <c r="N90" s="649"/>
      <c r="P90" s="44"/>
    </row>
    <row r="91" spans="2:16" x14ac:dyDescent="0.2">
      <c r="C91" s="24">
        <v>1</v>
      </c>
      <c r="D91" s="644">
        <v>2</v>
      </c>
      <c r="E91" s="645"/>
      <c r="F91" s="645"/>
      <c r="G91" s="645"/>
      <c r="H91" s="646"/>
      <c r="I91" s="235">
        <v>3</v>
      </c>
      <c r="J91" s="241">
        <v>4</v>
      </c>
      <c r="K91" s="404"/>
      <c r="L91" s="405"/>
      <c r="M91" s="234">
        <v>5</v>
      </c>
      <c r="N91" s="26">
        <v>6</v>
      </c>
      <c r="P91" s="44"/>
    </row>
    <row r="92" spans="2:16" ht="22.9" customHeight="1" x14ac:dyDescent="0.2">
      <c r="B92" s="15">
        <v>68</v>
      </c>
      <c r="C92" s="169">
        <f>VLOOKUP( $B92, T_Aop[], 5, 1)</f>
        <v>0</v>
      </c>
      <c r="D92" s="625" t="str">
        <f>IF(AND([0]!Godina=2025,MID(Osnovni_podaci!D20,3,1)="S",Osnovni_podaci!L24=4,Osnovni_podaci!G24=0,MID(Osnovni_podaci!D20,3,1)="S",MID(Osnovni_podaci!D20,8,1)="k"),VLOOKUP( $B92, T_Aop[], 6, 1),A1)</f>
        <v xml:space="preserve">  BILANSNA PASIVA
A. KAPITAL  (102 -110 + 113 - 114 + 115 + 119 + 122 - 123 + 124 - 128 + 131)</v>
      </c>
      <c r="E92" s="626"/>
      <c r="F92" s="626"/>
      <c r="G92" s="626"/>
      <c r="H92" s="627"/>
      <c r="I92" s="170">
        <f>VLOOKUP( $B92, T_Aop[], 4, 1)</f>
        <v>101</v>
      </c>
      <c r="J92" s="427"/>
      <c r="K92" s="604"/>
      <c r="L92" s="605"/>
      <c r="M92" s="522">
        <f>SUBTOTAL( 9, M95:M100,M104,M107:M109, M111:M113,M116:M118,M122) - SUBTOTAL( 9, M102:M103, M114, M120:M121) -SUBTOTAL(9, M105)</f>
        <v>239844692</v>
      </c>
      <c r="N92" s="523">
        <f>SUBTOTAL( 9, N95:N100, N104, N107:N109, N111:N113, N116:N118, N122) - SUBTOTAL( 9, N102:N103, N114, N120:N121)-SUBTOTAL(9,N105)</f>
        <v>234205501</v>
      </c>
      <c r="P92" s="44"/>
    </row>
    <row r="93" spans="2:16" x14ac:dyDescent="0.2">
      <c r="B93" s="15">
        <v>69</v>
      </c>
      <c r="C93" s="357">
        <f>VLOOKUP( $B93, T_Aop[], 5, 1)</f>
        <v>30</v>
      </c>
      <c r="D93" s="634" t="str">
        <f>IF(AND([0]!Godina=2025,MID(Osnovni_podaci!D20,3,1)="S",Osnovni_podaci!L24=4,Osnovni_podaci!G24=0,MID(Osnovni_podaci!D20,3,1)="S",MID(Osnovni_podaci!D20,8,1)="k"),VLOOKUP( $B93, T_Aop[], 6, 1),A1)</f>
        <v xml:space="preserve">  I OSNOVNI KAPITAL (103 + 106 + 107 + 108 + 109)</v>
      </c>
      <c r="E93" s="635"/>
      <c r="F93" s="635"/>
      <c r="G93" s="635"/>
      <c r="H93" s="636"/>
      <c r="I93" s="242">
        <f>VLOOKUP( $B93, T_Aop[], 4, 1)</f>
        <v>102</v>
      </c>
      <c r="J93" s="425"/>
      <c r="K93" s="602"/>
      <c r="L93" s="603"/>
      <c r="M93" s="524">
        <f>SUBTOTAL( 9, M94:M100)</f>
        <v>92276623</v>
      </c>
      <c r="N93" s="525">
        <f>SUBTOTAL( 9, N94:N100)</f>
        <v>92276623</v>
      </c>
      <c r="P93" s="44"/>
    </row>
    <row r="94" spans="2:16" x14ac:dyDescent="0.2">
      <c r="B94" s="15">
        <v>70</v>
      </c>
      <c r="C94" s="358">
        <f>VLOOKUP( $B94, T_Aop[], 5, 1)</f>
        <v>300</v>
      </c>
      <c r="D94" s="608" t="str">
        <f>IF(AND([0]!Godina=2025,MID(Osnovni_podaci!D20,3,1)="S",Osnovni_podaci!L24=4,Osnovni_podaci!G24=0,MID(Osnovni_podaci!D20,3,1)="S",MID(Osnovni_podaci!D20,8,1)="k"),VLOOKUP( $B94, T_Aop[], 6, 1),A1)</f>
        <v xml:space="preserve">    1. Akcijski kapital (104 + 105)</v>
      </c>
      <c r="E94" s="609"/>
      <c r="F94" s="609"/>
      <c r="G94" s="609"/>
      <c r="H94" s="610"/>
      <c r="I94" s="170">
        <f>VLOOKUP( $B94, T_Aop[], 4, 1)</f>
        <v>103</v>
      </c>
      <c r="J94" s="157"/>
      <c r="K94" s="604"/>
      <c r="L94" s="605"/>
      <c r="M94" s="48">
        <f>SUBTOTAL( 9, M95:M96)</f>
        <v>92276623</v>
      </c>
      <c r="N94" s="49">
        <f>SUBTOTAL( 9, N95:N96)</f>
        <v>92276623</v>
      </c>
      <c r="P94" s="44"/>
    </row>
    <row r="95" spans="2:16" x14ac:dyDescent="0.2">
      <c r="B95" s="15">
        <v>71</v>
      </c>
      <c r="C95" s="359"/>
      <c r="D95" s="611" t="str">
        <f>IF(AND([0]!Godina=2025,MID(Osnovni_podaci!D20,3,1)="S",Osnovni_podaci!L24=4,Osnovni_podaci!G24=0,MID(Osnovni_podaci!D20,3,1)="S",MID(Osnovni_podaci!D20,8,1)="k"),VLOOKUP( $B95, T_Aop[], 6, 1),A1)</f>
        <v xml:space="preserve">      1.1. Akcijski kapital - obične akcije </v>
      </c>
      <c r="E95" s="612"/>
      <c r="F95" s="612"/>
      <c r="G95" s="612"/>
      <c r="H95" s="613"/>
      <c r="I95" s="122">
        <f>VLOOKUP( $B95, T_Aop[], 4, 1)</f>
        <v>104</v>
      </c>
      <c r="J95" s="155"/>
      <c r="K95" s="602"/>
      <c r="L95" s="603"/>
      <c r="M95" s="195">
        <v>92276623</v>
      </c>
      <c r="N95" s="196">
        <v>92276623</v>
      </c>
      <c r="P95" s="44"/>
    </row>
    <row r="96" spans="2:16" x14ac:dyDescent="0.2">
      <c r="B96" s="15">
        <v>72</v>
      </c>
      <c r="C96" s="358"/>
      <c r="D96" s="608" t="str">
        <f>IF(AND([0]!Godina=2025,MID(Osnovni_podaci!D20,3,1)="S",Osnovni_podaci!L24=4,Osnovni_podaci!G24=0,MID(Osnovni_podaci!D20,3,1)="S",MID(Osnovni_podaci!D20,8,1)="k"),VLOOKUP( $B96, T_Aop[], 6, 1),A1)</f>
        <v xml:space="preserve">      1.2. Akcijski kapital – povlašćene (prioritetne) akcije</v>
      </c>
      <c r="E96" s="609"/>
      <c r="F96" s="609"/>
      <c r="G96" s="609"/>
      <c r="H96" s="610"/>
      <c r="I96" s="121">
        <f>VLOOKUP( $B96, T_Aop[], 4, 1)</f>
        <v>105</v>
      </c>
      <c r="J96" s="157"/>
      <c r="K96" s="604"/>
      <c r="L96" s="605"/>
      <c r="M96" s="197">
        <v>0</v>
      </c>
      <c r="N96" s="198">
        <v>0</v>
      </c>
      <c r="P96" s="44"/>
    </row>
    <row r="97" spans="2:16" x14ac:dyDescent="0.2">
      <c r="B97" s="15">
        <v>73</v>
      </c>
      <c r="C97" s="359">
        <f>VLOOKUP( $B97, T_Aop[], 5, 1)</f>
        <v>302</v>
      </c>
      <c r="D97" s="611" t="str">
        <f>IF(AND([0]!Godina=2025,MID(Osnovni_podaci!D20,3,1)="S",Osnovni_podaci!L24=4,Osnovni_podaci!G24=0,MID(Osnovni_podaci!D20,3,1)="S",MID(Osnovni_podaci!D20,8,1)="k"),VLOOKUP( $B97, T_Aop[], 6, 1),A1)</f>
        <v xml:space="preserve">    2. Udjeli društva sa ograničenom odgovornošću</v>
      </c>
      <c r="E97" s="612"/>
      <c r="F97" s="612"/>
      <c r="G97" s="612"/>
      <c r="H97" s="613"/>
      <c r="I97" s="122">
        <f>VLOOKUP( $B97, T_Aop[], 4, 1)</f>
        <v>106</v>
      </c>
      <c r="J97" s="155"/>
      <c r="K97" s="602"/>
      <c r="L97" s="603"/>
      <c r="M97" s="195">
        <v>0</v>
      </c>
      <c r="N97" s="196">
        <v>0</v>
      </c>
      <c r="P97" s="44"/>
    </row>
    <row r="98" spans="2:16" x14ac:dyDescent="0.2">
      <c r="B98" s="15">
        <v>74</v>
      </c>
      <c r="C98" s="358">
        <f>VLOOKUP( $B98, T_Aop[], 5, 1)</f>
        <v>304</v>
      </c>
      <c r="D98" s="608" t="str">
        <f>IF(AND([0]!Godina=2025,MID(Osnovni_podaci!D20,3,1)="S",Osnovni_podaci!L24=4,Osnovni_podaci!G24=0,MID(Osnovni_podaci!D20,3,1)="S",MID(Osnovni_podaci!D20,8,1)="k"),VLOOKUP( $B98, T_Aop[], 6, 1),A1)</f>
        <v xml:space="preserve">    3. Ulozi</v>
      </c>
      <c r="E98" s="609"/>
      <c r="F98" s="609"/>
      <c r="G98" s="609"/>
      <c r="H98" s="610"/>
      <c r="I98" s="121">
        <f>VLOOKUP( $B98, T_Aop[], 4, 1)</f>
        <v>107</v>
      </c>
      <c r="J98" s="157"/>
      <c r="K98" s="604"/>
      <c r="L98" s="605"/>
      <c r="M98" s="197">
        <v>0</v>
      </c>
      <c r="N98" s="198">
        <v>0</v>
      </c>
      <c r="P98" s="44"/>
    </row>
    <row r="99" spans="2:16" x14ac:dyDescent="0.2">
      <c r="B99" s="15">
        <v>75</v>
      </c>
      <c r="C99" s="359">
        <f>VLOOKUP( $B99, T_Aop[], 5, 1)</f>
        <v>305</v>
      </c>
      <c r="D99" s="611" t="str">
        <f>IF(AND([0]!Godina=2025,MID(Osnovni_podaci!D20,3,1)="S",Osnovni_podaci!L24=4,Osnovni_podaci!G24=0,MID(Osnovni_podaci!D20,3,1)="S",MID(Osnovni_podaci!D20,8,1)="k"),VLOOKUP( $B99, T_Aop[], 6, 1),A1)</f>
        <v xml:space="preserve">    4. Državni kapital</v>
      </c>
      <c r="E99" s="612"/>
      <c r="F99" s="612"/>
      <c r="G99" s="612"/>
      <c r="H99" s="613"/>
      <c r="I99" s="122">
        <f>VLOOKUP( $B99, T_Aop[], 4, 1)</f>
        <v>108</v>
      </c>
      <c r="J99" s="155"/>
      <c r="K99" s="602"/>
      <c r="L99" s="603"/>
      <c r="M99" s="195">
        <v>0</v>
      </c>
      <c r="N99" s="196">
        <v>0</v>
      </c>
      <c r="P99" s="44"/>
    </row>
    <row r="100" spans="2:16" x14ac:dyDescent="0.2">
      <c r="B100" s="15">
        <v>76</v>
      </c>
      <c r="C100" s="358" t="str">
        <f>IF(AND([0]!Godina=2025,MID(Osnovni_podaci!D20,3,1)="S",Osnovni_podaci!L24=4,Osnovni_podaci!G24=0,MID(Osnovni_podaci!D20,3,1)="S",MID(Osnovni_podaci!D20,8,1)="k"),VLOOKUP( $B100, T_Aop[], 5, 1),A1)</f>
        <v>309</v>
      </c>
      <c r="D100" s="608" t="str">
        <f>IF(AND([0]!Godina=2025,MID(Osnovni_podaci!D20,3,1)="S",Osnovni_podaci!L24=4,Osnovni_podaci!G24=0,MID(Osnovni_podaci!D20,3,1)="S",MID(Osnovni_podaci!D20,8,1)="k"),VLOOKUP( $B100, T_Aop[], 6, 1),A1)</f>
        <v xml:space="preserve">    5. Ostali osnovni kapital</v>
      </c>
      <c r="E100" s="609"/>
      <c r="F100" s="609"/>
      <c r="G100" s="609"/>
      <c r="H100" s="610"/>
      <c r="I100" s="121">
        <f>IF(AND([0]!Godina=2025,MID(Osnovni_podaci!D20,3,1)="S",Osnovni_podaci!L24=4,Osnovni_podaci!G24=0,MID(Osnovni_podaci!D20,3,1)="S",MID(Osnovni_podaci!D20,8,1)="k"),VLOOKUP( $B100, T_Aop[], 4, 1),A1)</f>
        <v>109</v>
      </c>
      <c r="J100" s="157"/>
      <c r="K100" s="604"/>
      <c r="L100" s="605"/>
      <c r="M100" s="197">
        <v>0</v>
      </c>
      <c r="N100" s="198">
        <v>0</v>
      </c>
      <c r="P100" s="44"/>
    </row>
    <row r="101" spans="2:16" x14ac:dyDescent="0.2">
      <c r="B101" s="15">
        <v>77</v>
      </c>
      <c r="C101" s="359">
        <f>IF(AND([0]!Godina=2025,MID(Osnovni_podaci!D20,3,1)="S",Osnovni_podaci!L24=4,Osnovni_podaci!G24=0,MID(Osnovni_podaci!D20,3,1)="S",MID(Osnovni_podaci!D20,8,1)="k"),VLOOKUP( $B101, T_Aop[], 5, 1),A1)</f>
        <v>31</v>
      </c>
      <c r="D101" s="619" t="str">
        <f>IF(AND([0]!Godina=2025,MID(Osnovni_podaci!D20,3,1)="S",Osnovni_podaci!L24=4,Osnovni_podaci!G24=0,MID(Osnovni_podaci!D20,3,1)="S",MID(Osnovni_podaci!D20,8,1)="k"),VLOOKUP( $B101, T_Aop[], 6, 1),A1)</f>
        <v xml:space="preserve">  II OTKUPLJENE SOPSTVENE AKCIJE I UPISANI NEUPLAĆENI KAPITAL (111 + 112)</v>
      </c>
      <c r="E101" s="620"/>
      <c r="F101" s="620"/>
      <c r="G101" s="620"/>
      <c r="H101" s="621"/>
      <c r="I101" s="171">
        <f>IF(AND([0]!Godina=2025,MID(Osnovni_podaci!D20,3,1)="S",Osnovni_podaci!L24=4,Osnovni_podaci!G24=0,MID(Osnovni_podaci!D20,3,1)="S",MID(Osnovni_podaci!D20,8,1)="k"),VLOOKUP( $B101, T_Aop[], 4, 1),A1)</f>
        <v>110</v>
      </c>
      <c r="J101" s="155"/>
      <c r="K101" s="602"/>
      <c r="L101" s="603"/>
      <c r="M101" s="50">
        <f>SUBTOTAL( 9, M102:M103)</f>
        <v>0</v>
      </c>
      <c r="N101" s="51">
        <f>SUBTOTAL( 9, N102:N103)</f>
        <v>0</v>
      </c>
      <c r="P101" s="44"/>
    </row>
    <row r="102" spans="2:16" x14ac:dyDescent="0.2">
      <c r="B102" s="15">
        <v>78</v>
      </c>
      <c r="C102" s="358">
        <f>IF(AND([0]!Godina=2025,MID(Osnovni_podaci!D20,3,1)="S",Osnovni_podaci!L24=4,Osnovni_podaci!G24=0,MID(Osnovni_podaci!D20,3,1)="S",MID(Osnovni_podaci!D20,8,1)="k"),VLOOKUP( $B102, T_Aop[], 5, 1),A1)</f>
        <v>310</v>
      </c>
      <c r="D102" s="608" t="str">
        <f>IF(AND([0]!Godina=2025,MID(Osnovni_podaci!D20,3,1)="S",Osnovni_podaci!L24=4,Osnovni_podaci!G24=0,MID(Osnovni_podaci!D20,3,1)="S",MID(Osnovni_podaci!D20,8,1)="k"),VLOOKUP( $B102, T_Aop[], 6, 1),A1)</f>
        <v xml:space="preserve">    1. Otkupljene sopstvene akcije i udjeli </v>
      </c>
      <c r="E102" s="609"/>
      <c r="F102" s="609"/>
      <c r="G102" s="609"/>
      <c r="H102" s="610"/>
      <c r="I102" s="121">
        <f>IF(AND([0]!Godina=2025,MID(Osnovni_podaci!D20,3,1)="S",Osnovni_podaci!L24=4,Osnovni_podaci!G24=0,MID(Osnovni_podaci!D20,3,1)="S",MID(Osnovni_podaci!D20,8,1)="k"),VLOOKUP( $B102, T_Aop[], 4, 1),A1)</f>
        <v>111</v>
      </c>
      <c r="J102" s="157"/>
      <c r="K102" s="604"/>
      <c r="L102" s="605"/>
      <c r="M102" s="201">
        <v>0</v>
      </c>
      <c r="N102" s="202">
        <v>0</v>
      </c>
      <c r="P102" s="44"/>
    </row>
    <row r="103" spans="2:16" x14ac:dyDescent="0.2">
      <c r="B103" s="15">
        <v>79</v>
      </c>
      <c r="C103" s="359">
        <f>IF(AND([0]!Godina=2025,MID(Osnovni_podaci!D20,3,1)="S",Osnovni_podaci!L24=4,Osnovni_podaci!G24=0,MID(Osnovni_podaci!D20,3,1)="S",MID(Osnovni_podaci!D20,8,1)="k"),VLOOKUP( $B103, T_Aop[], 5, 1),A1)</f>
        <v>311</v>
      </c>
      <c r="D103" s="611" t="str">
        <f>IF(AND([0]!Godina=2025,MID(Osnovni_podaci!D20,3,1)="S",Osnovni_podaci!L24=4,Osnovni_podaci!G24=0,MID(Osnovni_podaci!D20,3,1)="S",MID(Osnovni_podaci!D20,8,1)="k"),VLOOKUP( $B103, T_Aop[], 6, 1),A1)</f>
        <v xml:space="preserve">    2. Upisani neuplaćeni kapital</v>
      </c>
      <c r="E103" s="612"/>
      <c r="F103" s="612"/>
      <c r="G103" s="612"/>
      <c r="H103" s="613"/>
      <c r="I103" s="122">
        <f>IF(AND([0]!Godina=2025,MID(Osnovni_podaci!D20,3,1)="S",Osnovni_podaci!L24=4,Osnovni_podaci!G24=0,MID(Osnovni_podaci!D20,3,1)="S",MID(Osnovni_podaci!D20,8,1)="k"),VLOOKUP( $B103, T_Aop[], 4, 1),A1)</f>
        <v>112</v>
      </c>
      <c r="J103" s="155"/>
      <c r="K103" s="602"/>
      <c r="L103" s="603"/>
      <c r="M103" s="199">
        <v>0</v>
      </c>
      <c r="N103" s="200">
        <v>0</v>
      </c>
      <c r="P103" s="44"/>
    </row>
    <row r="104" spans="2:16" x14ac:dyDescent="0.2">
      <c r="B104" s="15">
        <v>80</v>
      </c>
      <c r="C104" s="358">
        <f>IF(AND([0]!Godina=2025,MID(Osnovni_podaci!D20,3,1)="S",Osnovni_podaci!L24=4,Osnovni_podaci!G24=0,MID(Osnovni_podaci!D20,3,1)="S",MID(Osnovni_podaci!D20,8,1)="k"),VLOOKUP( $B104, T_Aop[], 5, 1),A1)</f>
        <v>320</v>
      </c>
      <c r="D104" s="616" t="str">
        <f>IF(AND([0]!Godina=2025,MID(Osnovni_podaci!D20,3,1)="S",Osnovni_podaci!L24=4,Osnovni_podaci!G24=0,MID(Osnovni_podaci!D20,3,1)="S",MID(Osnovni_podaci!D20,8,1)="k"),VLOOKUP( $B104, T_Aop[], 6, 1),A1)</f>
        <v xml:space="preserve">  III EMISIONA PREMIJA</v>
      </c>
      <c r="E104" s="617"/>
      <c r="F104" s="617"/>
      <c r="G104" s="617"/>
      <c r="H104" s="618"/>
      <c r="I104" s="170">
        <f>IF(AND([0]!Godina=2025,MID(Osnovni_podaci!D20,3,1)="S",Osnovni_podaci!L24=4,Osnovni_podaci!G24=0,MID(Osnovni_podaci!D20,3,1)="S",MID(Osnovni_podaci!D20,8,1)="k"),VLOOKUP( $B104, T_Aop[], 4, 1),A1)</f>
        <v>113</v>
      </c>
      <c r="J104" s="157"/>
      <c r="K104" s="604"/>
      <c r="L104" s="605"/>
      <c r="M104" s="201">
        <v>0</v>
      </c>
      <c r="N104" s="202">
        <v>0</v>
      </c>
      <c r="P104" s="44"/>
    </row>
    <row r="105" spans="2:16" x14ac:dyDescent="0.2">
      <c r="B105" s="15">
        <v>81</v>
      </c>
      <c r="C105" s="359">
        <f>IF(AND([0]!Godina=2025,MID(Osnovni_podaci!D20,3,1)="S",Osnovni_podaci!L24=4,Osnovni_podaci!G24=0,MID(Osnovni_podaci!D20,3,1)="S",MID(Osnovni_podaci!D20,8,1)="k"),VLOOKUP( $B105, T_Aop[], 5, 1),A1)</f>
        <v>321</v>
      </c>
      <c r="D105" s="619" t="str">
        <f>IF(AND([0]!Godina=2025,MID(Osnovni_podaci!D20,3,1)="S",Osnovni_podaci!L24=4,Osnovni_podaci!G24=0,MID(Osnovni_podaci!D20,3,1)="S",MID(Osnovni_podaci!D20,8,1)="k"),VLOOKUP( $B105, T_Aop[], 6, 1),A1)</f>
        <v xml:space="preserve">  IV EMISIONI GUBITAK</v>
      </c>
      <c r="E105" s="620"/>
      <c r="F105" s="620"/>
      <c r="G105" s="620"/>
      <c r="H105" s="621"/>
      <c r="I105" s="171">
        <f>IF(AND([0]!Godina=2025,MID(Osnovni_podaci!D20,3,1)="S",Osnovni_podaci!L24=4,Osnovni_podaci!G24=0,MID(Osnovni_podaci!D20,3,1)="S",MID(Osnovni_podaci!D20,8,1)="k"),VLOOKUP( $B105, T_Aop[], 4, 1),A1)</f>
        <v>114</v>
      </c>
      <c r="J105" s="155"/>
      <c r="K105" s="602"/>
      <c r="L105" s="603"/>
      <c r="M105" s="199">
        <v>0</v>
      </c>
      <c r="N105" s="200">
        <v>0</v>
      </c>
      <c r="P105" s="44"/>
    </row>
    <row r="106" spans="2:16" x14ac:dyDescent="0.2">
      <c r="B106" s="15">
        <v>82</v>
      </c>
      <c r="C106" s="358" t="str">
        <f>IF(AND([0]!Godina=2025,MID(Osnovni_podaci!D20,3,1)="S",Osnovni_podaci!L24=4,Osnovni_podaci!G24=0,MID(Osnovni_podaci!D20,3,1)="S",MID(Osnovni_podaci!D20,8,1)="k"),VLOOKUP( $B106, T_Aop[], 5, 1),A1)</f>
        <v>dio 32</v>
      </c>
      <c r="D106" s="616" t="str">
        <f>IF(AND([0]!Godina=2025,MID(Osnovni_podaci!D20,3,1)="S",Osnovni_podaci!L24=4,Osnovni_podaci!G24=0,MID(Osnovni_podaci!D20,3,1)="S",MID(Osnovni_podaci!D20,8,1)="k"),VLOOKUP( $B106, T_Aop[], 6, 1),A1)</f>
        <v xml:space="preserve">  V REZERVE (116 do 118)</v>
      </c>
      <c r="E106" s="617"/>
      <c r="F106" s="617"/>
      <c r="G106" s="617"/>
      <c r="H106" s="618"/>
      <c r="I106" s="170">
        <f>IF(AND([0]!Godina=2025,MID(Osnovni_podaci!D20,3,1)="S",Osnovni_podaci!L24=4,Osnovni_podaci!G24=0,MID(Osnovni_podaci!D20,3,1)="S",MID(Osnovni_podaci!D20,8,1)="k"),VLOOKUP( $B106, T_Aop[], 4, 1),A1)</f>
        <v>115</v>
      </c>
      <c r="J106" s="157"/>
      <c r="K106" s="604"/>
      <c r="L106" s="605"/>
      <c r="M106" s="48">
        <f>SUBTOTAL( 9, M107:M109)</f>
        <v>6403888</v>
      </c>
      <c r="N106" s="49">
        <f>SUBTOTAL( 9, N107:N109)</f>
        <v>6403888</v>
      </c>
      <c r="P106" s="44"/>
    </row>
    <row r="107" spans="2:16" x14ac:dyDescent="0.2">
      <c r="B107" s="15">
        <v>83</v>
      </c>
      <c r="C107" s="359">
        <f>IF(AND([0]!Godina=2025,MID(Osnovni_podaci!D20,3,1)="S",Osnovni_podaci!L24=4,Osnovni_podaci!G24=0,MID(Osnovni_podaci!D20,3,1)="S",MID(Osnovni_podaci!D20,8,1)="k"),VLOOKUP( $B107, T_Aop[], 5, 1),A1)</f>
        <v>322</v>
      </c>
      <c r="D107" s="611" t="str">
        <f>IF(AND([0]!Godina=2025,MID(Osnovni_podaci!D20,3,1)="S",Osnovni_podaci!L24=4,Osnovni_podaci!G24=0,MID(Osnovni_podaci!D20,3,1)="S",MID(Osnovni_podaci!D20,8,1)="k"),VLOOKUP( $B107, T_Aop[], 6, 1),A1)</f>
        <v xml:space="preserve">    1. Zakonske rezerve</v>
      </c>
      <c r="E107" s="612"/>
      <c r="F107" s="612"/>
      <c r="G107" s="612"/>
      <c r="H107" s="613"/>
      <c r="I107" s="122">
        <f>IF(AND([0]!Godina=2025,MID(Osnovni_podaci!D20,3,1)="S",Osnovni_podaci!L24=4,Osnovni_podaci!G24=0,MID(Osnovni_podaci!D20,3,1)="S",MID(Osnovni_podaci!D20,8,1)="k"),VLOOKUP( $B107, T_Aop[], 4, 1),A1)</f>
        <v>116</v>
      </c>
      <c r="J107" s="155"/>
      <c r="K107" s="602"/>
      <c r="L107" s="603"/>
      <c r="M107" s="195">
        <v>1379378</v>
      </c>
      <c r="N107" s="196">
        <v>1379378</v>
      </c>
      <c r="P107" s="44"/>
    </row>
    <row r="108" spans="2:16" x14ac:dyDescent="0.2">
      <c r="B108" s="15">
        <v>84</v>
      </c>
      <c r="C108" s="358">
        <f>IF(AND([0]!Godina=2025,MID(Osnovni_podaci!D20,3,1)="S",Osnovni_podaci!L24=4,Osnovni_podaci!G24=0,MID(Osnovni_podaci!D20,3,1)="S",MID(Osnovni_podaci!D20,8,1)="k"),VLOOKUP( $B108, T_Aop[], 5, 1),A1)</f>
        <v>323</v>
      </c>
      <c r="D108" s="608" t="str">
        <f>IF(AND([0]!Godina=2025,MID(Osnovni_podaci!D20,3,1)="S",Osnovni_podaci!L24=4,Osnovni_podaci!G24=0,MID(Osnovni_podaci!D20,3,1)="S",MID(Osnovni_podaci!D20,8,1)="k"),VLOOKUP( $B108, T_Aop[], 6, 1),A1)</f>
        <v xml:space="preserve">    2. Statutarne rezerve</v>
      </c>
      <c r="E108" s="609"/>
      <c r="F108" s="609"/>
      <c r="G108" s="609"/>
      <c r="H108" s="610"/>
      <c r="I108" s="121">
        <f>IF(AND([0]!Godina=2025,MID(Osnovni_podaci!D20,3,1)="S",Osnovni_podaci!L24=4,Osnovni_podaci!G24=0,MID(Osnovni_podaci!D20,3,1)="S",MID(Osnovni_podaci!D20,8,1)="k"),VLOOKUP( $B108, T_Aop[], 4, 1),A1)</f>
        <v>117</v>
      </c>
      <c r="J108" s="157"/>
      <c r="K108" s="604"/>
      <c r="L108" s="605"/>
      <c r="M108" s="159">
        <v>687546</v>
      </c>
      <c r="N108" s="395">
        <v>687546</v>
      </c>
      <c r="P108" s="44"/>
    </row>
    <row r="109" spans="2:16" x14ac:dyDescent="0.2">
      <c r="B109" s="15">
        <v>85</v>
      </c>
      <c r="C109" s="359">
        <f>IF(AND([0]!Godina=2025,MID(Osnovni_podaci!D20,3,1)="S",Osnovni_podaci!L24=4,Osnovni_podaci!G24=0,MID(Osnovni_podaci!D20,3,1)="S",MID(Osnovni_podaci!D20,8,1)="k"),VLOOKUP( $B109, T_Aop[], 5, 1),A1)</f>
        <v>329</v>
      </c>
      <c r="D109" s="611" t="str">
        <f>IF(AND([0]!Godina=2025,MID(Osnovni_podaci!D20,3,1)="S",Osnovni_podaci!L24=4,Osnovni_podaci!G24=0,MID(Osnovni_podaci!D20,3,1)="S",MID(Osnovni_podaci!D20,8,1)="k"),VLOOKUP( $B109, T_Aop[], 6, 1),A1)</f>
        <v xml:space="preserve">    3. Ostale rezerve</v>
      </c>
      <c r="E109" s="612"/>
      <c r="F109" s="612"/>
      <c r="G109" s="612"/>
      <c r="H109" s="613"/>
      <c r="I109" s="122">
        <f>IF(AND([0]!Godina=2025,MID(Osnovni_podaci!D20,3,1)="S",Osnovni_podaci!L24=4,Osnovni_podaci!G24=0,MID(Osnovni_podaci!D20,3,1)="S",MID(Osnovni_podaci!D20,8,1)="k"),VLOOKUP( $B109, T_Aop[], 4, 1),A1)</f>
        <v>118</v>
      </c>
      <c r="J109" s="155"/>
      <c r="K109" s="602"/>
      <c r="L109" s="603"/>
      <c r="M109" s="195">
        <v>4336964</v>
      </c>
      <c r="N109" s="396">
        <v>4336964</v>
      </c>
      <c r="P109" s="44"/>
    </row>
    <row r="110" spans="2:16" ht="11.25" customHeight="1" x14ac:dyDescent="0.2">
      <c r="B110" s="15">
        <v>86</v>
      </c>
      <c r="C110" s="358" t="str">
        <f>IF(AND([0]!Godina=2025,MID(Osnovni_podaci!D20,3,1)="S",Osnovni_podaci!L24=4,Osnovni_podaci!G24=0,MID(Osnovni_podaci!D20,3,1)="S",MID(Osnovni_podaci!D20,8,1)="k"),VLOOKUP( $B110, T_Aop[], 5, 1),A1)</f>
        <v>dio 33</v>
      </c>
      <c r="D110" s="616" t="str">
        <f>IF(AND([0]!Godina=2025,MID(Osnovni_podaci!D20,3,1)="S",Osnovni_podaci!L24=4,Osnovni_podaci!G24=0,MID(Osnovni_podaci!D20,3,1)="S",MID(Osnovni_podaci!D20,8,1)="k"),VLOOKUP( $B110, T_Aop[], 6, 1),A1)</f>
        <v xml:space="preserve">   VI REVALORIZACIONE REZERVE (120 + 121)</v>
      </c>
      <c r="E110" s="617"/>
      <c r="F110" s="617"/>
      <c r="G110" s="617"/>
      <c r="H110" s="618"/>
      <c r="I110" s="170">
        <f>IF(AND([0]!Godina=2025,MID(Osnovni_podaci!D20,3,1)="S",Osnovni_podaci!L24=4,Osnovni_podaci!G24=0,MID(Osnovni_podaci!D20,3,1)="S",MID(Osnovni_podaci!D20,8,1)="k"),VLOOKUP( $B110, T_Aop[], 4, 1),A1)</f>
        <v>119</v>
      </c>
      <c r="J110" s="157"/>
      <c r="K110" s="604"/>
      <c r="L110" s="605"/>
      <c r="M110" s="48">
        <f>SUBTOTAL( 9, M111:M112)</f>
        <v>144464909</v>
      </c>
      <c r="N110" s="400">
        <f>SUBTOTAL( 9, N111:N112)</f>
        <v>144464909</v>
      </c>
      <c r="P110" s="44"/>
    </row>
    <row r="111" spans="2:16" x14ac:dyDescent="0.2">
      <c r="B111" s="15">
        <v>87</v>
      </c>
      <c r="C111" s="359">
        <f>IF(AND([0]!Godina=2025,MID(Osnovni_podaci!D20,3,1)="S",Osnovni_podaci!L24=4,Osnovni_podaci!G24=0,MID(Osnovni_podaci!D20,3,1)="S",MID(Osnovni_podaci!D20,8,1)="k"),VLOOKUP( $B111, T_Aop[], 5, 1),A1)</f>
        <v>330</v>
      </c>
      <c r="D111" s="611" t="str">
        <f>IF(AND([0]!Godina=2025,MID(Osnovni_podaci!D20,3,1)="S",Osnovni_podaci!L24=4,Osnovni_podaci!G24=0,MID(Osnovni_podaci!D20,3,1)="S",MID(Osnovni_podaci!D20,8,1)="k"),VLOOKUP( $B111, T_Aop[], 6, 1),A1)</f>
        <v xml:space="preserve">    1. Revalorizacione rezerve za nekretnine, postrojenja, opremu i nematerijalna sredstva</v>
      </c>
      <c r="E111" s="612"/>
      <c r="F111" s="612"/>
      <c r="G111" s="612"/>
      <c r="H111" s="613"/>
      <c r="I111" s="122">
        <f>IF(AND([0]!Godina=2025,MID(Osnovni_podaci!D20,3,1)="S",Osnovni_podaci!L24=4,Osnovni_podaci!G24=0,MID(Osnovni_podaci!D20,3,1)="S",MID(Osnovni_podaci!D20,8,1)="k"),VLOOKUP( $B111, T_Aop[], 4, 1),A1)</f>
        <v>120</v>
      </c>
      <c r="J111" s="155"/>
      <c r="K111" s="602"/>
      <c r="L111" s="603"/>
      <c r="M111" s="195">
        <v>144464909</v>
      </c>
      <c r="N111" s="396">
        <v>144464909</v>
      </c>
      <c r="P111" s="44"/>
    </row>
    <row r="112" spans="2:16" x14ac:dyDescent="0.2">
      <c r="B112" s="15">
        <v>88</v>
      </c>
      <c r="C112" s="358" t="str">
        <f>IF(AND([0]!Godina=2025,MID(Osnovni_podaci!D20,3,1)="S",Osnovni_podaci!L24=4,Osnovni_podaci!G24=0,MID(Osnovni_podaci!D20,3,1)="S",MID(Osnovni_podaci!D20,8,1)="k"),VLOOKUP( $B112, T_Aop[], 5, 1),A1)</f>
        <v>331 i 334</v>
      </c>
      <c r="D112" s="608" t="str">
        <f>IF(AND([0]!Godina=2025,MID(Osnovni_podaci!D20,3,1)="S",Osnovni_podaci!L24=4,Osnovni_podaci!G24=0,MID(Osnovni_podaci!D20,3,1)="S",MID(Osnovni_podaci!D20,8,1)="k"),VLOOKUP( $B112, T_Aop[], 6, 1),A1)</f>
        <v xml:space="preserve">    2. Ostale revalorizacione rezerve</v>
      </c>
      <c r="E112" s="609"/>
      <c r="F112" s="609"/>
      <c r="G112" s="609"/>
      <c r="H112" s="610"/>
      <c r="I112" s="121">
        <f>IF(AND([0]!Godina=2025,MID(Osnovni_podaci!D20,3,1)="S",Osnovni_podaci!L24=4,Osnovni_podaci!G24=0,MID(Osnovni_podaci!D20,3,1)="S",MID(Osnovni_podaci!D20,8,1)="k"),VLOOKUP( $B112, T_Aop[], 4, 1),A1)</f>
        <v>121</v>
      </c>
      <c r="J112" s="157"/>
      <c r="K112" s="604"/>
      <c r="L112" s="605"/>
      <c r="M112" s="197">
        <v>0</v>
      </c>
      <c r="N112" s="395">
        <v>0</v>
      </c>
      <c r="P112" s="44"/>
    </row>
    <row r="113" spans="2:16" ht="21" customHeight="1" x14ac:dyDescent="0.2">
      <c r="B113" s="15">
        <v>89</v>
      </c>
      <c r="C113" s="359">
        <f>IF(AND([0]!Godina=2025,MID(Osnovni_podaci!D20,3,1)="S",Osnovni_podaci!L24=4,Osnovni_podaci!G24=0,MID(Osnovni_podaci!D20,3,1)="S",MID(Osnovni_podaci!D20,8,1)="k"),VLOOKUP( $B113, T_Aop[], 5, 1),A1)</f>
        <v>332</v>
      </c>
      <c r="D113" s="622" t="str">
        <f>IF(AND([0]!Godina=2025,MID(Osnovni_podaci!D20,3,1)="S",Osnovni_podaci!L24=4,Osnovni_podaci!G24=0,MID(Osnovni_podaci!D20,3,1)="S",MID(Osnovni_podaci!D20,8,1)="k"),VLOOKUP( $B113, T_Aop[], 6, 1),A1)</f>
        <v xml:space="preserve">  VII POZITIVNI EFEKTI VREDNOVANJA FINANSIJSKIH SREDSTAVA KOJA SE VREDNUJU PO FER VRIJEDNOSTI KROZ OSTALI UKUPNI REZULTAT</v>
      </c>
      <c r="E113" s="623"/>
      <c r="F113" s="623"/>
      <c r="G113" s="623"/>
      <c r="H113" s="624"/>
      <c r="I113" s="171">
        <f>IF(AND([0]!Godina=2025,MID(Osnovni_podaci!D20,3,1)="S",Osnovni_podaci!L24=4,Osnovni_podaci!G24=0,MID(Osnovni_podaci!D20,3,1)="S",MID(Osnovni_podaci!D20,8,1)="k"),VLOOKUP( $B113, T_Aop[], 4, 1),A1)</f>
        <v>122</v>
      </c>
      <c r="J113" s="155"/>
      <c r="K113" s="602"/>
      <c r="L113" s="603"/>
      <c r="M113" s="199">
        <v>0</v>
      </c>
      <c r="N113" s="397">
        <v>0</v>
      </c>
      <c r="P113" s="44"/>
    </row>
    <row r="114" spans="2:16" ht="23.65" customHeight="1" x14ac:dyDescent="0.2">
      <c r="B114" s="15">
        <v>90</v>
      </c>
      <c r="C114" s="358">
        <f>IF(AND([0]!Godina=2025,MID(Osnovni_podaci!D20,3,1)="S",Osnovni_podaci!L24=4,Osnovni_podaci!G24=0,MID(Osnovni_podaci!D20,3,1)="S",MID(Osnovni_podaci!D20,8,1)="k"),VLOOKUP( $B114, T_Aop[], 5, 1),A1)</f>
        <v>333</v>
      </c>
      <c r="D114" s="625" t="str">
        <f>IF(AND([0]!Godina=2025,MID(Osnovni_podaci!D20,3,1)="S",Osnovni_podaci!L24=4,Osnovni_podaci!G24=0,MID(Osnovni_podaci!D20,3,1)="S",MID(Osnovni_podaci!D20,8,1)="k"),VLOOKUP( $B114, T_Aop[], 6, 1),A1)</f>
        <v xml:space="preserve">  VIII NEGATIVNI EFEKTI VREDNOVANJA FINANSIJSKIH SREDSTAVA KOJA SE VREDNUJU PO FER VRIJEDNOSTI KROZ OSTALI UKUPNI REZULTAT</v>
      </c>
      <c r="E114" s="626"/>
      <c r="F114" s="626"/>
      <c r="G114" s="626"/>
      <c r="H114" s="627"/>
      <c r="I114" s="170">
        <f>IF(AND([0]!Godina=2025,MID(Osnovni_podaci!D20,3,1)="S",Osnovni_podaci!L24=4,Osnovni_podaci!G24=0,MID(Osnovni_podaci!D20,3,1)="S",MID(Osnovni_podaci!D20,8,1)="k"),VLOOKUP( $B114, T_Aop[], 4, 1),A1)</f>
        <v>123</v>
      </c>
      <c r="J114" s="157"/>
      <c r="K114" s="604"/>
      <c r="L114" s="605"/>
      <c r="M114" s="201">
        <v>0</v>
      </c>
      <c r="N114" s="398">
        <v>0</v>
      </c>
      <c r="P114" s="44"/>
    </row>
    <row r="115" spans="2:16" x14ac:dyDescent="0.2">
      <c r="B115" s="15">
        <v>91</v>
      </c>
      <c r="C115" s="359">
        <f>IF(AND([0]!Godina=2025,MID(Osnovni_podaci!D20,3,1)="S",Osnovni_podaci!L24=4,Osnovni_podaci!G24=0,MID(Osnovni_podaci!D20,3,1)="S",MID(Osnovni_podaci!D20,8,1)="k"),VLOOKUP( $B115, T_Aop[], 5, 1),A1)</f>
        <v>34</v>
      </c>
      <c r="D115" s="619" t="str">
        <f>IF(AND([0]!Godina=2025,MID(Osnovni_podaci!D20,3,1)="S",Osnovni_podaci!L24=4,Osnovni_podaci!G24=0,MID(Osnovni_podaci!D20,3,1)="S",MID(Osnovni_podaci!D20,8,1)="k"),VLOOKUP( $B115, T_Aop[], 6, 1),A1)</f>
        <v xml:space="preserve">  IX  NERASPOREĐENA DOBIT (125 do 127)</v>
      </c>
      <c r="E115" s="620"/>
      <c r="F115" s="620"/>
      <c r="G115" s="620"/>
      <c r="H115" s="621"/>
      <c r="I115" s="171">
        <f>IF(AND([0]!Godina=2025,MID(Osnovni_podaci!D20,3,1)="S",Osnovni_podaci!L24=4,Osnovni_podaci!G24=0,MID(Osnovni_podaci!D20,3,1)="S",MID(Osnovni_podaci!D20,8,1)="k"),VLOOKUP( $B115, T_Aop[], 4, 1),A1)</f>
        <v>124</v>
      </c>
      <c r="J115" s="155"/>
      <c r="K115" s="602"/>
      <c r="L115" s="603"/>
      <c r="M115" s="50">
        <f>SUBTOTAL( 9, M116:M118)</f>
        <v>16039831</v>
      </c>
      <c r="N115" s="240">
        <f>SUBTOTAL( 9, N116:N118)</f>
        <v>10400639</v>
      </c>
      <c r="P115" s="44"/>
    </row>
    <row r="116" spans="2:16" ht="12" customHeight="1" x14ac:dyDescent="0.2">
      <c r="B116" s="15">
        <v>92</v>
      </c>
      <c r="C116" s="358" t="str">
        <f>IF(AND([0]!Godina=2025,MID(Osnovni_podaci!D20,3,1)="S",Osnovni_podaci!L24=4,Osnovni_podaci!G24=0,MID(Osnovni_podaci!D20,3,1)="S",MID(Osnovni_podaci!D20,8,1)="k"),VLOOKUP( $B116, T_Aop[], 5, 1),A1)</f>
        <v>340 ili 342</v>
      </c>
      <c r="D116" s="628" t="str">
        <f>IF(AND([0]!Godina=2025,MID(Osnovni_podaci!D20,3,1)="S",Osnovni_podaci!L24=4,Osnovni_podaci!G24=0,MID(Osnovni_podaci!D20,3,1)="S",MID(Osnovni_podaci!D20,8,1)="k"),VLOOKUP( $B116, T_Aop[], 6, 1),A1)</f>
        <v xml:space="preserve">    1. Neraspoređena dobit ranijih godina / Neraspoređeni višak prihoda nad rashodima ranijih godina</v>
      </c>
      <c r="E116" s="629"/>
      <c r="F116" s="629"/>
      <c r="G116" s="629"/>
      <c r="H116" s="630"/>
      <c r="I116" s="121">
        <f>IF(AND([0]!Godina=2025,MID(Osnovni_podaci!D20,3,1)="S",Osnovni_podaci!L24=4,Osnovni_podaci!G24=0,MID(Osnovni_podaci!D20,3,1)="S",MID(Osnovni_podaci!D20,8,1)="k"),VLOOKUP( $B116, T_Aop[], 4, 1),A1)</f>
        <v>125</v>
      </c>
      <c r="J116" s="157"/>
      <c r="K116" s="604"/>
      <c r="L116" s="605"/>
      <c r="M116" s="197">
        <v>10400639</v>
      </c>
      <c r="N116" s="395">
        <v>0</v>
      </c>
      <c r="P116" s="44"/>
    </row>
    <row r="117" spans="2:16" ht="12" customHeight="1" x14ac:dyDescent="0.2">
      <c r="B117" s="15">
        <v>93</v>
      </c>
      <c r="C117" s="359" t="str">
        <f>IF(AND([0]!Godina=2025,MID(Osnovni_podaci!D20,3,1)="S",Osnovni_podaci!L24=4,Osnovni_podaci!G24=0,MID(Osnovni_podaci!D20,3,1)="S",MID(Osnovni_podaci!D20,8,1)="k"),VLOOKUP( $B117, T_Aop[], 5, 1),A1)</f>
        <v>341 ili 343</v>
      </c>
      <c r="D117" s="631" t="str">
        <f>IF(AND([0]!Godina=2025,MID(Osnovni_podaci!D20,3,1)="S",Osnovni_podaci!L24=4,Osnovni_podaci!G24=0,MID(Osnovni_podaci!D20,3,1)="S",MID(Osnovni_podaci!D20,8,1)="k"),VLOOKUP( $B117, T_Aop[], 6, 1),A1)</f>
        <v xml:space="preserve">    2. Neraspoređena dobit tekuće godine / Neraspoređeni višak prihoda nad rashodima tekuće godine</v>
      </c>
      <c r="E117" s="632"/>
      <c r="F117" s="632"/>
      <c r="G117" s="632"/>
      <c r="H117" s="633"/>
      <c r="I117" s="122">
        <f>IF(AND([0]!Godina=2025,MID(Osnovni_podaci!D20,3,1)="S",Osnovni_podaci!L24=4,Osnovni_podaci!G24=0,MID(Osnovni_podaci!D20,3,1)="S",MID(Osnovni_podaci!D20,8,1)="k"),VLOOKUP( $B117, T_Aop[], 4, 1),A1)</f>
        <v>126</v>
      </c>
      <c r="J117" s="155"/>
      <c r="K117" s="602"/>
      <c r="L117" s="603"/>
      <c r="M117" s="195">
        <v>5639192</v>
      </c>
      <c r="N117" s="396">
        <v>10400639</v>
      </c>
      <c r="P117" s="44"/>
    </row>
    <row r="118" spans="2:16" x14ac:dyDescent="0.2">
      <c r="B118" s="15">
        <v>94</v>
      </c>
      <c r="C118" s="358">
        <f>IF(AND([0]!Godina=2025,MID(Osnovni_podaci!D20,3,1)="S",Osnovni_podaci!L24=4,Osnovni_podaci!G24=0,MID(Osnovni_podaci!D20,3,1)="S",MID(Osnovni_podaci!D20,8,1)="k"),VLOOKUP( $B118, T_Aop[], 5, 1),A1)</f>
        <v>344</v>
      </c>
      <c r="D118" s="608" t="str">
        <f>IF(AND([0]!Godina=2025,MID(Osnovni_podaci!D20,3,1)="S",Osnovni_podaci!L24=4,Osnovni_podaci!G24=0,MID(Osnovni_podaci!D20,3,1)="S",MID(Osnovni_podaci!D20,8,1)="k"),VLOOKUP( $B118, T_Aop[], 6, 1),A1)</f>
        <v xml:space="preserve">    3. Neto prihod od samostalne djelatnosti</v>
      </c>
      <c r="E118" s="609"/>
      <c r="F118" s="609"/>
      <c r="G118" s="609"/>
      <c r="H118" s="610"/>
      <c r="I118" s="121">
        <f>IF(AND([0]!Godina=2025,MID(Osnovni_podaci!D20,3,1)="S",Osnovni_podaci!L24=4,Osnovni_podaci!G24=0,MID(Osnovni_podaci!D20,3,1)="S",MID(Osnovni_podaci!D20,8,1)="k"),VLOOKUP( $B118, T_Aop[], 4, 1),A1)</f>
        <v>127</v>
      </c>
      <c r="J118" s="157"/>
      <c r="K118" s="604"/>
      <c r="L118" s="605"/>
      <c r="M118" s="197">
        <v>0</v>
      </c>
      <c r="N118" s="395">
        <v>0</v>
      </c>
      <c r="P118" s="44"/>
    </row>
    <row r="119" spans="2:16" x14ac:dyDescent="0.2">
      <c r="B119" s="15">
        <v>95</v>
      </c>
      <c r="C119" s="359" t="str">
        <f>IF(AND([0]!Godina=2025,MID(Osnovni_podaci!D20,3,1)="S",Osnovni_podaci!L24=4,Osnovni_podaci!G24=0,MID(Osnovni_podaci!D20,3,1)="S",MID(Osnovni_podaci!D20,8,1)="k"),VLOOKUP( $B119, T_Aop[], 5, 1),A1)</f>
        <v>35</v>
      </c>
      <c r="D119" s="619" t="str">
        <f>IF(AND([0]!Godina=2025,MID(Osnovni_podaci!D20,3,1)="S",Osnovni_podaci!L24=4,Osnovni_podaci!G24=0,MID(Osnovni_podaci!D20,3,1)="S",MID(Osnovni_podaci!D20,8,1)="k"),VLOOKUP( $B119, T_Aop[], 6, 1),A1)</f>
        <v xml:space="preserve">  X GUBITAK (129 + 130)  </v>
      </c>
      <c r="E119" s="620"/>
      <c r="F119" s="620"/>
      <c r="G119" s="620"/>
      <c r="H119" s="621"/>
      <c r="I119" s="171">
        <f>IF(AND([0]!Godina=2025,MID(Osnovni_podaci!D20,3,1)="S",Osnovni_podaci!L24=4,Osnovni_podaci!G24=0,MID(Osnovni_podaci!D20,3,1)="S",MID(Osnovni_podaci!D20,8,1)="k"),VLOOKUP( $B119, T_Aop[], 4, 1),A1)</f>
        <v>128</v>
      </c>
      <c r="J119" s="155"/>
      <c r="K119" s="602"/>
      <c r="L119" s="603"/>
      <c r="M119" s="50">
        <f>SUBTOTAL( 9, M120:M121)</f>
        <v>19340559</v>
      </c>
      <c r="N119" s="240">
        <f>SUBTOTAL( 9, N120:N121)</f>
        <v>19340558</v>
      </c>
      <c r="P119" s="44"/>
    </row>
    <row r="120" spans="2:16" x14ac:dyDescent="0.2">
      <c r="B120" s="15">
        <v>96</v>
      </c>
      <c r="C120" s="358" t="str">
        <f>IF(AND([0]!Godina=2025,MID(Osnovni_podaci!D20,3,1)="S",Osnovni_podaci!L24=4,Osnovni_podaci!G24=0,MID(Osnovni_podaci!D20,3,1)="S",MID(Osnovni_podaci!D20,8,1)="k"),VLOOKUP( $B120, T_Aop[], 5, 1),A1)</f>
        <v>350 ili 352</v>
      </c>
      <c r="D120" s="608" t="str">
        <f>IF(AND([0]!Godina=2025,MID(Osnovni_podaci!D20,3,1)="S",Osnovni_podaci!L24=4,Osnovni_podaci!G24=0,MID(Osnovni_podaci!D20,3,1)="S",MID(Osnovni_podaci!D20,8,1)="k"),VLOOKUP( $B120, T_Aop[], 6, 1),A1)</f>
        <v xml:space="preserve">    1. Gubitak ranijih godina / Višak rashoda nad prihodima ranijih godina</v>
      </c>
      <c r="E120" s="609"/>
      <c r="F120" s="609"/>
      <c r="G120" s="609"/>
      <c r="H120" s="610"/>
      <c r="I120" s="121">
        <f>IF(AND([0]!Godina=2025,MID(Osnovni_podaci!D20,3,1)="S",Osnovni_podaci!L24=4,Osnovni_podaci!G24=0,MID(Osnovni_podaci!D20,3,1)="S",MID(Osnovni_podaci!D20,8,1)="k"),VLOOKUP( $B120, T_Aop[], 4, 1),A1)</f>
        <v>129</v>
      </c>
      <c r="J120" s="157"/>
      <c r="K120" s="604"/>
      <c r="L120" s="605"/>
      <c r="M120" s="197">
        <v>19340559</v>
      </c>
      <c r="N120" s="395">
        <v>19340558</v>
      </c>
      <c r="P120" s="44"/>
    </row>
    <row r="121" spans="2:16" x14ac:dyDescent="0.2">
      <c r="B121" s="15">
        <v>97</v>
      </c>
      <c r="C121" s="359" t="str">
        <f>IF(AND([0]!Godina=2025,MID(Osnovni_podaci!D20,3,1)="S",Osnovni_podaci!L24=4,Osnovni_podaci!G24=0,MID(Osnovni_podaci!D20,3,1)="S",MID(Osnovni_podaci!D20,8,1)="k"),VLOOKUP( $B121, T_Aop[], 5, 1),A1)</f>
        <v>351 ili 353</v>
      </c>
      <c r="D121" s="611" t="str">
        <f>IF(AND([0]!Godina=2025,MID(Osnovni_podaci!D20,3,1)="S",Osnovni_podaci!L24=4,Osnovni_podaci!G24=0,MID(Osnovni_podaci!D20,3,1)="S",MID(Osnovni_podaci!D20,8,1)="k"),VLOOKUP( $B121, T_Aop[], 6, 1),A1)</f>
        <v xml:space="preserve">    2. Gubitak tekuće godine / Višak rashoda nad prihodima tekuće godine</v>
      </c>
      <c r="E121" s="612"/>
      <c r="F121" s="612"/>
      <c r="G121" s="612"/>
      <c r="H121" s="613"/>
      <c r="I121" s="122">
        <f>IF(AND([0]!Godina=2025,MID(Osnovni_podaci!D20,3,1)="S",Osnovni_podaci!L24=4,Osnovni_podaci!G24=0,MID(Osnovni_podaci!D20,3,1)="S",MID(Osnovni_podaci!D20,8,1)="k"),VLOOKUP( $B121, T_Aop[], 4, 1),A1)</f>
        <v>130</v>
      </c>
      <c r="J121" s="155"/>
      <c r="K121" s="602"/>
      <c r="L121" s="603"/>
      <c r="M121" s="195">
        <v>0</v>
      </c>
      <c r="N121" s="396">
        <v>0</v>
      </c>
      <c r="P121" s="44"/>
    </row>
    <row r="122" spans="2:16" x14ac:dyDescent="0.2">
      <c r="B122" s="15">
        <v>98</v>
      </c>
      <c r="C122" s="358" t="str">
        <f>IF(AND([0]!Godina=2025,MID(Osnovni_podaci!D20,3,1)="S",Osnovni_podaci!L24=4,Osnovni_podaci!G24=0,MID(Osnovni_podaci!D20,3,1)="S",MID(Osnovni_podaci!D20,8,1)="k"),VLOOKUP( $B122, T_Aop[], 5, 1),A1)</f>
        <v xml:space="preserve"> </v>
      </c>
      <c r="D122" s="616" t="str">
        <f>IF(AND([0]!Godina=2025,MID(Osnovni_podaci!D20,3,1)="S",Osnovni_podaci!L24=4,Osnovni_podaci!G24=0,MID(Osnovni_podaci!D20,3,1)="S",MID(Osnovni_podaci!D20,8,1)="k"),VLOOKUP( $B122, T_Aop[], 6, 1),A1)</f>
        <v xml:space="preserve">  XI UČEŠĆA BEZ PRAVA KONTROLE</v>
      </c>
      <c r="E122" s="617"/>
      <c r="F122" s="617"/>
      <c r="G122" s="617"/>
      <c r="H122" s="618"/>
      <c r="I122" s="170">
        <f>IF(AND([0]!Godina=2025,MID(Osnovni_podaci!D20,3,1)="S",Osnovni_podaci!L24=4,Osnovni_podaci!G24=0,MID(Osnovni_podaci!D20,3,1)="S",MID(Osnovni_podaci!D20,8,1)="k"),VLOOKUP( $B122, T_Aop[], 4, 1),A1)</f>
        <v>131</v>
      </c>
      <c r="J122" s="157"/>
      <c r="K122" s="604"/>
      <c r="L122" s="605"/>
      <c r="M122" s="201">
        <v>0</v>
      </c>
      <c r="N122" s="398">
        <v>0</v>
      </c>
      <c r="P122" s="44"/>
    </row>
    <row r="123" spans="2:16" x14ac:dyDescent="0.2">
      <c r="B123" s="15">
        <v>99</v>
      </c>
      <c r="C123" s="359" t="str">
        <f>IF(AND([0]!Godina=2025,MID(Osnovni_podaci!D20,3,1)="S",Osnovni_podaci!L24=4,Osnovni_podaci!G24=0,MID(Osnovni_podaci!D20,3,1)="S",MID(Osnovni_podaci!D20,8,1)="k"),VLOOKUP( $B123, T_Aop[], 5, 1),A1)</f>
        <v xml:space="preserve"> </v>
      </c>
      <c r="D123" s="619" t="str">
        <f>IF(AND([0]!Godina=2025,MID(Osnovni_podaci!D20,3,1)="S",Osnovni_podaci!L24=4,Osnovni_podaci!G24=0,MID(Osnovni_podaci!D20,3,1)="S",MID(Osnovni_podaci!D20,8,1)="k"),VLOOKUP( $B123, T_Aop[], 6, 1),A1)</f>
        <v xml:space="preserve">  B. DUGOROČNA REZERVISANJA I DUGOROČNE OBAVEZE (133 + 137 + 145)</v>
      </c>
      <c r="E123" s="620"/>
      <c r="F123" s="620"/>
      <c r="G123" s="620"/>
      <c r="H123" s="621"/>
      <c r="I123" s="171">
        <f>IF(AND([0]!Godina=2025,MID(Osnovni_podaci!D20,3,1)="S",Osnovni_podaci!L24=4,Osnovni_podaci!G24=0,MID(Osnovni_podaci!D20,3,1)="S",MID(Osnovni_podaci!D20,8,1)="k"),VLOOKUP( $B123, T_Aop[], 4, 1),A1)</f>
        <v>132</v>
      </c>
      <c r="J123" s="155"/>
      <c r="K123" s="602"/>
      <c r="L123" s="603"/>
      <c r="M123" s="388">
        <f>SUBTOTAL( 9, M124:M136)</f>
        <v>96294230</v>
      </c>
      <c r="N123" s="399">
        <f>SUBTOTAL( 9, N124:N136)</f>
        <v>88912171</v>
      </c>
      <c r="P123" s="44"/>
    </row>
    <row r="124" spans="2:16" x14ac:dyDescent="0.2">
      <c r="B124" s="15">
        <v>100</v>
      </c>
      <c r="C124" s="358" t="str">
        <f>IF(AND([0]!Godina=2025,MID(Osnovni_podaci!D20,3,1)="S",Osnovni_podaci!L24=4,Osnovni_podaci!G24=0,MID(Osnovni_podaci!D20,3,1)="S",MID(Osnovni_podaci!D20,8,1)="k"),VLOOKUP( $B124, T_Aop[], 5, 1),A1)</f>
        <v>dio 40</v>
      </c>
      <c r="D124" s="616" t="str">
        <f>IF(AND([0]!Godina=2025,MID(Osnovni_podaci!D20,3,1)="S",Osnovni_podaci!L24=4,Osnovni_podaci!G24=0,MID(Osnovni_podaci!D20,3,1)="S",MID(Osnovni_podaci!D20,8,1)="k"),VLOOKUP( $B124, T_Aop[], 6, 1),A1)</f>
        <v xml:space="preserve">  I DUGOROČNA REZERVISANJA (134 do 136)</v>
      </c>
      <c r="E124" s="617"/>
      <c r="F124" s="617"/>
      <c r="G124" s="617"/>
      <c r="H124" s="618"/>
      <c r="I124" s="170">
        <f>IF(AND([0]!Godina=2025,MID(Osnovni_podaci!D20,3,1)="S",Osnovni_podaci!L24=4,Osnovni_podaci!G24=0,MID(Osnovni_podaci!D20,3,1)="S",MID(Osnovni_podaci!D20,8,1)="k"),VLOOKUP( $B124, T_Aop[], 4, 1),A1)</f>
        <v>133</v>
      </c>
      <c r="J124" s="157"/>
      <c r="K124" s="604"/>
      <c r="L124" s="605"/>
      <c r="M124" s="48">
        <f>SUBTOTAL( 9, M125:M127)</f>
        <v>4970281</v>
      </c>
      <c r="N124" s="400">
        <f>SUBTOTAL( 9, N125:N127)</f>
        <v>5466023</v>
      </c>
      <c r="P124" s="44"/>
    </row>
    <row r="125" spans="2:16" x14ac:dyDescent="0.2">
      <c r="B125" s="15">
        <v>101</v>
      </c>
      <c r="C125" s="359">
        <f>IF(AND([0]!Godina=2025,MID(Osnovni_podaci!D20,3,1)="S",Osnovni_podaci!L24=4,Osnovni_podaci!G24=0,MID(Osnovni_podaci!D20,3,1)="S",MID(Osnovni_podaci!D20,8,1)="k"),VLOOKUP( $B125, T_Aop[], 5, 1),A1)</f>
        <v>400</v>
      </c>
      <c r="D125" s="611" t="str">
        <f>IF(AND([0]!Godina=2025,MID(Osnovni_podaci!D20,3,1)="S",Osnovni_podaci!L24=4,Osnovni_podaci!G24=0,MID(Osnovni_podaci!D20,3,1)="S",MID(Osnovni_podaci!D20,8,1)="k"),VLOOKUP( $B125, T_Aop[], 6, 1),A1)</f>
        <v xml:space="preserve">    1. Rezervisanja za troškove u garantnom roku</v>
      </c>
      <c r="E125" s="612"/>
      <c r="F125" s="612"/>
      <c r="G125" s="612"/>
      <c r="H125" s="613"/>
      <c r="I125" s="122">
        <f>IF(AND([0]!Godina=2025,MID(Osnovni_podaci!D20,3,1)="S",Osnovni_podaci!L24=4,Osnovni_podaci!G24=0,MID(Osnovni_podaci!D20,3,1)="S",MID(Osnovni_podaci!D20,8,1)="k"),VLOOKUP( $B125, T_Aop[], 4, 1),A1)</f>
        <v>134</v>
      </c>
      <c r="J125" s="155"/>
      <c r="K125" s="602"/>
      <c r="L125" s="603"/>
      <c r="M125" s="195">
        <v>0</v>
      </c>
      <c r="N125" s="396">
        <v>0</v>
      </c>
      <c r="P125" s="44"/>
    </row>
    <row r="126" spans="2:16" x14ac:dyDescent="0.2">
      <c r="B126" s="15">
        <v>102</v>
      </c>
      <c r="C126" s="358">
        <f>IF(AND([0]!Godina=2025,MID(Osnovni_podaci!D20,3,1)="S",Osnovni_podaci!L24=4,Osnovni_podaci!G24=0,MID(Osnovni_podaci!D20,3,1)="S",MID(Osnovni_podaci!D20,8,1)="k"),VLOOKUP( $B126, T_Aop[], 5, 1),A1)</f>
        <v>404</v>
      </c>
      <c r="D126" s="608" t="str">
        <f>IF(AND([0]!Godina=2025,MID(Osnovni_podaci!D20,3,1)="S",Osnovni_podaci!L24=4,Osnovni_podaci!G24=0,MID(Osnovni_podaci!D20,3,1)="S",MID(Osnovni_podaci!D20,8,1)="k"),VLOOKUP( $B126, T_Aop[], 6, 1),A1)</f>
        <v xml:space="preserve">    2. Rezervisanja za naknade i beneficije zaposlenih</v>
      </c>
      <c r="E126" s="609"/>
      <c r="F126" s="609"/>
      <c r="G126" s="609"/>
      <c r="H126" s="610"/>
      <c r="I126" s="121">
        <f>IF(AND([0]!Godina=2025,MID(Osnovni_podaci!D20,3,1)="S",Osnovni_podaci!L24=4,Osnovni_podaci!G24=0,MID(Osnovni_podaci!D20,3,1)="S",MID(Osnovni_podaci!D20,8,1)="k"),VLOOKUP( $B126, T_Aop[], 4, 1),A1)</f>
        <v>135</v>
      </c>
      <c r="J126" s="157"/>
      <c r="K126" s="604"/>
      <c r="L126" s="605"/>
      <c r="M126" s="197">
        <v>1991726</v>
      </c>
      <c r="N126" s="395">
        <v>2404967</v>
      </c>
      <c r="P126" s="44"/>
    </row>
    <row r="127" spans="2:16" x14ac:dyDescent="0.2">
      <c r="B127" s="15">
        <v>103</v>
      </c>
      <c r="C127" s="359" t="str">
        <f>IF(AND([0]!Godina=2025,MID(Osnovni_podaci!D20,3,1)="S",Osnovni_podaci!L24=4,Osnovni_podaci!G24=0,MID(Osnovni_podaci!D20,3,1)="S",MID(Osnovni_podaci!D20,8,1)="k"),VLOOKUP( $B127, T_Aop[], 5, 1),A1)</f>
        <v>401, 402, 403, dio 409</v>
      </c>
      <c r="D127" s="611" t="str">
        <f>IF(AND([0]!Godina=2025,MID(Osnovni_podaci!D20,3,1)="S",Osnovni_podaci!L24=4,Osnovni_podaci!G24=0,MID(Osnovni_podaci!D20,3,1)="S",MID(Osnovni_podaci!D20,8,1)="k"),VLOOKUP( $B127, T_Aop[], 6, 1),A1)</f>
        <v xml:space="preserve">    3. Ostala dugoročna rezervisanja</v>
      </c>
      <c r="E127" s="612"/>
      <c r="F127" s="612"/>
      <c r="G127" s="612"/>
      <c r="H127" s="613"/>
      <c r="I127" s="122">
        <f>IF(AND([0]!Godina=2025,MID(Osnovni_podaci!D20,3,1)="S",Osnovni_podaci!L24=4,Osnovni_podaci!G24=0,MID(Osnovni_podaci!D20,3,1)="S",MID(Osnovni_podaci!D20,8,1)="k"),VLOOKUP( $B127, T_Aop[], 4, 1),A1)</f>
        <v>136</v>
      </c>
      <c r="J127" s="155"/>
      <c r="K127" s="602"/>
      <c r="L127" s="603"/>
      <c r="M127" s="195">
        <v>2978555</v>
      </c>
      <c r="N127" s="396">
        <v>3061056</v>
      </c>
      <c r="P127" s="44"/>
    </row>
    <row r="128" spans="2:16" x14ac:dyDescent="0.2">
      <c r="B128" s="15">
        <v>104</v>
      </c>
      <c r="C128" s="358" t="str">
        <f>IF(AND([0]!Godina=2025,MID(Osnovni_podaci!D20,3,1)="S",Osnovni_podaci!L24=4,Osnovni_podaci!G24=0,MID(Osnovni_podaci!D20,3,1)="S",MID(Osnovni_podaci!D20,8,1)="k"),VLOOKUP( $B128, T_Aop[], 5, 1),A1)</f>
        <v xml:space="preserve"> </v>
      </c>
      <c r="D128" s="616" t="str">
        <f>IF(AND([0]!Godina=2025,MID(Osnovni_podaci!D20,3,1)="S",Osnovni_podaci!L24=4,Osnovni_podaci!G24=0,MID(Osnovni_podaci!D20,3,1)="S",MID(Osnovni_podaci!D20,8,1)="k"),VLOOKUP( $B128, T_Aop[], 6, 1),A1)</f>
        <v xml:space="preserve">  II DUGOROČNE OBAVEZE (138 do 144)</v>
      </c>
      <c r="E128" s="617"/>
      <c r="F128" s="617"/>
      <c r="G128" s="617"/>
      <c r="H128" s="618"/>
      <c r="I128" s="170">
        <f>IF(AND([0]!Godina=2025,MID(Osnovni_podaci!D20,3,1)="S",Osnovni_podaci!L24=4,Osnovni_podaci!G24=0,MID(Osnovni_podaci!D20,3,1)="S",MID(Osnovni_podaci!D20,8,1)="k"),VLOOKUP( $B128, T_Aop[], 4, 1),A1)</f>
        <v>137</v>
      </c>
      <c r="J128" s="157"/>
      <c r="K128" s="604"/>
      <c r="L128" s="605"/>
      <c r="M128" s="48">
        <f>SUBTOTAL( 9, M129:M135)</f>
        <v>74779510</v>
      </c>
      <c r="N128" s="400">
        <f>SUBTOTAL( 9, N129:N135)</f>
        <v>67083820</v>
      </c>
      <c r="P128" s="44"/>
    </row>
    <row r="129" spans="2:16" x14ac:dyDescent="0.2">
      <c r="B129" s="15">
        <v>105</v>
      </c>
      <c r="C129" s="359">
        <f>IF(AND([0]!Godina=2025,MID(Osnovni_podaci!D20,3,1)="S",Osnovni_podaci!L24=4,Osnovni_podaci!G24=0,MID(Osnovni_podaci!D20,3,1)="S",MID(Osnovni_podaci!D20,8,1)="k"),VLOOKUP( $B129, T_Aop[], 5, 1),A1)</f>
        <v>411</v>
      </c>
      <c r="D129" s="611" t="str">
        <f>IF(AND([0]!Godina=2025,MID(Osnovni_podaci!D20,3,1)="S",Osnovni_podaci!L24=4,Osnovni_podaci!G24=0,MID(Osnovni_podaci!D20,3,1)="S",MID(Osnovni_podaci!D20,8,1)="k"),VLOOKUP( $B129, T_Aop[], 6, 1),A1)</f>
        <v xml:space="preserve">    1. Obaveze prema povezanim pravnim licima</v>
      </c>
      <c r="E129" s="612"/>
      <c r="F129" s="612"/>
      <c r="G129" s="612"/>
      <c r="H129" s="613"/>
      <c r="I129" s="122">
        <f>IF(AND([0]!Godina=2025,MID(Osnovni_podaci!D20,3,1)="S",Osnovni_podaci!L24=4,Osnovni_podaci!G24=0,MID(Osnovni_podaci!D20,3,1)="S",MID(Osnovni_podaci!D20,8,1)="k"),VLOOKUP( $B129, T_Aop[], 4, 1),A1)</f>
        <v>138</v>
      </c>
      <c r="J129" s="155"/>
      <c r="K129" s="602"/>
      <c r="L129" s="603"/>
      <c r="M129" s="195">
        <v>6782620</v>
      </c>
      <c r="N129" s="396">
        <v>6782620</v>
      </c>
      <c r="P129" s="44"/>
    </row>
    <row r="130" spans="2:16" x14ac:dyDescent="0.2">
      <c r="B130" s="15">
        <v>106</v>
      </c>
      <c r="C130" s="358">
        <f>IF(AND([0]!Godina=2025,MID(Osnovni_podaci!D20,3,1)="S",Osnovni_podaci!L24=4,Osnovni_podaci!G24=0,MID(Osnovni_podaci!D20,3,1)="S",MID(Osnovni_podaci!D20,8,1)="k"),VLOOKUP( $B130, T_Aop[], 5, 1),A1)</f>
        <v>413</v>
      </c>
      <c r="D130" s="608" t="str">
        <f>IF(AND([0]!Godina=2025,MID(Osnovni_podaci!D20,3,1)="S",Osnovni_podaci!L24=4,Osnovni_podaci!G24=0,MID(Osnovni_podaci!D20,3,1)="S",MID(Osnovni_podaci!D20,8,1)="k"),VLOOKUP( $B130, T_Aop[], 6, 1),A1)</f>
        <v xml:space="preserve">    2. Dugoročni krediti u zemlji</v>
      </c>
      <c r="E130" s="609"/>
      <c r="F130" s="609"/>
      <c r="G130" s="609"/>
      <c r="H130" s="610"/>
      <c r="I130" s="121">
        <f>IF(AND([0]!Godina=2025,MID(Osnovni_podaci!D20,3,1)="S",Osnovni_podaci!L24=4,Osnovni_podaci!G24=0,MID(Osnovni_podaci!D20,3,1)="S",MID(Osnovni_podaci!D20,8,1)="k"),VLOOKUP( $B130, T_Aop[], 4, 1),A1)</f>
        <v>139</v>
      </c>
      <c r="J130" s="157"/>
      <c r="K130" s="604"/>
      <c r="L130" s="605"/>
      <c r="M130" s="197">
        <v>7695690</v>
      </c>
      <c r="N130" s="395">
        <v>0</v>
      </c>
      <c r="P130" s="44"/>
    </row>
    <row r="131" spans="2:16" x14ac:dyDescent="0.2">
      <c r="B131" s="15">
        <v>107</v>
      </c>
      <c r="C131" s="359">
        <f>IF(AND([0]!Godina=2025,MID(Osnovni_podaci!D20,3,1)="S",Osnovni_podaci!L24=4,Osnovni_podaci!G24=0,MID(Osnovni_podaci!D20,3,1)="S",MID(Osnovni_podaci!D20,8,1)="k"),VLOOKUP( $B131, T_Aop[], 5, 1),A1)</f>
        <v>414</v>
      </c>
      <c r="D131" s="611" t="str">
        <f>IF(AND([0]!Godina=2025,MID(Osnovni_podaci!D20,3,1)="S",Osnovni_podaci!L24=4,Osnovni_podaci!G24=0,MID(Osnovni_podaci!D20,3,1)="S",MID(Osnovni_podaci!D20,8,1)="k"),VLOOKUP( $B131, T_Aop[], 6, 1),A1)</f>
        <v xml:space="preserve">    3. Dugoročni krediti u inostranstvu</v>
      </c>
      <c r="E131" s="612"/>
      <c r="F131" s="612"/>
      <c r="G131" s="612"/>
      <c r="H131" s="613"/>
      <c r="I131" s="122">
        <f>IF(AND([0]!Godina=2025,MID(Osnovni_podaci!D20,3,1)="S",Osnovni_podaci!L24=4,Osnovni_podaci!G24=0,MID(Osnovni_podaci!D20,3,1)="S",MID(Osnovni_podaci!D20,8,1)="k"),VLOOKUP( $B131, T_Aop[], 4, 1),A1)</f>
        <v>140</v>
      </c>
      <c r="J131" s="155"/>
      <c r="K131" s="602"/>
      <c r="L131" s="603"/>
      <c r="M131" s="195">
        <v>32713164</v>
      </c>
      <c r="N131" s="196">
        <v>32713164</v>
      </c>
      <c r="P131" s="44"/>
    </row>
    <row r="132" spans="2:16" x14ac:dyDescent="0.2">
      <c r="B132" s="15">
        <v>108</v>
      </c>
      <c r="C132" s="358">
        <f>IF(AND([0]!Godina=2025,MID(Osnovni_podaci!D20,3,1)="S",Osnovni_podaci!L24=4,Osnovni_podaci!G24=0,MID(Osnovni_podaci!D20,3,1)="S",MID(Osnovni_podaci!D20,8,1)="k"),VLOOKUP( $B132, T_Aop[], 5, 1),A1)</f>
        <v>412</v>
      </c>
      <c r="D132" s="608" t="str">
        <f>IF(AND([0]!Godina=2025,MID(Osnovni_podaci!D20,3,1)="S",Osnovni_podaci!L24=4,Osnovni_podaci!G24=0,MID(Osnovni_podaci!D20,3,1)="S",MID(Osnovni_podaci!D20,8,1)="k"),VLOOKUP( $B132, T_Aop[], 6, 1),A1)</f>
        <v xml:space="preserve">    4. Obaveze po emitovanim dužničkim instrumentima</v>
      </c>
      <c r="E132" s="609"/>
      <c r="F132" s="609"/>
      <c r="G132" s="609"/>
      <c r="H132" s="610"/>
      <c r="I132" s="121">
        <f>IF(AND([0]!Godina=2025,MID(Osnovni_podaci!D20,3,1)="S",Osnovni_podaci!L24=4,Osnovni_podaci!G24=0,MID(Osnovni_podaci!D20,3,1)="S",MID(Osnovni_podaci!D20,8,1)="k"),VLOOKUP( $B132, T_Aop[], 4, 1),A1)</f>
        <v>141</v>
      </c>
      <c r="J132" s="157"/>
      <c r="K132" s="604"/>
      <c r="L132" s="605"/>
      <c r="M132" s="197">
        <v>27588036</v>
      </c>
      <c r="N132" s="198">
        <v>27588036</v>
      </c>
      <c r="P132" s="44"/>
    </row>
    <row r="133" spans="2:16" x14ac:dyDescent="0.2">
      <c r="B133" s="15">
        <v>109</v>
      </c>
      <c r="C133" s="359" t="str">
        <f>IF(AND([0]!Godina=2025,MID(Osnovni_podaci!D20,3,1)="S",Osnovni_podaci!L24=4,Osnovni_podaci!G24=0,MID(Osnovni_podaci!D20,3,1)="S",MID(Osnovni_podaci!D20,8,1)="k"),VLOOKUP( $B133, T_Aop[], 5, 1),A1)</f>
        <v>415, 416</v>
      </c>
      <c r="D133" s="611" t="str">
        <f>IF(AND([0]!Godina=2025,MID(Osnovni_podaci!D20,3,1)="S",Osnovni_podaci!L24=4,Osnovni_podaci!G24=0,MID(Osnovni_podaci!D20,3,1)="S",MID(Osnovni_podaci!D20,8,1)="k"),VLOOKUP( $B133, T_Aop[], 6, 1),A1)</f>
        <v xml:space="preserve">    5. Dugoročne obaveze po lizingu</v>
      </c>
      <c r="E133" s="612"/>
      <c r="F133" s="612"/>
      <c r="G133" s="612"/>
      <c r="H133" s="613"/>
      <c r="I133" s="122">
        <f>IF(AND([0]!Godina=2025,MID(Osnovni_podaci!D20,3,1)="S",Osnovni_podaci!L24=4,Osnovni_podaci!G24=0,MID(Osnovni_podaci!D20,3,1)="S",MID(Osnovni_podaci!D20,8,1)="k"),VLOOKUP( $B133, T_Aop[], 4, 1),A1)</f>
        <v>142</v>
      </c>
      <c r="J133" s="155"/>
      <c r="K133" s="602"/>
      <c r="L133" s="603"/>
      <c r="M133" s="195">
        <v>0</v>
      </c>
      <c r="N133" s="196">
        <v>0</v>
      </c>
      <c r="P133" s="44"/>
    </row>
    <row r="134" spans="2:16" x14ac:dyDescent="0.2">
      <c r="B134" s="15">
        <v>110</v>
      </c>
      <c r="C134" s="358" t="str">
        <f>IF(AND([0]!Godina=2025,MID(Osnovni_podaci!D20,3,1)="S",Osnovni_podaci!L24=4,Osnovni_podaci!G24=0,MID(Osnovni_podaci!D20,3,1)="S",MID(Osnovni_podaci!D20,8,1)="k"),VLOOKUP( $B134, T_Aop[], 5, 1),A1)</f>
        <v>418</v>
      </c>
      <c r="D134" s="608" t="str">
        <f>IF(AND([0]!Godina=2025,MID(Osnovni_podaci!D20,3,1)="S",Osnovni_podaci!L24=4,Osnovni_podaci!G24=0,MID(Osnovni_podaci!D20,3,1)="S",MID(Osnovni_podaci!D20,8,1)="k"),VLOOKUP( $B134, T_Aop[], 6, 1),A1)</f>
        <v xml:space="preserve">    6. Ostale dugoročne finansijske obaveze po amortizovanoj vrijednosti</v>
      </c>
      <c r="E134" s="609"/>
      <c r="F134" s="609"/>
      <c r="G134" s="609"/>
      <c r="H134" s="610"/>
      <c r="I134" s="121">
        <f>IF(AND([0]!Godina=2025,MID(Osnovni_podaci!D20,3,1)="S",Osnovni_podaci!L24=4,Osnovni_podaci!G24=0,MID(Osnovni_podaci!D20,3,1)="S",MID(Osnovni_podaci!D20,8,1)="k"),VLOOKUP( $B134, T_Aop[], 4, 1),A1)</f>
        <v>143</v>
      </c>
      <c r="J134" s="157"/>
      <c r="K134" s="604"/>
      <c r="L134" s="605"/>
      <c r="M134" s="197">
        <v>0</v>
      </c>
      <c r="N134" s="198">
        <v>0</v>
      </c>
      <c r="P134" s="44"/>
    </row>
    <row r="135" spans="2:16" x14ac:dyDescent="0.2">
      <c r="B135" s="15">
        <v>111</v>
      </c>
      <c r="C135" s="359" t="str">
        <f>IF(AND([0]!Godina=2025,MID(Osnovni_podaci!D20,3,1)="S",Osnovni_podaci!L24=4,Osnovni_podaci!G24=0,MID(Osnovni_podaci!D20,3,1)="S",MID(Osnovni_podaci!D20,8,1)="k"),VLOOKUP( $B135, T_Aop[], 5, 1),A1)</f>
        <v>dio 409, 410, 419</v>
      </c>
      <c r="D135" s="611" t="str">
        <f>IF(AND([0]!Godina=2025,MID(Osnovni_podaci!D20,3,1)="S",Osnovni_podaci!L24=4,Osnovni_podaci!G24=0,MID(Osnovni_podaci!D20,3,1)="S",MID(Osnovni_podaci!D20,8,1)="k"),VLOOKUP( $B135, T_Aop[], 6, 1),A1)</f>
        <v xml:space="preserve">    7. Ostale dugoročne obaveze, uključujući razgraničenja</v>
      </c>
      <c r="E135" s="612"/>
      <c r="F135" s="612"/>
      <c r="G135" s="612"/>
      <c r="H135" s="613"/>
      <c r="I135" s="122">
        <f>IF(AND([0]!Godina=2025,MID(Osnovni_podaci!D20,3,1)="S",Osnovni_podaci!L24=4,Osnovni_podaci!G24=0,MID(Osnovni_podaci!D20,3,1)="S",MID(Osnovni_podaci!D20,8,1)="k"),VLOOKUP( $B135, T_Aop[], 4, 1),A1)</f>
        <v>144</v>
      </c>
      <c r="J135" s="155"/>
      <c r="K135" s="602"/>
      <c r="L135" s="603"/>
      <c r="M135" s="195">
        <v>0</v>
      </c>
      <c r="N135" s="196">
        <v>0</v>
      </c>
      <c r="P135" s="44"/>
    </row>
    <row r="136" spans="2:16" x14ac:dyDescent="0.2">
      <c r="B136" s="15">
        <v>112</v>
      </c>
      <c r="C136" s="358">
        <f>IF(AND([0]!Godina=2025,MID(Osnovni_podaci!D20,3,1)="S",Osnovni_podaci!L24=4,Osnovni_podaci!G24=0,MID(Osnovni_podaci!D20,3,1)="S",MID(Osnovni_podaci!D20,8,1)="k"),VLOOKUP( $B136, T_Aop[], 5, 1),A1)</f>
        <v>408</v>
      </c>
      <c r="D136" s="616" t="str">
        <f>IF(AND([0]!Godina=2025,MID(Osnovni_podaci!D20,3,1)="S",Osnovni_podaci!L24=4,Osnovni_podaci!G24=0,MID(Osnovni_podaci!D20,3,1)="S",MID(Osnovni_podaci!D20,8,1)="k"),VLOOKUP( $B136, T_Aop[], 6, 1),A1)</f>
        <v xml:space="preserve">  III RAZGRANIČENI PRIHODI I PRIMLJENE DONACIJE</v>
      </c>
      <c r="E136" s="617"/>
      <c r="F136" s="617"/>
      <c r="G136" s="617"/>
      <c r="H136" s="618"/>
      <c r="I136" s="170">
        <f>IF(AND([0]!Godina=2025,MID(Osnovni_podaci!D20,3,1)="S",Osnovni_podaci!L24=4,Osnovni_podaci!G24=0,MID(Osnovni_podaci!D20,3,1)="S",MID(Osnovni_podaci!D20,8,1)="k"),VLOOKUP( $B136, T_Aop[], 4, 1),A1)</f>
        <v>145</v>
      </c>
      <c r="J136" s="157"/>
      <c r="K136" s="604"/>
      <c r="L136" s="605"/>
      <c r="M136" s="201">
        <v>16544439</v>
      </c>
      <c r="N136" s="202">
        <v>16362328</v>
      </c>
      <c r="P136" s="44"/>
    </row>
    <row r="137" spans="2:16" x14ac:dyDescent="0.2">
      <c r="B137" s="15">
        <v>113</v>
      </c>
      <c r="C137" s="359">
        <f>IF(AND([0]!Godina=2025,MID(Osnovni_podaci!D20,3,1)="S",Osnovni_podaci!L24=4,Osnovni_podaci!G24=0,MID(Osnovni_podaci!D20,3,1)="S",MID(Osnovni_podaci!D20,8,1)="k"),VLOOKUP( $B137, T_Aop[], 5, 1),A1)</f>
        <v>407</v>
      </c>
      <c r="D137" s="619" t="str">
        <f>IF(AND([0]!Godina=2025,MID(Osnovni_podaci!D20,3,1)="S",Osnovni_podaci!L24=4,Osnovni_podaci!G24=0,MID(Osnovni_podaci!D20,3,1)="S",MID(Osnovni_podaci!D20,8,1)="k"),VLOOKUP( $B137, T_Aop[], 6, 1),A1)</f>
        <v xml:space="preserve">  V. ODLOŽENE PORESKE OBAVEZE </v>
      </c>
      <c r="E137" s="620"/>
      <c r="F137" s="620"/>
      <c r="G137" s="620"/>
      <c r="H137" s="621"/>
      <c r="I137" s="171">
        <f>IF(AND([0]!Godina=2025,MID(Osnovni_podaci!D20,3,1)="S",Osnovni_podaci!L24=4,Osnovni_podaci!G24=0,MID(Osnovni_podaci!D20,3,1)="S",MID(Osnovni_podaci!D20,8,1)="k"),VLOOKUP( $B137, T_Aop[], 4, 1),A1)</f>
        <v>146</v>
      </c>
      <c r="J137" s="155"/>
      <c r="K137" s="602"/>
      <c r="L137" s="603"/>
      <c r="M137" s="199">
        <v>19444683</v>
      </c>
      <c r="N137" s="200">
        <v>19444683</v>
      </c>
      <c r="P137" s="44"/>
    </row>
    <row r="138" spans="2:16" ht="23.65" customHeight="1" x14ac:dyDescent="0.2">
      <c r="B138" s="15">
        <v>114</v>
      </c>
      <c r="C138" s="358" t="str">
        <f>IF(AND([0]!Godina=2025,MID(Osnovni_podaci!D20,3,1)="S",Osnovni_podaci!L24=4,Osnovni_podaci!G24=0,MID(Osnovni_podaci!D20,3,1)="S",MID(Osnovni_podaci!D20,8,1)="k"),VLOOKUP( $B138, T_Aop[], 5, 1),A1)</f>
        <v>42 do 49</v>
      </c>
      <c r="D138" s="616" t="str">
        <f>IF(AND([0]!Godina=2025,MID(Osnovni_podaci!D20,3,1)="S",Osnovni_podaci!L24=4,Osnovni_podaci!G24=0,MID(Osnovni_podaci!D20,3,1)="S",MID(Osnovni_podaci!D20,8,1)="k"),VLOOKUP( $B138, T_Aop[], 6, 1),A1)</f>
        <v xml:space="preserve">   G. KRATKOROČNE OBAVEZE I KRATKOROČNA REZERVISANJA(148 + 155 + 161 + 162 + 163 + 164 + 165 + 166 + 167 + 168)</v>
      </c>
      <c r="E138" s="617"/>
      <c r="F138" s="617"/>
      <c r="G138" s="617"/>
      <c r="H138" s="618"/>
      <c r="I138" s="170">
        <f>IF(AND([0]!Godina=2025,MID(Osnovni_podaci!D20,3,1)="S",Osnovni_podaci!L24=4,Osnovni_podaci!G24=0,MID(Osnovni_podaci!D20,3,1)="S",MID(Osnovni_podaci!D20,8,1)="k"),VLOOKUP( $B138, T_Aop[], 4, 1),A1)</f>
        <v>147</v>
      </c>
      <c r="J138" s="157"/>
      <c r="K138" s="604"/>
      <c r="L138" s="605"/>
      <c r="M138" s="48">
        <f>SUBTOTAL( 9, M139:M159)</f>
        <v>159830213</v>
      </c>
      <c r="N138" s="49">
        <f>SUBTOTAL( 9, N139:N159)</f>
        <v>176897259</v>
      </c>
      <c r="P138" s="44"/>
    </row>
    <row r="139" spans="2:16" x14ac:dyDescent="0.2">
      <c r="B139" s="15">
        <v>115</v>
      </c>
      <c r="C139" s="359">
        <f>IF(AND([0]!Godina=2025,MID(Osnovni_podaci!D20,3,1)="S",Osnovni_podaci!L24=4,Osnovni_podaci!G24=0,MID(Osnovni_podaci!D20,3,1)="S",MID(Osnovni_podaci!D20,8,1)="k"),VLOOKUP( $B139, T_Aop[], 5, 1),A1)</f>
        <v>42</v>
      </c>
      <c r="D139" s="611" t="str">
        <f>IF(AND([0]!Godina=2025,MID(Osnovni_podaci!D20,3,1)="S",Osnovni_podaci!L24=4,Osnovni_podaci!G24=0,MID(Osnovni_podaci!D20,3,1)="S",MID(Osnovni_podaci!D20,8,1)="k"),VLOOKUP( $B139, T_Aop[], 6, 1),A1)</f>
        <v xml:space="preserve">    1. Kratkoročne finansijske obaveze (149 do 154)</v>
      </c>
      <c r="E139" s="612"/>
      <c r="F139" s="612"/>
      <c r="G139" s="612"/>
      <c r="H139" s="613"/>
      <c r="I139" s="122">
        <f>IF(AND([0]!Godina=2025,MID(Osnovni_podaci!D20,3,1)="S",Osnovni_podaci!L24=4,Osnovni_podaci!G24=0,MID(Osnovni_podaci!D20,3,1)="S",MID(Osnovni_podaci!D20,8,1)="k"),VLOOKUP( $B139, T_Aop[], 4, 1),A1)</f>
        <v>148</v>
      </c>
      <c r="J139" s="155"/>
      <c r="K139" s="602"/>
      <c r="L139" s="603"/>
      <c r="M139" s="50">
        <f>SUBTOTAL( 9, M140:M145)</f>
        <v>2805979</v>
      </c>
      <c r="N139" s="51">
        <f>SUBTOTAL( 9, N140:N145)</f>
        <v>10242910</v>
      </c>
      <c r="P139" s="44"/>
    </row>
    <row r="140" spans="2:16" x14ac:dyDescent="0.2">
      <c r="B140" s="15">
        <v>116</v>
      </c>
      <c r="C140" s="358">
        <f>IF(AND([0]!Godina=2025,MID(Osnovni_podaci!D20,3,1)="S",Osnovni_podaci!L24=4,Osnovni_podaci!G24=0,MID(Osnovni_podaci!D20,3,1)="S",MID(Osnovni_podaci!D20,8,1)="k"),VLOOKUP( $B140, T_Aop[], 5, 1),A1)</f>
        <v>420</v>
      </c>
      <c r="D140" s="608" t="str">
        <f>IF(AND([0]!Godina=2025,MID(Osnovni_podaci!D20,3,1)="S",Osnovni_podaci!L24=4,Osnovni_podaci!G24=0,MID(Osnovni_podaci!D20,3,1)="S",MID(Osnovni_podaci!D20,8,1)="k"),VLOOKUP( $B140, T_Aop[], 6, 1),A1)</f>
        <v xml:space="preserve">      1.1. Kratkoročne finansijske obaveze prema povezanim pravnim licima</v>
      </c>
      <c r="E140" s="609"/>
      <c r="F140" s="609"/>
      <c r="G140" s="609"/>
      <c r="H140" s="610"/>
      <c r="I140" s="121">
        <f>IF(AND([0]!Godina=2025,MID(Osnovni_podaci!D20,3,1)="S",Osnovni_podaci!L24=4,Osnovni_podaci!G24=0,MID(Osnovni_podaci!D20,3,1)="S",MID(Osnovni_podaci!D20,8,1)="k"),VLOOKUP( $B140, T_Aop[], 4, 1),A1)</f>
        <v>149</v>
      </c>
      <c r="J140" s="157"/>
      <c r="K140" s="604"/>
      <c r="L140" s="605"/>
      <c r="M140" s="197">
        <v>703698</v>
      </c>
      <c r="N140" s="198">
        <v>2814790</v>
      </c>
      <c r="P140" s="44"/>
    </row>
    <row r="141" spans="2:16" x14ac:dyDescent="0.2">
      <c r="B141" s="15">
        <v>117</v>
      </c>
      <c r="C141" s="359" t="str">
        <f>IF(AND([0]!Godina=2025,MID(Osnovni_podaci!D20,3,1)="S",Osnovni_podaci!L24=4,Osnovni_podaci!G24=0,MID(Osnovni_podaci!D20,3,1)="S",MID(Osnovni_podaci!D20,8,1)="k"),VLOOKUP( $B141, T_Aop[], 5, 1),A1)</f>
        <v>421 do 424</v>
      </c>
      <c r="D141" s="611" t="str">
        <f>IF(AND([0]!Godina=2025,MID(Osnovni_podaci!D20,3,1)="S",Osnovni_podaci!L24=4,Osnovni_podaci!G24=0,MID(Osnovni_podaci!D20,3,1)="S",MID(Osnovni_podaci!D20,8,1)="k"),VLOOKUP( $B141, T_Aop[], 6, 1),A1)</f>
        <v xml:space="preserve">      1.2. Kratkoročni krediti i obaveze po emitovanim kratkoročnim hartijama od vrijednosti</v>
      </c>
      <c r="E141" s="612"/>
      <c r="F141" s="612"/>
      <c r="G141" s="612"/>
      <c r="H141" s="613"/>
      <c r="I141" s="122">
        <f>IF(AND([0]!Godina=2025,MID(Osnovni_podaci!D20,3,1)="S",Osnovni_podaci!L24=4,Osnovni_podaci!G24=0,MID(Osnovni_podaci!D20,3,1)="S",MID(Osnovni_podaci!D20,8,1)="k"),VLOOKUP( $B141, T_Aop[], 4, 1),A1)</f>
        <v>150</v>
      </c>
      <c r="J141" s="155"/>
      <c r="K141" s="602"/>
      <c r="L141" s="603"/>
      <c r="M141" s="195">
        <v>2102281</v>
      </c>
      <c r="N141" s="196">
        <v>4836550</v>
      </c>
      <c r="P141" s="44"/>
    </row>
    <row r="142" spans="2:16" x14ac:dyDescent="0.2">
      <c r="B142" s="15">
        <v>118</v>
      </c>
      <c r="C142" s="358" t="str">
        <f>IF(AND([0]!Godina=2025,MID(Osnovni_podaci!D20,3,1)="S",Osnovni_podaci!L24=4,Osnovni_podaci!G24=0,MID(Osnovni_podaci!D20,3,1)="S",MID(Osnovni_podaci!D20,8,1)="k"),VLOOKUP( $B142, T_Aop[], 5, 1),A1)</f>
        <v>425 i 426</v>
      </c>
      <c r="D142" s="608" t="str">
        <f>IF(AND([0]!Godina=2025,MID(Osnovni_podaci!D20,3,1)="S",Osnovni_podaci!L24=4,Osnovni_podaci!G24=0,MID(Osnovni_podaci!D20,3,1)="S",MID(Osnovni_podaci!D20,8,1)="k"),VLOOKUP( $B142, T_Aop[], 6, 1),A1)</f>
        <v xml:space="preserve">      1.3. Kratkoročne obaveze po lizingu</v>
      </c>
      <c r="E142" s="609"/>
      <c r="F142" s="609"/>
      <c r="G142" s="609"/>
      <c r="H142" s="610"/>
      <c r="I142" s="121">
        <f>IF(AND([0]!Godina=2025,MID(Osnovni_podaci!D20,3,1)="S",Osnovni_podaci!L24=4,Osnovni_podaci!G24=0,MID(Osnovni_podaci!D20,3,1)="S",MID(Osnovni_podaci!D20,8,1)="k"),VLOOKUP( $B142, T_Aop[], 4, 1),A1)</f>
        <v>151</v>
      </c>
      <c r="J142" s="157"/>
      <c r="K142" s="604"/>
      <c r="L142" s="605"/>
      <c r="M142" s="197">
        <v>0</v>
      </c>
      <c r="N142" s="198">
        <v>0</v>
      </c>
      <c r="P142" s="44"/>
    </row>
    <row r="143" spans="2:16" x14ac:dyDescent="0.2">
      <c r="B143" s="15">
        <v>119</v>
      </c>
      <c r="C143" s="359">
        <f>IF(AND([0]!Godina=2025,MID(Osnovni_podaci!D20,3,1)="S",Osnovni_podaci!L24=4,Osnovni_podaci!G24=0,MID(Osnovni_podaci!D20,3,1)="S",MID(Osnovni_podaci!D20,8,1)="k"),VLOOKUP( $B143, T_Aop[], 5, 1),A1)</f>
        <v>427</v>
      </c>
      <c r="D143" s="611" t="str">
        <f>IF(AND([0]!Godina=2025,MID(Osnovni_podaci!D20,3,1)="S",Osnovni_podaci!L24=4,Osnovni_podaci!G24=0,MID(Osnovni_podaci!D20,3,1)="S",MID(Osnovni_podaci!D20,8,1)="k"),VLOOKUP( $B143, T_Aop[], 6, 1),A1)</f>
        <v xml:space="preserve">      1.4. Kratkoročne obaveze po fer vrijednosti kroz bilans uspjeha</v>
      </c>
      <c r="E143" s="612"/>
      <c r="F143" s="612"/>
      <c r="G143" s="612"/>
      <c r="H143" s="613"/>
      <c r="I143" s="122">
        <f>IF(AND([0]!Godina=2025,MID(Osnovni_podaci!D20,3,1)="S",Osnovni_podaci!L24=4,Osnovni_podaci!G24=0,MID(Osnovni_podaci!D20,3,1)="S",MID(Osnovni_podaci!D20,8,1)="k"),VLOOKUP( $B143, T_Aop[], 4, 1),A1)</f>
        <v>152</v>
      </c>
      <c r="J143" s="155"/>
      <c r="K143" s="602"/>
      <c r="L143" s="603"/>
      <c r="M143" s="195">
        <v>0</v>
      </c>
      <c r="N143" s="196">
        <v>2591570</v>
      </c>
      <c r="P143" s="44"/>
    </row>
    <row r="144" spans="2:16" x14ac:dyDescent="0.2">
      <c r="B144" s="15">
        <v>120</v>
      </c>
      <c r="C144" s="358">
        <f>IF(AND([0]!Godina=2025,MID(Osnovni_podaci!D20,3,1)="S",Osnovni_podaci!L24=4,Osnovni_podaci!G24=0,MID(Osnovni_podaci!D20,3,1)="S",MID(Osnovni_podaci!D20,8,1)="k"),VLOOKUP( $B144, T_Aop[], 5, 1),A1)</f>
        <v>428</v>
      </c>
      <c r="D144" s="608" t="str">
        <f>IF(AND([0]!Godina=2025,MID(Osnovni_podaci!D20,3,1)="S",Osnovni_podaci!L24=4,Osnovni_podaci!G24=0,MID(Osnovni_podaci!D20,3,1)="S",MID(Osnovni_podaci!D20,8,1)="k"),VLOOKUP( $B144, T_Aop[], 6, 1),A1)</f>
        <v xml:space="preserve">      1.5. Derivatne finansijske obaveze</v>
      </c>
      <c r="E144" s="609"/>
      <c r="F144" s="609"/>
      <c r="G144" s="609"/>
      <c r="H144" s="610"/>
      <c r="I144" s="121">
        <f>IF(AND([0]!Godina=2025,MID(Osnovni_podaci!D20,3,1)="S",Osnovni_podaci!L24=4,Osnovni_podaci!G24=0,MID(Osnovni_podaci!D20,3,1)="S",MID(Osnovni_podaci!D20,8,1)="k"),VLOOKUP( $B144, T_Aop[], 4, 1),A1)</f>
        <v>153</v>
      </c>
      <c r="J144" s="157"/>
      <c r="K144" s="604"/>
      <c r="L144" s="605"/>
      <c r="M144" s="197">
        <v>0</v>
      </c>
      <c r="N144" s="198">
        <v>0</v>
      </c>
      <c r="P144" s="44"/>
    </row>
    <row r="145" spans="2:16" x14ac:dyDescent="0.2">
      <c r="B145" s="15">
        <v>121</v>
      </c>
      <c r="C145" s="359">
        <f>IF(AND([0]!Godina=2025,MID(Osnovni_podaci!D20,3,1)="S",Osnovni_podaci!L24=4,Osnovni_podaci!G24=0,MID(Osnovni_podaci!D20,3,1)="S",MID(Osnovni_podaci!D20,8,1)="k"),VLOOKUP( $B145, T_Aop[], 5, 1),A1)</f>
        <v>429</v>
      </c>
      <c r="D145" s="611" t="str">
        <f>IF(AND([0]!Godina=2025,MID(Osnovni_podaci!D20,3,1)="S",Osnovni_podaci!L24=4,Osnovni_podaci!G24=0,MID(Osnovni_podaci!D20,3,1)="S",MID(Osnovni_podaci!D20,8,1)="k"),VLOOKUP( $B145, T_Aop[], 6, 1),A1)</f>
        <v xml:space="preserve">      1.6. Ostale obaveze po amortizovanoj vrijednosti</v>
      </c>
      <c r="E145" s="612"/>
      <c r="F145" s="612"/>
      <c r="G145" s="612"/>
      <c r="H145" s="613"/>
      <c r="I145" s="122">
        <f>IF(AND([0]!Godina=2025,MID(Osnovni_podaci!D20,3,1)="S",Osnovni_podaci!L24=4,Osnovni_podaci!G24=0,MID(Osnovni_podaci!D20,3,1)="S",MID(Osnovni_podaci!D20,8,1)="k"),VLOOKUP( $B145, T_Aop[], 4, 1),A1)</f>
        <v>154</v>
      </c>
      <c r="J145" s="155"/>
      <c r="K145" s="602"/>
      <c r="L145" s="603"/>
      <c r="M145" s="195">
        <v>0</v>
      </c>
      <c r="N145" s="196">
        <v>0</v>
      </c>
      <c r="P145" s="44"/>
    </row>
    <row r="146" spans="2:16" x14ac:dyDescent="0.2">
      <c r="B146" s="15">
        <v>122</v>
      </c>
      <c r="C146" s="358">
        <f>IF(AND([0]!Godina=2025,MID(Osnovni_podaci!D20,3,1)="S",Osnovni_podaci!L24=4,Osnovni_podaci!G24=0,MID(Osnovni_podaci!D20,3,1)="S",MID(Osnovni_podaci!D20,8,1)="k"),VLOOKUP( $B146, T_Aop[], 5, 1),A1)</f>
        <v>43</v>
      </c>
      <c r="D146" s="608" t="str">
        <f>IF(AND([0]!Godina=2025,MID(Osnovni_podaci!D20,3,1)="S",Osnovni_podaci!L24=4,Osnovni_podaci!G24=0,MID(Osnovni_podaci!D20,3,1)="S",MID(Osnovni_podaci!D20,8,1)="k"),VLOOKUP( $B146, T_Aop[], 6, 1),A1)</f>
        <v xml:space="preserve">    2. Obaveze iz poslovanja (156 do 160)</v>
      </c>
      <c r="E146" s="609"/>
      <c r="F146" s="609"/>
      <c r="G146" s="609"/>
      <c r="H146" s="610"/>
      <c r="I146" s="121">
        <f>IF(AND([0]!Godina=2025,MID(Osnovni_podaci!D20,3,1)="S",Osnovni_podaci!L24=4,Osnovni_podaci!G24=0,MID(Osnovni_podaci!D20,3,1)="S",MID(Osnovni_podaci!D20,8,1)="k"),VLOOKUP( $B146, T_Aop[], 4, 1),A1)</f>
        <v>155</v>
      </c>
      <c r="J146" s="157"/>
      <c r="K146" s="604"/>
      <c r="L146" s="605"/>
      <c r="M146" s="445">
        <f>SUBTOTAL( 9, M147:M151)</f>
        <v>134208267</v>
      </c>
      <c r="N146" s="450">
        <f>SUBTOTAL( 9, N147:N151)</f>
        <v>145540037</v>
      </c>
      <c r="P146" s="44"/>
    </row>
    <row r="147" spans="2:16" x14ac:dyDescent="0.2">
      <c r="B147" s="15">
        <v>123</v>
      </c>
      <c r="C147" s="359" t="str">
        <f>IF(AND([0]!Godina=2025,MID(Osnovni_podaci!D20,3,1)="S",Osnovni_podaci!L24=4,Osnovni_podaci!G24=0,MID(Osnovni_podaci!D20,3,1)="S",MID(Osnovni_podaci!D20,8,1)="k"),VLOOKUP( $B147, T_Aop[], 5, 1),A1)</f>
        <v>430 i 436</v>
      </c>
      <c r="D147" s="611" t="str">
        <f>IF(AND([0]!Godina=2025,MID(Osnovni_podaci!D20,3,1)="S",Osnovni_podaci!L24=4,Osnovni_podaci!G24=0,MID(Osnovni_podaci!D20,3,1)="S",MID(Osnovni_podaci!D20,8,1)="k"),VLOOKUP( $B147, T_Aop[], 6, 1),A1)</f>
        <v xml:space="preserve">      2.1. Primljeni avansi, depoziti i kaucije</v>
      </c>
      <c r="E147" s="612"/>
      <c r="F147" s="612"/>
      <c r="G147" s="612"/>
      <c r="H147" s="613"/>
      <c r="I147" s="122">
        <f>IF(AND([0]!Godina=2025,MID(Osnovni_podaci!D20,3,1)="S",Osnovni_podaci!L24=4,Osnovni_podaci!G24=0,MID(Osnovni_podaci!D20,3,1)="S",MID(Osnovni_podaci!D20,8,1)="k"),VLOOKUP( $B147, T_Aop[], 4, 1),A1)</f>
        <v>156</v>
      </c>
      <c r="J147" s="155"/>
      <c r="K147" s="602"/>
      <c r="L147" s="603"/>
      <c r="M147" s="195">
        <v>635048</v>
      </c>
      <c r="N147" s="196">
        <v>648728</v>
      </c>
      <c r="P147" s="44"/>
    </row>
    <row r="148" spans="2:16" x14ac:dyDescent="0.2">
      <c r="B148" s="15">
        <v>124</v>
      </c>
      <c r="C148" s="358">
        <f>IF(AND([0]!Godina=2025,MID(Osnovni_podaci!D20,3,1)="S",Osnovni_podaci!L24=4,Osnovni_podaci!G24=0,MID(Osnovni_podaci!D20,3,1)="S",MID(Osnovni_podaci!D20,8,1)="k"),VLOOKUP( $B148, T_Aop[], 5, 1),A1)</f>
        <v>431</v>
      </c>
      <c r="D148" s="608" t="str">
        <f>IF(AND([0]!Godina=2025,MID(Osnovni_podaci!D20,3,1)="S",Osnovni_podaci!L24=4,Osnovni_podaci!G24=0,MID(Osnovni_podaci!D20,3,1)="S",MID(Osnovni_podaci!D20,8,1)="k"),VLOOKUP( $B148, T_Aop[], 6, 1),A1)</f>
        <v xml:space="preserve">      2.2. Dobavljači – povezana pravna lica</v>
      </c>
      <c r="E148" s="609"/>
      <c r="F148" s="609"/>
      <c r="G148" s="609"/>
      <c r="H148" s="610"/>
      <c r="I148" s="121">
        <f>IF(AND([0]!Godina=2025,MID(Osnovni_podaci!D20,3,1)="S",Osnovni_podaci!L24=4,Osnovni_podaci!G24=0,MID(Osnovni_podaci!D20,3,1)="S",MID(Osnovni_podaci!D20,8,1)="k"),VLOOKUP( $B148, T_Aop[], 4, 1),A1)</f>
        <v>157</v>
      </c>
      <c r="J148" s="157"/>
      <c r="K148" s="604"/>
      <c r="L148" s="605"/>
      <c r="M148" s="197">
        <v>126734719</v>
      </c>
      <c r="N148" s="198">
        <v>131947423</v>
      </c>
      <c r="P148" s="44"/>
    </row>
    <row r="149" spans="2:16" x14ac:dyDescent="0.2">
      <c r="B149" s="15">
        <v>125</v>
      </c>
      <c r="C149" s="359" t="str">
        <f>IF(AND([0]!Godina=2025,MID(Osnovni_podaci!D20,3,1)="S",Osnovni_podaci!L24=4,Osnovni_podaci!G24=0,MID(Osnovni_podaci!D20,3,1)="S",MID(Osnovni_podaci!D20,8,1)="k"),VLOOKUP( $B149, T_Aop[], 5, 1),A1)</f>
        <v>432, 433, 434</v>
      </c>
      <c r="D149" s="611" t="str">
        <f>IF(AND([0]!Godina=2025,MID(Osnovni_podaci!D20,3,1)="S",Osnovni_podaci!L24=4,Osnovni_podaci!G24=0,MID(Osnovni_podaci!D20,3,1)="S",MID(Osnovni_podaci!D20,8,1)="k"),VLOOKUP( $B149, T_Aop[], 6, 1),A1)</f>
        <v xml:space="preserve">      2.3. Dobavljači u zemlji</v>
      </c>
      <c r="E149" s="612"/>
      <c r="F149" s="612"/>
      <c r="G149" s="612"/>
      <c r="H149" s="613"/>
      <c r="I149" s="122">
        <f>IF(AND([0]!Godina=2025,MID(Osnovni_podaci!D20,3,1)="S",Osnovni_podaci!L24=4,Osnovni_podaci!G24=0,MID(Osnovni_podaci!D20,3,1)="S",MID(Osnovni_podaci!D20,8,1)="k"),VLOOKUP( $B149, T_Aop[], 4, 1),A1)</f>
        <v>158</v>
      </c>
      <c r="J149" s="155"/>
      <c r="K149" s="602"/>
      <c r="L149" s="603"/>
      <c r="M149" s="195">
        <v>6582221</v>
      </c>
      <c r="N149" s="196">
        <v>12460882</v>
      </c>
      <c r="P149" s="44"/>
    </row>
    <row r="150" spans="2:16" x14ac:dyDescent="0.2">
      <c r="B150" s="15">
        <v>126</v>
      </c>
      <c r="C150" s="358">
        <f>IF(AND([0]!Godina=2025,MID(Osnovni_podaci!D20,3,1)="S",Osnovni_podaci!L24=4,Osnovni_podaci!G24=0,MID(Osnovni_podaci!D20,3,1)="S",MID(Osnovni_podaci!D20,8,1)="k"),VLOOKUP( $B150, T_Aop[], 5, 1),A1)</f>
        <v>435</v>
      </c>
      <c r="D150" s="608" t="str">
        <f>IF(AND([0]!Godina=2025,MID(Osnovni_podaci!D20,3,1)="S",Osnovni_podaci!L24=4,Osnovni_podaci!G24=0,MID(Osnovni_podaci!D20,3,1)="S",MID(Osnovni_podaci!D20,8,1)="k"),VLOOKUP( $B150, T_Aop[], 6, 1),A1)</f>
        <v xml:space="preserve">      2.4. Dobavljači iz inostranstva</v>
      </c>
      <c r="E150" s="609"/>
      <c r="F150" s="609"/>
      <c r="G150" s="609"/>
      <c r="H150" s="610"/>
      <c r="I150" s="121">
        <f>IF(AND([0]!Godina=2025,MID(Osnovni_podaci!D20,3,1)="S",Osnovni_podaci!L24=4,Osnovni_podaci!G24=0,MID(Osnovni_podaci!D20,3,1)="S",MID(Osnovni_podaci!D20,8,1)="k"),VLOOKUP( $B150, T_Aop[], 4, 1),A1)</f>
        <v>159</v>
      </c>
      <c r="J150" s="157"/>
      <c r="K150" s="604"/>
      <c r="L150" s="605"/>
      <c r="M150" s="197">
        <v>149211</v>
      </c>
      <c r="N150" s="198">
        <v>360763</v>
      </c>
      <c r="P150" s="44"/>
    </row>
    <row r="151" spans="2:16" x14ac:dyDescent="0.2">
      <c r="B151" s="15">
        <v>127</v>
      </c>
      <c r="C151" s="359" t="str">
        <f>IF(AND([0]!Godina=2025,MID(Osnovni_podaci!D20,3,1)="S",Osnovni_podaci!L24=4,Osnovni_podaci!G24=0,MID(Osnovni_podaci!D20,3,1)="S",MID(Osnovni_podaci!D20,8,1)="k"),VLOOKUP( $B151, T_Aop[], 5, 1),A1)</f>
        <v>437, 439</v>
      </c>
      <c r="D151" s="611" t="str">
        <f>IF(AND([0]!Godina=2025,MID(Osnovni_podaci!D20,3,1)="S",Osnovni_podaci!L24=4,Osnovni_podaci!G24=0,MID(Osnovni_podaci!D20,3,1)="S",MID(Osnovni_podaci!D20,8,1)="k"),VLOOKUP( $B151, T_Aop[], 6, 1),A1)</f>
        <v xml:space="preserve">      2.5. Ostale obaveze iz poslovanja</v>
      </c>
      <c r="E151" s="612"/>
      <c r="F151" s="612"/>
      <c r="G151" s="612"/>
      <c r="H151" s="613"/>
      <c r="I151" s="122">
        <f>IF(AND([0]!Godina=2025,MID(Osnovni_podaci!D20,3,1)="S",Osnovni_podaci!L24=4,Osnovni_podaci!G24=0,MID(Osnovni_podaci!D20,3,1)="S",MID(Osnovni_podaci!D20,8,1)="k"),VLOOKUP( $B151, T_Aop[], 4, 1),A1)</f>
        <v>160</v>
      </c>
      <c r="J151" s="155"/>
      <c r="K151" s="602"/>
      <c r="L151" s="603"/>
      <c r="M151" s="195">
        <v>107068</v>
      </c>
      <c r="N151" s="196">
        <v>122241</v>
      </c>
      <c r="P151" s="44"/>
    </row>
    <row r="152" spans="2:16" x14ac:dyDescent="0.2">
      <c r="B152" s="15">
        <v>128</v>
      </c>
      <c r="C152" s="358" t="str">
        <f>IF(AND([0]!Godina=2025,MID(Osnovni_podaci!D20,3,1)="S",Osnovni_podaci!L24=4,Osnovni_podaci!G24=0,MID(Osnovni_podaci!D20,3,1)="S",MID(Osnovni_podaci!D20,8,1)="k"),VLOOKUP( $B152, T_Aop[], 5, 1),A1)</f>
        <v>440 do 449</v>
      </c>
      <c r="D152" s="608" t="str">
        <f>IF(AND([0]!Godina=2025,MID(Osnovni_podaci!D20,3,1)="S",Osnovni_podaci!L24=4,Osnovni_podaci!G24=0,MID(Osnovni_podaci!D20,3,1)="S",MID(Osnovni_podaci!D20,8,1)="k"),VLOOKUP( $B152, T_Aop[], 6, 1),A1)</f>
        <v xml:space="preserve">    3. Obaveze iz specifičnih poslova</v>
      </c>
      <c r="E152" s="609"/>
      <c r="F152" s="609"/>
      <c r="G152" s="609"/>
      <c r="H152" s="610"/>
      <c r="I152" s="121">
        <f>IF(AND([0]!Godina=2025,MID(Osnovni_podaci!D20,3,1)="S",Osnovni_podaci!L24=4,Osnovni_podaci!G24=0,MID(Osnovni_podaci!D20,3,1)="S",MID(Osnovni_podaci!D20,8,1)="k"),VLOOKUP( $B152, T_Aop[], 4, 1),A1)</f>
        <v>161</v>
      </c>
      <c r="J152" s="157"/>
      <c r="K152" s="604"/>
      <c r="L152" s="605"/>
      <c r="M152" s="197">
        <v>13969339</v>
      </c>
      <c r="N152" s="395">
        <v>13070720</v>
      </c>
      <c r="P152" s="44"/>
    </row>
    <row r="153" spans="2:16" x14ac:dyDescent="0.2">
      <c r="B153" s="15">
        <v>129</v>
      </c>
      <c r="C153" s="359" t="str">
        <f>IF(AND([0]!Godina=2025,MID(Osnovni_podaci!D20,3,1)="S",Osnovni_podaci!L24=4,Osnovni_podaci!G24=0,MID(Osnovni_podaci!D20,3,1)="S",MID(Osnovni_podaci!D20,8,1)="k"),VLOOKUP( $B153, T_Aop[], 5, 1),A1)</f>
        <v>450 do 458</v>
      </c>
      <c r="D153" s="611" t="str">
        <f>IF(AND([0]!Godina=2025,MID(Osnovni_podaci!D20,3,1)="S",Osnovni_podaci!L24=4,Osnovni_podaci!G24=0,MID(Osnovni_podaci!D20,3,1)="S",MID(Osnovni_podaci!D20,8,1)="k"),VLOOKUP( $B153, T_Aop[], 6, 1),A1)</f>
        <v xml:space="preserve">    4. Obaveze za plate i naknade plata</v>
      </c>
      <c r="E153" s="612"/>
      <c r="F153" s="612"/>
      <c r="G153" s="612"/>
      <c r="H153" s="613"/>
      <c r="I153" s="122">
        <f>IF(AND([0]!Godina=2025,MID(Osnovni_podaci!D20,3,1)="S",Osnovni_podaci!L24=4,Osnovni_podaci!G24=0,MID(Osnovni_podaci!D20,3,1)="S",MID(Osnovni_podaci!D20,8,1)="k"),VLOOKUP( $B153, T_Aop[], 4, 1),A1)</f>
        <v>162</v>
      </c>
      <c r="J153" s="155"/>
      <c r="K153" s="602"/>
      <c r="L153" s="603"/>
      <c r="M153" s="195">
        <v>5399524</v>
      </c>
      <c r="N153" s="396">
        <v>3699652</v>
      </c>
      <c r="P153" s="44"/>
    </row>
    <row r="154" spans="2:16" x14ac:dyDescent="0.2">
      <c r="B154" s="15">
        <v>130</v>
      </c>
      <c r="C154" s="358" t="str">
        <f>IF(AND([0]!Godina=2025,MID(Osnovni_podaci!D20,3,1)="S",Osnovni_podaci!L24=4,Osnovni_podaci!G24=0,MID(Osnovni_podaci!D20,3,1)="S",MID(Osnovni_podaci!D20,8,1)="k"),VLOOKUP( $B154, T_Aop[], 5, 1),A1)</f>
        <v>460 do 469</v>
      </c>
      <c r="D154" s="608" t="str">
        <f>IF(AND([0]!Godina=2025,MID(Osnovni_podaci!D20,3,1)="S",Osnovni_podaci!L24=4,Osnovni_podaci!G24=0,MID(Osnovni_podaci!D20,3,1)="S",MID(Osnovni_podaci!D20,8,1)="k"),VLOOKUP( $B154, T_Aop[], 6, 1),A1)</f>
        <v xml:space="preserve">    5. Ostale obaveze</v>
      </c>
      <c r="E154" s="609"/>
      <c r="F154" s="609"/>
      <c r="G154" s="609"/>
      <c r="H154" s="610"/>
      <c r="I154" s="121">
        <f>IF(AND([0]!Godina=2025,MID(Osnovni_podaci!D20,3,1)="S",Osnovni_podaci!L24=4,Osnovni_podaci!G24=0,MID(Osnovni_podaci!D20,3,1)="S",MID(Osnovni_podaci!D20,8,1)="k"),VLOOKUP( $B154, T_Aop[], 4, 1),A1)</f>
        <v>163</v>
      </c>
      <c r="J154" s="157"/>
      <c r="K154" s="604"/>
      <c r="L154" s="605"/>
      <c r="M154" s="197">
        <v>177908</v>
      </c>
      <c r="N154" s="395">
        <v>697901</v>
      </c>
      <c r="P154" s="44"/>
    </row>
    <row r="155" spans="2:16" x14ac:dyDescent="0.2">
      <c r="B155" s="15">
        <v>131</v>
      </c>
      <c r="C155" s="359" t="str">
        <f>IF(AND([0]!Godina=2025,MID(Osnovni_podaci!D20,3,1)="S",Osnovni_podaci!L24=4,Osnovni_podaci!G24=0,MID(Osnovni_podaci!D20,3,1)="S",MID(Osnovni_podaci!D20,8,1)="k"),VLOOKUP( $B155, T_Aop[], 5, 1),A1)</f>
        <v>470 do 479</v>
      </c>
      <c r="D155" s="611" t="str">
        <f>IF(AND([0]!Godina=2025,MID(Osnovni_podaci!D20,3,1)="S",Osnovni_podaci!L24=4,Osnovni_podaci!G24=0,MID(Osnovni_podaci!D20,3,1)="S",MID(Osnovni_podaci!D20,8,1)="k"),VLOOKUP( $B155, T_Aop[], 6, 1),A1)</f>
        <v xml:space="preserve">    6. Porez na dodatu vrijednost</v>
      </c>
      <c r="E155" s="612"/>
      <c r="F155" s="612"/>
      <c r="G155" s="612"/>
      <c r="H155" s="613"/>
      <c r="I155" s="122">
        <f>IF(AND([0]!Godina=2025,MID(Osnovni_podaci!D20,3,1)="S",Osnovni_podaci!L24=4,Osnovni_podaci!G24=0,MID(Osnovni_podaci!D20,3,1)="S",MID(Osnovni_podaci!D20,8,1)="k"),VLOOKUP( $B155, T_Aop[], 4, 1),A1)</f>
        <v>164</v>
      </c>
      <c r="J155" s="155"/>
      <c r="K155" s="602"/>
      <c r="L155" s="603"/>
      <c r="M155" s="195">
        <v>1170527</v>
      </c>
      <c r="N155" s="396">
        <v>813541</v>
      </c>
      <c r="P155" s="44"/>
    </row>
    <row r="156" spans="2:16" ht="12.75" customHeight="1" x14ac:dyDescent="0.2">
      <c r="B156" s="15">
        <v>132</v>
      </c>
      <c r="C156" s="358" t="str">
        <f>IF(AND([0]!Godina=2025,MID(Osnovni_podaci!D20,3,1)="S",Osnovni_podaci!L24=4,Osnovni_podaci!G24=0,MID(Osnovni_podaci!D20,3,1)="S",MID(Osnovni_podaci!D20,8,1)="k"),VLOOKUP( $B156, T_Aop[], 5, 1),A1)</f>
        <v>48, osim 481</v>
      </c>
      <c r="D156" s="608" t="str">
        <f>IF(AND([0]!Godina=2025,MID(Osnovni_podaci!D20,3,1)="S",Osnovni_podaci!L24=4,Osnovni_podaci!G24=0,MID(Osnovni_podaci!D20,3,1)="S",MID(Osnovni_podaci!D20,8,1)="k"),VLOOKUP( $B156, T_Aop[], 6, 1),A1)</f>
        <v xml:space="preserve">    7. Obaveze za ostale poreze, doprinose i druge dažbine</v>
      </c>
      <c r="E156" s="609"/>
      <c r="F156" s="609"/>
      <c r="G156" s="609"/>
      <c r="H156" s="610"/>
      <c r="I156" s="121">
        <f>IF(AND([0]!Godina=2025,MID(Osnovni_podaci!D20,3,1)="S",Osnovni_podaci!L24=4,Osnovni_podaci!G24=0,MID(Osnovni_podaci!D20,3,1)="S",MID(Osnovni_podaci!D20,8,1)="k"),VLOOKUP( $B156, T_Aop[], 4, 1),A1)</f>
        <v>165</v>
      </c>
      <c r="J156" s="157"/>
      <c r="K156" s="604"/>
      <c r="L156" s="605"/>
      <c r="M156" s="197">
        <v>46247</v>
      </c>
      <c r="N156" s="395">
        <v>127979</v>
      </c>
      <c r="P156" s="44"/>
    </row>
    <row r="157" spans="2:16" ht="10.5" customHeight="1" x14ac:dyDescent="0.2">
      <c r="B157" s="15">
        <v>133</v>
      </c>
      <c r="C157" s="359">
        <f>IF(AND([0]!Godina=2025,MID(Osnovni_podaci!D20,3,1)="S",Osnovni_podaci!L24=4,Osnovni_podaci!G24=0,MID(Osnovni_podaci!D20,3,1)="S",MID(Osnovni_podaci!D20,8,1)="k"),VLOOKUP( $B157, T_Aop[], 5, 1),A1)</f>
        <v>481</v>
      </c>
      <c r="D157" s="611" t="str">
        <f>IF(AND([0]!Godina=2025,MID(Osnovni_podaci!D20,3,1)="S",Osnovni_podaci!L24=4,Osnovni_podaci!G24=0,MID(Osnovni_podaci!D20,3,1)="S",MID(Osnovni_podaci!D20,8,1)="k"),VLOOKUP( $B157, T_Aop[], 6, 1),A1)</f>
        <v xml:space="preserve">    8. Obaveze za porez na dobit</v>
      </c>
      <c r="E157" s="612"/>
      <c r="F157" s="612"/>
      <c r="G157" s="612"/>
      <c r="H157" s="613"/>
      <c r="I157" s="122">
        <f>IF(AND([0]!Godina=2025,MID(Osnovni_podaci!D20,3,1)="S",Osnovni_podaci!L24=4,Osnovni_podaci!G24=0,MID(Osnovni_podaci!D20,3,1)="S",MID(Osnovni_podaci!D20,8,1)="k"),VLOOKUP( $B157, T_Aop[], 4, 1),A1)</f>
        <v>166</v>
      </c>
      <c r="J157" s="155"/>
      <c r="K157" s="602"/>
      <c r="L157" s="603"/>
      <c r="M157" s="195">
        <v>0</v>
      </c>
      <c r="N157" s="396">
        <v>295600</v>
      </c>
      <c r="P157" s="44"/>
    </row>
    <row r="158" spans="2:16" ht="12.75" customHeight="1" x14ac:dyDescent="0.2">
      <c r="B158" s="15">
        <v>134</v>
      </c>
      <c r="C158" s="358" t="str">
        <f>IF(AND([0]!Godina=2025,MID(Osnovni_podaci!D20,3,1)="S",Osnovni_podaci!L24=4,Osnovni_podaci!G24=0,MID(Osnovni_podaci!D20,3,1)="S",MID(Osnovni_podaci!D20,8,1)="k"),VLOOKUP( $B158, T_Aop[], 5, 1),A1)</f>
        <v>49, osim 496</v>
      </c>
      <c r="D158" s="608" t="str">
        <f>IF(AND([0]!Godina=2025,MID(Osnovni_podaci!D20,3,1)="S",Osnovni_podaci!L24=4,Osnovni_podaci!G24=0,MID(Osnovni_podaci!D20,3,1)="S",MID(Osnovni_podaci!D20,8,1)="k"),VLOOKUP( $B158, T_Aop[], 6, 1),A1)</f>
        <v xml:space="preserve">    9. Kratkoročna razgraničenja</v>
      </c>
      <c r="E158" s="609"/>
      <c r="F158" s="609"/>
      <c r="G158" s="609"/>
      <c r="H158" s="610"/>
      <c r="I158" s="121">
        <f>IF(AND([0]!Godina=2025,MID(Osnovni_podaci!D20,3,1)="S",Osnovni_podaci!L24=4,Osnovni_podaci!G24=0,MID(Osnovni_podaci!D20,3,1)="S",MID(Osnovni_podaci!D20,8,1)="k"),VLOOKUP( $B158, T_Aop[], 4, 1),A1)</f>
        <v>167</v>
      </c>
      <c r="J158" s="157"/>
      <c r="K158" s="604"/>
      <c r="L158" s="605"/>
      <c r="M158" s="197">
        <v>2052422</v>
      </c>
      <c r="N158" s="198">
        <v>2408919</v>
      </c>
      <c r="P158" s="44"/>
    </row>
    <row r="159" spans="2:16" ht="12.75" customHeight="1" x14ac:dyDescent="0.2">
      <c r="B159" s="15">
        <v>135</v>
      </c>
      <c r="C159" s="359">
        <f>VLOOKUP( $B159, T_Aop[], 5, 1)</f>
        <v>496</v>
      </c>
      <c r="D159" s="611" t="str">
        <f>IF(AND([0]!Godina=2025,MID(Osnovni_podaci!D20,3,1)="S",Osnovni_podaci!L24=4,Osnovni_podaci!G24=0,MID(Osnovni_podaci!D20,3,1)="S",MID(Osnovni_podaci!D20,8,1)="k"),VLOOKUP( $B159, T_Aop[], 6, 1),A1)</f>
        <v xml:space="preserve">    10. Kratkoročna rezervisanja</v>
      </c>
      <c r="E159" s="612"/>
      <c r="F159" s="612"/>
      <c r="G159" s="612"/>
      <c r="H159" s="613"/>
      <c r="I159" s="122">
        <f>IF(AND([0]!Godina=2025,MID(Osnovni_podaci!D20,3,1)="S",Osnovni_podaci!L24=4,Osnovni_podaci!G24=0,MID(Osnovni_podaci!D20,3,1)="S",MID(Osnovni_podaci!D20,8,1)="k"),VLOOKUP( $B159, T_Aop[], 4, 1),A1)</f>
        <v>168</v>
      </c>
      <c r="J159" s="155"/>
      <c r="K159" s="602"/>
      <c r="L159" s="603"/>
      <c r="M159" s="195">
        <v>0</v>
      </c>
      <c r="N159" s="196">
        <v>0</v>
      </c>
    </row>
    <row r="160" spans="2:16" ht="6.2" customHeight="1" x14ac:dyDescent="0.2">
      <c r="B160" s="15">
        <v>136</v>
      </c>
      <c r="C160" s="358"/>
      <c r="D160" s="608" t="str">
        <f>IF(AND([0]!Godina=2025,MID(Osnovni_podaci!D20,3,1)="S",Osnovni_podaci!L24=4,Osnovni_podaci!G24=0,MID(Osnovni_podaci!D20,3,1)="S",MID(Osnovni_podaci!D20,8,1)="k"),VLOOKUP( $B160, T_Aop[], 6, 1),A1)</f>
        <v/>
      </c>
      <c r="E160" s="609"/>
      <c r="F160" s="609"/>
      <c r="G160" s="609"/>
      <c r="H160" s="610"/>
      <c r="I160" s="170">
        <f>IF(AND([0]!Godina=2025,MID(Osnovni_podaci!D20,3,1)="S",Osnovni_podaci!L24=4,Osnovni_podaci!G24=0,MID(Osnovni_podaci!D20,3,1)="S",MID(Osnovni_podaci!D20,8,1)="k"),VLOOKUP( $B160, T_Aop[], 4, 1),A1)</f>
        <v>0</v>
      </c>
      <c r="J160" s="157"/>
      <c r="K160" s="604"/>
      <c r="L160" s="605"/>
      <c r="M160" s="197"/>
      <c r="N160" s="198"/>
    </row>
    <row r="161" spans="2:20" ht="12.75" customHeight="1" x14ac:dyDescent="0.2">
      <c r="B161" s="15">
        <v>137</v>
      </c>
      <c r="C161" s="359"/>
      <c r="D161" s="619" t="str">
        <f>IF(AND([0]!Godina=2025,MID(Osnovni_podaci!D20,3,1)="S",Osnovni_podaci!L24=4,Osnovni_podaci!G24=0,MID(Osnovni_podaci!D20,3,1)="S",MID(Osnovni_podaci!D20,8,1)="k"),VLOOKUP( $B161, T_Aop[], 6, 1),A1)</f>
        <v xml:space="preserve">  D. BILANSNA PASIVA (101 + 132 + 146 + 147)</v>
      </c>
      <c r="E161" s="620"/>
      <c r="F161" s="620"/>
      <c r="G161" s="620"/>
      <c r="H161" s="621"/>
      <c r="I161" s="171">
        <f>IF(AND([0]!Godina=2025,MID(Osnovni_podaci!D20,3,1)="S",Osnovni_podaci!L24=4,Osnovni_podaci!G24=0,MID(Osnovni_podaci!D20,3,1)="S",MID(Osnovni_podaci!D20,8,1)="k"),VLOOKUP( $B161, T_Aop[], 4, 1),A1)</f>
        <v>169</v>
      </c>
      <c r="J161" s="155"/>
      <c r="K161" s="602"/>
      <c r="L161" s="603"/>
      <c r="M161" s="388">
        <f>SUBTOTAL( 9, M93:M100, M106:M109,M104, M110:M112,M113,M115:M118,M122:M159) - SUBTOTAL( 9, M114, M101:M103, M105,  M119:M121)</f>
        <v>515413818</v>
      </c>
      <c r="N161" s="399">
        <f>SUBTOTAL( 9, N93:N100, N106:N109,N104, N110:N112,N113,N115:N118,N122:N159) - SUBTOTAL( 9, N114, N101:N103, N105,  N119:N121)</f>
        <v>519459614</v>
      </c>
    </row>
    <row r="162" spans="2:20" ht="9.75" customHeight="1" x14ac:dyDescent="0.2">
      <c r="B162" s="15">
        <v>138</v>
      </c>
      <c r="C162" s="364" t="str">
        <f>VLOOKUP( $B162, T_Aop[], 5, 1)</f>
        <v>890 do 898</v>
      </c>
      <c r="D162" s="662" t="str">
        <f>IF(AND([0]!Godina=2025,MID(Osnovni_podaci!D20,3,1)="S",Osnovni_podaci!L24=4,Osnovni_podaci!G24=0,MID(Osnovni_podaci!D20,3,1)="S",MID(Osnovni_podaci!D20,8,1)="k"),VLOOKUP( $B162, T_Aop[], 6, 1),A1)</f>
        <v xml:space="preserve">  Đ. VANBILANSNA PASIVA</v>
      </c>
      <c r="E162" s="663"/>
      <c r="F162" s="663"/>
      <c r="G162" s="663"/>
      <c r="H162" s="664"/>
      <c r="I162" s="173">
        <f>IF(AND([0]!Godina=2025,MID(Osnovni_podaci!D20,3,1)="S",Osnovni_podaci!L24=4,Osnovni_podaci!G24=0,MID(Osnovni_podaci!D20,3,1)="S",MID(Osnovni_podaci!D20,8,1)="k"),VLOOKUP( $B162, T_Aop[], 4, 1),A1)</f>
        <v>170</v>
      </c>
      <c r="J162" s="511"/>
      <c r="K162" s="606"/>
      <c r="L162" s="607"/>
      <c r="M162" s="439">
        <v>116246129</v>
      </c>
      <c r="N162" s="438">
        <v>116246129</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Banja 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8" t="str">
        <f>Podatak_Lice_sa_licencom</f>
        <v>Nikola Pilipović</v>
      </c>
      <c r="G167" s="678"/>
      <c r="H167" s="8" t="str">
        <f>Podatak_Broj_Licence</f>
        <v>SR-1401/25</v>
      </c>
      <c r="I167" s="78"/>
      <c r="L167" s="510" t="str">
        <f>Podatak_Direktor</f>
        <v>V.D. Direktor, Saša Popović, dipl.inž.el.</v>
      </c>
      <c r="M167" s="510"/>
      <c r="N167" s="510"/>
      <c r="O167" s="14"/>
      <c r="P167" s="14"/>
      <c r="R167" s="14"/>
      <c r="S167" s="14"/>
      <c r="T167" s="29"/>
    </row>
    <row r="168" spans="2:20" ht="24.2" customHeight="1" x14ac:dyDescent="0.2">
      <c r="C168" s="180" t="str">
        <f>Podnozje_Dana</f>
        <v>Dana:</v>
      </c>
      <c r="D168" s="418" t="str">
        <f>Podatak_Dana</f>
        <v>30.10.2025.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77"/>
      <c r="K170" s="677"/>
      <c r="L170" s="677"/>
    </row>
    <row r="171" spans="2:20" hidden="1" x14ac:dyDescent="0.2">
      <c r="D171" s="127"/>
      <c r="E171"/>
      <c r="F171" s="678"/>
      <c r="G171" s="678"/>
      <c r="H171" s="8"/>
      <c r="I171" s="78"/>
      <c r="J171" s="679" t="s">
        <v>472</v>
      </c>
      <c r="K171" s="679"/>
      <c r="L171" s="679"/>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Gz/sQ/zk/UdzR3Fy0hOGqXchFO1M9C0t9XTKUssWBfErdU47OqulYfQqiby3sII0z2ST/11U21yFIbECSsxarg==" saltValue="Elx6rg/DGcIh+3PYlYoLng=="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8"/>
  <sheetViews>
    <sheetView showGridLines="0" showRowColHeaders="0" showWhiteSpace="0" zoomScaleNormal="100" zoomScaleSheetLayoutView="100" workbookViewId="0">
      <pane xSplit="2" ySplit="4" topLeftCell="C5" activePane="bottomRight" state="frozen"/>
      <selection activeCell="K31" sqref="K31"/>
      <selection pane="topRight" activeCell="K31" sqref="K31"/>
      <selection pane="bottomLeft" activeCell="K31" sqref="K31"/>
      <selection pane="bottomRight" activeCell="K138" sqref="K138"/>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37" t="s">
        <v>2772</v>
      </c>
      <c r="D5" s="637"/>
      <c r="E5" s="637"/>
      <c r="L5" s="574" t="str">
        <f>Podatak_MB</f>
        <v>1074440</v>
      </c>
    </row>
    <row r="6" spans="3:12" x14ac:dyDescent="0.2">
      <c r="C6" s="637"/>
      <c r="D6" s="637"/>
      <c r="E6" s="637"/>
      <c r="F6" s="9"/>
      <c r="L6" s="421" t="s">
        <v>2747</v>
      </c>
    </row>
    <row r="7" spans="3:12" ht="14.65" customHeight="1" x14ac:dyDescent="0.2">
      <c r="C7" s="657" t="str">
        <f>Podatak_Naziv_preduzeca</f>
        <v>ODS Elektrokrajina a.d. Banja Luka</v>
      </c>
      <c r="D7" s="657"/>
      <c r="E7" s="657"/>
      <c r="F7" s="17"/>
      <c r="K7" s="9"/>
      <c r="L7" s="574" t="str">
        <f>Podatak_Sifra_djelatnosti</f>
        <v>35.13</v>
      </c>
    </row>
    <row r="8" spans="3:12" ht="12.75" customHeight="1" x14ac:dyDescent="0.2">
      <c r="C8" s="125" t="str">
        <f>Zaglavlje_Sjediste</f>
        <v>Sjedište:</v>
      </c>
      <c r="D8" s="614" t="str">
        <f>Podatak_Sjediste</f>
        <v>Kralja Petra I Karađorđevića 95 Banja Luka</v>
      </c>
      <c r="E8" s="614"/>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574" t="str">
        <f>Podatak_JIB</f>
        <v>4400855640000</v>
      </c>
    </row>
    <row r="10" spans="3:12" ht="12.75" customHeight="1" x14ac:dyDescent="0.2">
      <c r="C10" s="660" t="str">
        <f>Podatak_Ziro_racun_1</f>
        <v>555-007-00046178-45</v>
      </c>
      <c r="D10" s="660"/>
      <c r="E10" s="660"/>
      <c r="F10" s="14"/>
      <c r="G10" s="13"/>
      <c r="H10" s="13"/>
      <c r="I10" s="13"/>
      <c r="J10" s="13"/>
      <c r="K10" s="682" t="str">
        <f>Zaglavlje_JIB</f>
        <v>JIB</v>
      </c>
      <c r="L10" s="682"/>
    </row>
    <row r="11" spans="3:12" ht="12.75" customHeight="1" x14ac:dyDescent="0.2">
      <c r="C11" s="660" t="str">
        <f>Podatak_Ziro_racun_2</f>
        <v>571-010-00000582-64</v>
      </c>
      <c r="D11" s="660"/>
      <c r="E11" s="660"/>
      <c r="F11" s="14"/>
      <c r="J11" s="245"/>
      <c r="K11" s="245"/>
    </row>
    <row r="12" spans="3:12" ht="12.75" customHeight="1" x14ac:dyDescent="0.2">
      <c r="C12" s="722" t="str">
        <f>Podatak_Ziro_racun_3</f>
        <v>562-099-00001349-36</v>
      </c>
      <c r="D12" s="722"/>
      <c r="E12" s="722"/>
      <c r="F12" s="14"/>
      <c r="J12" s="245"/>
      <c r="K12" s="245"/>
    </row>
    <row r="13" spans="3:12" ht="12.75" customHeight="1" x14ac:dyDescent="0.2">
      <c r="C13" s="722" t="str">
        <f>Podatak_Ziro_racun_4</f>
        <v>552-000-20644796-78</v>
      </c>
      <c r="D13" s="722"/>
      <c r="E13" s="722"/>
      <c r="F13" s="18"/>
      <c r="G13" s="18"/>
      <c r="H13" s="18"/>
      <c r="I13" s="18"/>
      <c r="J13"/>
      <c r="K13"/>
    </row>
    <row r="14" spans="3:12" ht="12.75" customHeight="1" x14ac:dyDescent="0.2">
      <c r="C14" s="615" t="str">
        <f>IF( Id_Konsolidovani, Nazivi_bilansa_Konsolidovani_naziv &amp; LOWER( Nazivi_bilansa_BUa), Nazivi_bilansa_BUa)</f>
        <v>Bilans uspjeha</v>
      </c>
      <c r="D14" s="615"/>
      <c r="E14" s="615"/>
      <c r="F14" s="615"/>
      <c r="G14" s="615"/>
      <c r="H14" s="615"/>
      <c r="I14" s="615"/>
      <c r="J14" s="615"/>
      <c r="K14" s="615"/>
      <c r="L14" s="615"/>
    </row>
    <row r="15" spans="3:12" ht="12.75" customHeight="1" x14ac:dyDescent="0.2">
      <c r="C15" s="653" t="str">
        <f>Nazivi_bilansa_BUa1</f>
        <v>(Izvještaj o ukupnom rezultatu u periodu)</v>
      </c>
      <c r="D15" s="653"/>
      <c r="E15" s="653"/>
      <c r="F15" s="653"/>
      <c r="G15" s="653"/>
      <c r="H15" s="653"/>
      <c r="I15" s="653"/>
      <c r="J15" s="653"/>
      <c r="K15" s="653"/>
      <c r="L15" s="653"/>
    </row>
    <row r="16" spans="3:12" ht="12.75" customHeight="1" x14ac:dyDescent="0.2">
      <c r="C16" s="653" t="str">
        <f>Datumi_Datum_BU</f>
        <v>za period od 01.01. do 30.09.2025. godine</v>
      </c>
      <c r="D16" s="653"/>
      <c r="E16" s="653"/>
      <c r="F16" s="653"/>
      <c r="G16" s="653"/>
      <c r="H16" s="653"/>
      <c r="I16" s="653"/>
      <c r="J16" s="653"/>
      <c r="K16" s="653"/>
      <c r="L16" s="653"/>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9" t="str">
        <f>Tabele_zaglavlje_Grupa_racuna</f>
        <v>Grupa računa, račun</v>
      </c>
      <c r="D18" s="691" t="str">
        <f>Tabele_zaglavlje_Pozicija</f>
        <v>POZICIJA</v>
      </c>
      <c r="E18" s="692"/>
      <c r="F18" s="692"/>
      <c r="G18" s="692"/>
      <c r="H18" s="693"/>
      <c r="I18" s="718" t="str">
        <f>Tabele_zaglavlje_Oznaka_aop</f>
        <v>Oznaka za AOP</v>
      </c>
      <c r="J18" s="718" t="str">
        <f>Tabele_zaglavlje_Napomena_aop</f>
        <v>Napomena</v>
      </c>
      <c r="K18" s="720" t="str">
        <f>Tabele_zaglavlje_Iznos</f>
        <v>Iznos</v>
      </c>
      <c r="L18" s="721"/>
    </row>
    <row r="19" spans="2:16" ht="20.25" customHeight="1" x14ac:dyDescent="0.2">
      <c r="C19" s="690"/>
      <c r="D19" s="694"/>
      <c r="E19" s="695"/>
      <c r="F19" s="695"/>
      <c r="G19" s="695"/>
      <c r="H19" s="696"/>
      <c r="I19" s="719"/>
      <c r="J19" s="719"/>
      <c r="K19" s="42" t="str">
        <f>Tabele_zaglavlje_Tekuca_godina</f>
        <v>Tekuća godina</v>
      </c>
      <c r="L19" s="43" t="str">
        <f>Tabele_zaglavlje_Prethodna_godina</f>
        <v>Prethodna godina</v>
      </c>
      <c r="P19" s="134" t="s">
        <v>490</v>
      </c>
    </row>
    <row r="20" spans="2:16" ht="12.75" customHeight="1" x14ac:dyDescent="0.2">
      <c r="B20" s="44" t="s">
        <v>123</v>
      </c>
      <c r="C20" s="447">
        <v>1</v>
      </c>
      <c r="D20" s="697">
        <v>2</v>
      </c>
      <c r="E20" s="698"/>
      <c r="F20" s="698"/>
      <c r="G20" s="698"/>
      <c r="H20" s="699"/>
      <c r="I20" s="408">
        <v>3</v>
      </c>
      <c r="J20" s="408">
        <v>4</v>
      </c>
      <c r="K20" s="408">
        <v>5</v>
      </c>
      <c r="L20" s="409">
        <v>6</v>
      </c>
    </row>
    <row r="21" spans="2:16" ht="25.5" customHeight="1" x14ac:dyDescent="0.2">
      <c r="B21" s="15">
        <v>139</v>
      </c>
      <c r="C21" s="453">
        <f>VLOOKUP( $B21, T_Aop[], 5, 1)</f>
        <v>0</v>
      </c>
      <c r="D21" s="700" t="str">
        <f>VLOOKUP( $B21, T_Aop[], 6, 1)</f>
        <v xml:space="preserve">  A. POSLOVNI PRIHODI I RASHODI
I POSLOVNI PRIHODI 
(202 + 206 + 210 + 214 – 215 + 216 – 217 + 218)</v>
      </c>
      <c r="E21" s="701"/>
      <c r="F21" s="701"/>
      <c r="G21" s="701"/>
      <c r="H21" s="702"/>
      <c r="I21" s="503">
        <f>VLOOKUP( $B21, T_Aop[], 4, 1)</f>
        <v>201</v>
      </c>
      <c r="J21" s="498"/>
      <c r="K21" s="406">
        <f>IF(AND([0]!Godina=2025,MID(Osnovni_podaci!D20,3,1)="S",Osnovni_podaci!L24=4,Osnovni_podaci!G24=0,MID(Osnovni_podaci!D20,3,1)="S",MID(Osnovni_podaci!D20,8,1)="k"),SUBTOTAL(9,K22:K33,K34,K36,K38)-SUBTOTAL(9,K35,K37),A1)</f>
        <v>114176968</v>
      </c>
      <c r="L21" s="407">
        <f>IF(AND([0]!Godina=2025,MID(Osnovni_podaci!D20,3,1)="S",Osnovni_podaci!L24=4,Osnovni_podaci!G24=0,MID(Osnovni_podaci!D20,3,1)="S",MID(Osnovni_podaci!D20,8,1)="k"),SUBTOTAL(9,L22:L33,L34,L36,L38)-SUBTOTAL(9,L35,L37),A1)</f>
        <v>111246987</v>
      </c>
      <c r="N21" s="44"/>
      <c r="P21" s="183"/>
    </row>
    <row r="22" spans="2:16" ht="13.9" customHeight="1" x14ac:dyDescent="0.2">
      <c r="B22" s="15">
        <v>140</v>
      </c>
      <c r="C22" s="58">
        <f>VLOOKUP( $B22, T_Aop[], 5, 1)</f>
        <v>60</v>
      </c>
      <c r="D22" s="683" t="str">
        <f>VLOOKUP( $B22, T_Aop[], 6, 1)</f>
        <v xml:space="preserve">    1. Prihodi od prodaje robe (203 do 205)</v>
      </c>
      <c r="E22" s="684"/>
      <c r="F22" s="684"/>
      <c r="G22" s="684"/>
      <c r="H22" s="685"/>
      <c r="I22" s="59">
        <f>VLOOKUP( $B22, T_Aop[], 4, 1)</f>
        <v>202</v>
      </c>
      <c r="J22" s="456"/>
      <c r="K22" s="458">
        <f>IF(AND([0]!Godina=2025,MID(Osnovni_podaci!D20,3,1)="S",Osnovni_podaci!L24=4,Osnovni_podaci!G24=0,MID(Osnovni_podaci!D20,3,1)="S",MID(Osnovni_podaci!D20,8,1)="k"),SUBTOTAL( 9, K23:K25),A1)</f>
        <v>485532</v>
      </c>
      <c r="L22" s="459">
        <f>IF(AND([0]!Godina=2025,MID(Osnovni_podaci!D20,3,1)="S",Osnovni_podaci!L24=4,Osnovni_podaci!G24=0,MID(Osnovni_podaci!D20,3,1)="S",MID(Osnovni_podaci!D20,8,1)="k"),SUBTOTAL( 9, L23:L25),A1)</f>
        <v>767886</v>
      </c>
      <c r="N22" s="44"/>
      <c r="P22" s="183"/>
    </row>
    <row r="23" spans="2:16" ht="13.9" customHeight="1" x14ac:dyDescent="0.2">
      <c r="B23" s="15">
        <v>141</v>
      </c>
      <c r="C23" s="62" t="str">
        <f>VLOOKUP( $B23, T_Aop[], 5, 1)</f>
        <v>600, dio 605</v>
      </c>
      <c r="D23" s="686" t="str">
        <f>VLOOKUP( $B23, T_Aop[], 6, 1)</f>
        <v xml:space="preserve">      a) Prihodi od prodaje robe povezanim pravnim licima</v>
      </c>
      <c r="E23" s="687"/>
      <c r="F23" s="687"/>
      <c r="G23" s="687"/>
      <c r="H23" s="688"/>
      <c r="I23" s="63">
        <f>VLOOKUP( $B23, T_Aop[], 4, 1)</f>
        <v>203</v>
      </c>
      <c r="J23" s="454"/>
      <c r="K23" s="454">
        <v>0</v>
      </c>
      <c r="L23" s="455">
        <v>0</v>
      </c>
      <c r="N23" s="44"/>
      <c r="P23" s="183"/>
    </row>
    <row r="24" spans="2:16" ht="22.9" customHeight="1" x14ac:dyDescent="0.2">
      <c r="B24" s="15">
        <v>142</v>
      </c>
      <c r="C24" s="58" t="str">
        <f>VLOOKUP( $B24, T_Aop[], 5, 1)</f>
        <v>601, 602, 603,dio 605</v>
      </c>
      <c r="D24" s="683" t="str">
        <f>VLOOKUP( $B24, T_Aop[], 6, 1)</f>
        <v xml:space="preserve">      b) Prihodi od prodaje robe na domaćem tržištu</v>
      </c>
      <c r="E24" s="684"/>
      <c r="F24" s="684"/>
      <c r="G24" s="684"/>
      <c r="H24" s="685"/>
      <c r="I24" s="59">
        <f>VLOOKUP( $B24, T_Aop[], 4, 1)</f>
        <v>204</v>
      </c>
      <c r="J24" s="456"/>
      <c r="K24" s="456">
        <v>485532</v>
      </c>
      <c r="L24" s="457">
        <v>767886</v>
      </c>
      <c r="N24" s="44"/>
      <c r="P24" s="183"/>
    </row>
    <row r="25" spans="2:16" ht="13.9" customHeight="1" x14ac:dyDescent="0.2">
      <c r="B25" s="15">
        <v>143</v>
      </c>
      <c r="C25" s="62" t="str">
        <f>VLOOKUP( $B25, T_Aop[], 5, 1)</f>
        <v>604, dio 605</v>
      </c>
      <c r="D25" s="686" t="str">
        <f>VLOOKUP( $B25, T_Aop[], 6, 1)</f>
        <v xml:space="preserve">      c) Prihodi od prodaje robe na inostranom tržištu</v>
      </c>
      <c r="E25" s="687"/>
      <c r="F25" s="687"/>
      <c r="G25" s="687"/>
      <c r="H25" s="688"/>
      <c r="I25" s="63">
        <f>VLOOKUP( $B25, T_Aop[], 4, 1)</f>
        <v>205</v>
      </c>
      <c r="J25" s="454"/>
      <c r="K25" s="454">
        <v>0</v>
      </c>
      <c r="L25" s="455">
        <v>0</v>
      </c>
      <c r="N25" s="44"/>
      <c r="P25" s="183"/>
    </row>
    <row r="26" spans="2:16" ht="13.9" customHeight="1" x14ac:dyDescent="0.2">
      <c r="B26" s="15">
        <v>144</v>
      </c>
      <c r="C26" s="58" t="str">
        <f>VLOOKUP( $B26, T_Aop[], 5, 1)</f>
        <v>61</v>
      </c>
      <c r="D26" s="683" t="str">
        <f>VLOOKUP( $B26, T_Aop[], 6, 1)</f>
        <v xml:space="preserve">    2. Prihodi od prodaje proizvoda (207 do 209)</v>
      </c>
      <c r="E26" s="684"/>
      <c r="F26" s="684"/>
      <c r="G26" s="684"/>
      <c r="H26" s="685"/>
      <c r="I26" s="59">
        <f>VLOOKUP( $B26, T_Aop[], 4, 1)</f>
        <v>206</v>
      </c>
      <c r="J26" s="456"/>
      <c r="K26" s="458">
        <f>IF(AND([0]!Godina=2025,MID(Osnovni_podaci!D20,3,1)="S",Osnovni_podaci!L24=4,Osnovni_podaci!G24=0,MID(Osnovni_podaci!D20,3,1)="S",MID(Osnovni_podaci!D20,8,1)="k"),SUBTOTAL( 9, K27:K29),A1)</f>
        <v>0</v>
      </c>
      <c r="L26" s="459">
        <f>IF(AND([0]!Godina=2025,MID(Osnovni_podaci!D20,3,1)="S",Osnovni_podaci!L24=4,Osnovni_podaci!G24=0,MID(Osnovni_podaci!D20,3,1)="S",MID(Osnovni_podaci!D20,8,1)="k"),SUBTOTAL( 9, L27:L29),A1)</f>
        <v>0</v>
      </c>
      <c r="N26" s="44"/>
      <c r="P26" s="183"/>
    </row>
    <row r="27" spans="2:16" ht="13.9" customHeight="1" x14ac:dyDescent="0.2">
      <c r="B27" s="15">
        <v>145</v>
      </c>
      <c r="C27" s="62" t="str">
        <f>VLOOKUP( $B27, T_Aop[], 5, 1)</f>
        <v>610, dio 615</v>
      </c>
      <c r="D27" s="686" t="str">
        <f>VLOOKUP( $B27, T_Aop[], 6, 1)</f>
        <v xml:space="preserve">      a) Prihodi od prodaje proizvoda povezanim pravnim licima</v>
      </c>
      <c r="E27" s="687"/>
      <c r="F27" s="687"/>
      <c r="G27" s="687"/>
      <c r="H27" s="688"/>
      <c r="I27" s="63">
        <f>VLOOKUP( $B27, T_Aop[], 4, 1)</f>
        <v>207</v>
      </c>
      <c r="J27" s="454"/>
      <c r="K27" s="454">
        <v>0</v>
      </c>
      <c r="L27" s="455">
        <v>0</v>
      </c>
      <c r="N27" s="44"/>
      <c r="P27" s="183"/>
    </row>
    <row r="28" spans="2:16" ht="22.9" customHeight="1" x14ac:dyDescent="0.2">
      <c r="B28" s="15">
        <v>146</v>
      </c>
      <c r="C28" s="58" t="str">
        <f>VLOOKUP( $B28, T_Aop[], 5, 1)</f>
        <v>611, 612, 613, dio 615</v>
      </c>
      <c r="D28" s="683" t="str">
        <f>VLOOKUP( $B28, T_Aop[], 6, 1)</f>
        <v xml:space="preserve">      b) Prihodi od prodaje proizvoda na domaćem tržištu</v>
      </c>
      <c r="E28" s="684"/>
      <c r="F28" s="684"/>
      <c r="G28" s="684"/>
      <c r="H28" s="685"/>
      <c r="I28" s="59">
        <f>VLOOKUP( $B28, T_Aop[], 4, 1)</f>
        <v>208</v>
      </c>
      <c r="J28" s="456"/>
      <c r="K28" s="456">
        <v>0</v>
      </c>
      <c r="L28" s="457">
        <v>0</v>
      </c>
      <c r="N28" s="44"/>
      <c r="P28" s="183"/>
    </row>
    <row r="29" spans="2:16" ht="13.9" customHeight="1" x14ac:dyDescent="0.2">
      <c r="B29" s="15">
        <v>147</v>
      </c>
      <c r="C29" s="62" t="str">
        <f>VLOOKUP( $B29, T_Aop[], 5, 1)</f>
        <v>614, dio 615</v>
      </c>
      <c r="D29" s="686" t="str">
        <f>VLOOKUP( $B29, T_Aop[], 6, 1)</f>
        <v xml:space="preserve">      c) Prihodi od prodaje proizvoda na inostranom tržištu</v>
      </c>
      <c r="E29" s="687"/>
      <c r="F29" s="687"/>
      <c r="G29" s="687"/>
      <c r="H29" s="688"/>
      <c r="I29" s="63">
        <f>VLOOKUP( $B29, T_Aop[], 4, 1)</f>
        <v>209</v>
      </c>
      <c r="J29" s="454"/>
      <c r="K29" s="454">
        <v>0</v>
      </c>
      <c r="L29" s="455">
        <v>0</v>
      </c>
      <c r="N29" s="44"/>
      <c r="P29" s="183"/>
    </row>
    <row r="30" spans="2:16" ht="13.9" customHeight="1" x14ac:dyDescent="0.2">
      <c r="B30" s="15">
        <v>148</v>
      </c>
      <c r="C30" s="58" t="str">
        <f>VLOOKUP( $B30, T_Aop[], 5, 1)</f>
        <v>62</v>
      </c>
      <c r="D30" s="683" t="str">
        <f>VLOOKUP( $B30, T_Aop[], 6, 1)</f>
        <v xml:space="preserve">     3. Prihodi od pruženih usluga (211 do 213)</v>
      </c>
      <c r="E30" s="684"/>
      <c r="F30" s="684"/>
      <c r="G30" s="684"/>
      <c r="H30" s="685"/>
      <c r="I30" s="59">
        <f>VLOOKUP( $B30, T_Aop[], 4, 1)</f>
        <v>210</v>
      </c>
      <c r="J30" s="456"/>
      <c r="K30" s="153">
        <f>IF(AND([0]!Godina=2025,MID(Osnovni_podaci!D20,3,1)="S",Osnovni_podaci!L24=4,Osnovni_podaci!G24=0,MID(Osnovni_podaci!D20,3,1)="S",MID(Osnovni_podaci!D20,8,1)="k"),SUBTOTAL( 9, K31:K33),A1)</f>
        <v>109034655</v>
      </c>
      <c r="L30" s="481">
        <f>IF(AND([0]!Godina=2025,MID(Osnovni_podaci!D20,3,1)="S",Osnovni_podaci!L24=4,Osnovni_podaci!G24=0,MID(Osnovni_podaci!D20,3,1)="S",MID(Osnovni_podaci!D20,8,1)="k"),SUBTOTAL( 9, L31:L33),A1)</f>
        <v>105888279</v>
      </c>
      <c r="N30" s="44"/>
      <c r="P30" s="183"/>
    </row>
    <row r="31" spans="2:16" ht="13.9" customHeight="1" x14ac:dyDescent="0.2">
      <c r="B31" s="15">
        <v>149</v>
      </c>
      <c r="C31" s="62" t="str">
        <f>VLOOKUP( $B31, T_Aop[], 5, 1)</f>
        <v>620, dio 625</v>
      </c>
      <c r="D31" s="686" t="str">
        <f>VLOOKUP( $B31, T_Aop[], 6, 1)</f>
        <v xml:space="preserve">      a) Prihodi od pruženih usluga povezanim licima</v>
      </c>
      <c r="E31" s="687"/>
      <c r="F31" s="687"/>
      <c r="G31" s="687"/>
      <c r="H31" s="688"/>
      <c r="I31" s="63">
        <f>VLOOKUP( $B31, T_Aop[], 4, 1)</f>
        <v>211</v>
      </c>
      <c r="J31" s="454"/>
      <c r="K31" s="454">
        <v>104865607</v>
      </c>
      <c r="L31" s="455">
        <v>101781841</v>
      </c>
      <c r="N31" s="44"/>
      <c r="P31" s="183"/>
    </row>
    <row r="32" spans="2:16" ht="22.9" customHeight="1" x14ac:dyDescent="0.2">
      <c r="B32" s="15">
        <v>150</v>
      </c>
      <c r="C32" s="58" t="str">
        <f>VLOOKUP( $B32, T_Aop[], 5, 1)</f>
        <v>621, 622, 623, dio 625</v>
      </c>
      <c r="D32" s="683" t="str">
        <f>VLOOKUP( $B32, T_Aop[], 6, 1)</f>
        <v xml:space="preserve">      b) Prihodi od pruženih usluga na domaćem tržištu</v>
      </c>
      <c r="E32" s="684"/>
      <c r="F32" s="684"/>
      <c r="G32" s="684"/>
      <c r="H32" s="685"/>
      <c r="I32" s="59">
        <f>VLOOKUP( $B32, T_Aop[], 4, 1)</f>
        <v>212</v>
      </c>
      <c r="J32" s="456"/>
      <c r="K32" s="456">
        <v>4169048</v>
      </c>
      <c r="L32" s="457">
        <v>4106438</v>
      </c>
      <c r="N32" s="44"/>
      <c r="P32" s="183"/>
    </row>
    <row r="33" spans="2:16" ht="13.9" customHeight="1" x14ac:dyDescent="0.2">
      <c r="B33" s="15">
        <v>151</v>
      </c>
      <c r="C33" s="62" t="str">
        <f>VLOOKUP( $B33, T_Aop[], 5, 1)</f>
        <v>624, dio 625</v>
      </c>
      <c r="D33" s="686" t="str">
        <f>VLOOKUP( $B33, T_Aop[], 6, 1)</f>
        <v xml:space="preserve">      c) Prihodi od pruženih usluga na inostranom tržištu</v>
      </c>
      <c r="E33" s="687"/>
      <c r="F33" s="687"/>
      <c r="G33" s="687"/>
      <c r="H33" s="688"/>
      <c r="I33" s="63">
        <f>VLOOKUP( $B33, T_Aop[], 4, 1)</f>
        <v>213</v>
      </c>
      <c r="J33" s="454"/>
      <c r="K33" s="454">
        <v>0</v>
      </c>
      <c r="L33" s="455">
        <v>0</v>
      </c>
      <c r="N33" s="44"/>
      <c r="P33" s="183"/>
    </row>
    <row r="34" spans="2:16" ht="13.9" customHeight="1" x14ac:dyDescent="0.2">
      <c r="B34" s="15">
        <v>152</v>
      </c>
      <c r="C34" s="58" t="str">
        <f>VLOOKUP( $B34, T_Aop[], 5, 1)</f>
        <v>630</v>
      </c>
      <c r="D34" s="683" t="str">
        <f>VLOOKUP( $B34, T_Aop[], 6, 1)</f>
        <v xml:space="preserve">    4. Povećanje vrijednosti zaliha učinaka</v>
      </c>
      <c r="E34" s="684"/>
      <c r="F34" s="684"/>
      <c r="G34" s="684"/>
      <c r="H34" s="685"/>
      <c r="I34" s="59">
        <f>VLOOKUP( $B34, T_Aop[], 4, 1)</f>
        <v>214</v>
      </c>
      <c r="J34" s="456"/>
      <c r="K34" s="456">
        <v>0</v>
      </c>
      <c r="L34" s="457">
        <v>0</v>
      </c>
      <c r="N34" s="44"/>
      <c r="P34" s="183"/>
    </row>
    <row r="35" spans="2:16" ht="13.9" customHeight="1" x14ac:dyDescent="0.2">
      <c r="B35" s="15">
        <v>153</v>
      </c>
      <c r="C35" s="62" t="str">
        <f>VLOOKUP( $B35, T_Aop[], 5, 1)</f>
        <v>631</v>
      </c>
      <c r="D35" s="686" t="str">
        <f>VLOOKUP( $B35, T_Aop[], 6, 1)</f>
        <v xml:space="preserve">    5. Smanjenje vrijednosti zaliha učinaka</v>
      </c>
      <c r="E35" s="687"/>
      <c r="F35" s="687"/>
      <c r="G35" s="687"/>
      <c r="H35" s="688"/>
      <c r="I35" s="63">
        <f>VLOOKUP( $B35, T_Aop[], 4, 1)</f>
        <v>215</v>
      </c>
      <c r="J35" s="454"/>
      <c r="K35" s="454">
        <v>0</v>
      </c>
      <c r="L35" s="455">
        <v>0</v>
      </c>
      <c r="N35" s="44"/>
      <c r="P35" s="183"/>
    </row>
    <row r="36" spans="2:16" ht="22.9" customHeight="1" x14ac:dyDescent="0.2">
      <c r="B36" s="15">
        <v>154</v>
      </c>
      <c r="C36" s="58" t="str">
        <f>VLOOKUP( $B36, T_Aop[], 5, 1)</f>
        <v>640 i 641</v>
      </c>
      <c r="D36" s="683" t="str">
        <f>VLOOKUP( $B36, T_Aop[], 6, 1)</f>
        <v xml:space="preserve">    6. Povećanje vrijednosti investicionih nekretnina i bioloških sredstava koja se ne amortizuju</v>
      </c>
      <c r="E36" s="684"/>
      <c r="F36" s="684"/>
      <c r="G36" s="684"/>
      <c r="H36" s="685"/>
      <c r="I36" s="59">
        <f>VLOOKUP( $B36, T_Aop[], 4, 1)</f>
        <v>216</v>
      </c>
      <c r="J36" s="456"/>
      <c r="K36" s="456">
        <v>0</v>
      </c>
      <c r="L36" s="457">
        <v>0</v>
      </c>
      <c r="N36" s="44"/>
      <c r="P36" s="183"/>
    </row>
    <row r="37" spans="2:16" ht="22.9" customHeight="1" x14ac:dyDescent="0.2">
      <c r="B37" s="15">
        <v>155</v>
      </c>
      <c r="C37" s="62" t="str">
        <f>VLOOKUP( $B37, T_Aop[], 5, 1)</f>
        <v>642 i 643</v>
      </c>
      <c r="D37" s="686" t="str">
        <f>VLOOKUP( $B37, T_Aop[], 6, 1)</f>
        <v xml:space="preserve">    7.  Smanjenje vrijednosti investicionih nekretnina i bioloških sredstava koja se ne amortizuju</v>
      </c>
      <c r="E37" s="687"/>
      <c r="F37" s="687"/>
      <c r="G37" s="687"/>
      <c r="H37" s="688"/>
      <c r="I37" s="63">
        <f>VLOOKUP( $B37, T_Aop[], 4, 1)</f>
        <v>217</v>
      </c>
      <c r="J37" s="454"/>
      <c r="K37" s="454">
        <v>0</v>
      </c>
      <c r="L37" s="455">
        <v>0</v>
      </c>
      <c r="N37" s="44"/>
      <c r="P37" s="183"/>
    </row>
    <row r="38" spans="2:16" ht="11.25" customHeight="1" x14ac:dyDescent="0.2">
      <c r="B38" s="15">
        <v>156</v>
      </c>
      <c r="C38" s="58" t="str">
        <f>VLOOKUP( $B38, T_Aop[], 5, 1)</f>
        <v>650 do 659</v>
      </c>
      <c r="D38" s="683" t="str">
        <f>VLOOKUP( $B38, T_Aop[], 6, 1)</f>
        <v xml:space="preserve">    8. Ostali poslovni prihodi</v>
      </c>
      <c r="E38" s="684"/>
      <c r="F38" s="684"/>
      <c r="G38" s="684"/>
      <c r="H38" s="685"/>
      <c r="I38" s="59">
        <f>VLOOKUP( $B38, T_Aop[], 4, 1)</f>
        <v>218</v>
      </c>
      <c r="J38" s="456"/>
      <c r="K38" s="456">
        <v>4656781</v>
      </c>
      <c r="L38" s="457">
        <v>4590822</v>
      </c>
      <c r="N38" s="44"/>
      <c r="P38" s="183"/>
    </row>
    <row r="39" spans="2:16" ht="12.75" customHeight="1" x14ac:dyDescent="0.2">
      <c r="B39" s="15">
        <v>157</v>
      </c>
      <c r="C39" s="62">
        <f>VLOOKUP( $B39, T_Aop[], 5, 1)</f>
        <v>0</v>
      </c>
      <c r="D39" s="703" t="str">
        <f>VLOOKUP( $B39, T_Aop[], 6, 1)</f>
        <v xml:space="preserve">  II  POSLOVNI RASHODI  (220 + 221 + 222 + 223 + 226 + 227 + 234 + 235 + 236)</v>
      </c>
      <c r="E39" s="704"/>
      <c r="F39" s="704"/>
      <c r="G39" s="704"/>
      <c r="H39" s="705"/>
      <c r="I39" s="179">
        <f>VLOOKUP( $B39, T_Aop[], 4, 1)</f>
        <v>219</v>
      </c>
      <c r="J39" s="454"/>
      <c r="K39" s="67">
        <f>IF(AND([0]!Godina=2025,MID(Osnovni_podaci!D20,3,1)="S",Osnovni_podaci!L24=4,Osnovni_podaci!G24=0,MID(Osnovni_podaci!D20,3,1)="S",MID(Osnovni_podaci!D20,8,1)="k"),SUBTOTAL( 9, K40:K56),A1)</f>
        <v>109039548</v>
      </c>
      <c r="L39" s="68">
        <f>IF(AND([0]!Godina=2025,MID(Osnovni_podaci!D20,3,1)="S",Osnovni_podaci!L24=4,Osnovni_podaci!G24=0,MID(Osnovni_podaci!D20,3,1)="S",MID(Osnovni_podaci!D20,8,1)="k"),SUBTOTAL( 9, L40:L56),A1)</f>
        <v>108366754</v>
      </c>
      <c r="N39" s="44"/>
      <c r="P39" s="183"/>
    </row>
    <row r="40" spans="2:16" ht="14.65" customHeight="1" x14ac:dyDescent="0.2">
      <c r="B40" s="15">
        <v>158</v>
      </c>
      <c r="C40" s="58" t="str">
        <f>VLOOKUP( $B40, T_Aop[], 5, 1)</f>
        <v>500 do 502</v>
      </c>
      <c r="D40" s="683" t="str">
        <f>VLOOKUP( $B40, T_Aop[], 6, 1)</f>
        <v xml:space="preserve">    1. Nabavna vrijednost prodate robe</v>
      </c>
      <c r="E40" s="684"/>
      <c r="F40" s="684"/>
      <c r="G40" s="684"/>
      <c r="H40" s="685"/>
      <c r="I40" s="59">
        <f>VLOOKUP( $B40, T_Aop[], 4, 1)</f>
        <v>220</v>
      </c>
      <c r="J40" s="456"/>
      <c r="K40" s="456">
        <v>34848298</v>
      </c>
      <c r="L40" s="457">
        <v>35331107</v>
      </c>
      <c r="N40" s="44"/>
      <c r="P40" s="183"/>
    </row>
    <row r="41" spans="2:16" ht="14.65" customHeight="1" x14ac:dyDescent="0.2">
      <c r="B41" s="15">
        <v>159</v>
      </c>
      <c r="C41" s="62" t="str">
        <f>VLOOKUP( $B41, T_Aop[], 5, 1)</f>
        <v>510 do 512</v>
      </c>
      <c r="D41" s="686" t="str">
        <f>VLOOKUP( $B41, T_Aop[], 6, 1)</f>
        <v xml:space="preserve">    2. Troškovi materijala</v>
      </c>
      <c r="E41" s="687"/>
      <c r="F41" s="687"/>
      <c r="G41" s="687"/>
      <c r="H41" s="688"/>
      <c r="I41" s="63">
        <f>VLOOKUP( $B41, T_Aop[], 4, 1)</f>
        <v>221</v>
      </c>
      <c r="J41" s="454"/>
      <c r="K41" s="454">
        <v>1250288</v>
      </c>
      <c r="L41" s="455">
        <v>1423586</v>
      </c>
      <c r="N41" s="44"/>
      <c r="P41" s="183"/>
    </row>
    <row r="42" spans="2:16" ht="14.65" customHeight="1" x14ac:dyDescent="0.2">
      <c r="B42" s="15">
        <v>160</v>
      </c>
      <c r="C42" s="58" t="str">
        <f>VLOOKUP( $B42, T_Aop[], 5, 1)</f>
        <v>513</v>
      </c>
      <c r="D42" s="683" t="str">
        <f>VLOOKUP( $B42, T_Aop[], 6, 1)</f>
        <v xml:space="preserve">    3. Troškovi goriva i energije</v>
      </c>
      <c r="E42" s="684"/>
      <c r="F42" s="684"/>
      <c r="G42" s="684"/>
      <c r="H42" s="685"/>
      <c r="I42" s="59">
        <f>VLOOKUP( $B42, T_Aop[], 4, 1)</f>
        <v>222</v>
      </c>
      <c r="J42" s="456"/>
      <c r="K42" s="456">
        <v>1328333</v>
      </c>
      <c r="L42" s="457">
        <v>1371995</v>
      </c>
      <c r="N42" s="44"/>
      <c r="P42" s="183"/>
    </row>
    <row r="43" spans="2:16" ht="22.9" customHeight="1" x14ac:dyDescent="0.2">
      <c r="B43" s="15">
        <v>161</v>
      </c>
      <c r="C43" s="62" t="str">
        <f>VLOOKUP( $B43, T_Aop[], 5, 1)</f>
        <v>52</v>
      </c>
      <c r="D43" s="686" t="str">
        <f>VLOOKUP( $B43, T_Aop[], 6, 1)</f>
        <v xml:space="preserve">    4. Troškovi plata, naknada plata i ostalih ličnih primanja (224 + 225)</v>
      </c>
      <c r="E43" s="687"/>
      <c r="F43" s="687"/>
      <c r="G43" s="687"/>
      <c r="H43" s="688"/>
      <c r="I43" s="63">
        <f>VLOOKUP( $B43, T_Aop[], 4, 1)</f>
        <v>223</v>
      </c>
      <c r="J43" s="454"/>
      <c r="K43" s="460">
        <f>IF(AND([0]!Godina=2025,MID(Osnovni_podaci!D20,3,1)="S",Osnovni_podaci!L24=4,Osnovni_podaci!G24=0,MID(Osnovni_podaci!D20,3,1)="S",MID(Osnovni_podaci!D20,8,1)="k"),SUBTOTAL( 9, K44:K45),A1)</f>
        <v>37301444</v>
      </c>
      <c r="L43" s="461">
        <f>IF(AND([0]!Godina=2025,MID(Osnovni_podaci!D20,3,1)="S",Osnovni_podaci!L24=4,Osnovni_podaci!G24=0,MID(Osnovni_podaci!D20,3,1)="S",MID(Osnovni_podaci!D20,8,1)="k"),SUBTOTAL( 9, L44:L45),A1)</f>
        <v>37091756</v>
      </c>
      <c r="N43" s="44"/>
      <c r="P43" s="183"/>
    </row>
    <row r="44" spans="2:16" ht="14.65" customHeight="1" x14ac:dyDescent="0.2">
      <c r="B44" s="15">
        <v>162</v>
      </c>
      <c r="C44" s="58" t="str">
        <f>VLOOKUP( $B44, T_Aop[], 5, 1)</f>
        <v>520 i 523</v>
      </c>
      <c r="D44" s="683" t="str">
        <f>VLOOKUP( $B44, T_Aop[], 6, 1)</f>
        <v xml:space="preserve">      a) Troškovi bruto plata i bruto naknada plata</v>
      </c>
      <c r="E44" s="684"/>
      <c r="F44" s="684"/>
      <c r="G44" s="684"/>
      <c r="H44" s="685"/>
      <c r="I44" s="59">
        <f>VLOOKUP( $B44, T_Aop[], 4, 1)</f>
        <v>224</v>
      </c>
      <c r="J44" s="456"/>
      <c r="K44" s="456">
        <v>30133213</v>
      </c>
      <c r="L44" s="457">
        <v>29570706</v>
      </c>
      <c r="N44" s="44"/>
      <c r="P44" s="183"/>
    </row>
    <row r="45" spans="2:16" ht="14.65" customHeight="1" x14ac:dyDescent="0.2">
      <c r="B45" s="15">
        <v>163</v>
      </c>
      <c r="C45" s="62" t="str">
        <f>VLOOKUP( $B45, T_Aop[], 5, 1)</f>
        <v>524 do 529</v>
      </c>
      <c r="D45" s="686" t="str">
        <f>VLOOKUP( $B45, T_Aop[], 6, 1)</f>
        <v xml:space="preserve">      b) Troškovi ostalih ličnih primanja</v>
      </c>
      <c r="E45" s="687"/>
      <c r="F45" s="687"/>
      <c r="G45" s="687"/>
      <c r="H45" s="688"/>
      <c r="I45" s="63">
        <f>VLOOKUP( $B45, T_Aop[], 4, 1)</f>
        <v>225</v>
      </c>
      <c r="J45" s="454"/>
      <c r="K45" s="454">
        <v>7168231</v>
      </c>
      <c r="L45" s="455">
        <v>7521050</v>
      </c>
      <c r="N45" s="44"/>
      <c r="P45" s="183"/>
    </row>
    <row r="46" spans="2:16" ht="14.65" customHeight="1" x14ac:dyDescent="0.2">
      <c r="B46" s="15">
        <v>164</v>
      </c>
      <c r="C46" s="58" t="str">
        <f>VLOOKUP( $B46, T_Aop[], 5, 1)</f>
        <v>530 do 539</v>
      </c>
      <c r="D46" s="683" t="str">
        <f>VLOOKUP( $B46, T_Aop[], 6, 1)</f>
        <v xml:space="preserve">    5. Troškovi proizvodnih usluga</v>
      </c>
      <c r="E46" s="684"/>
      <c r="F46" s="684"/>
      <c r="G46" s="684"/>
      <c r="H46" s="685"/>
      <c r="I46" s="59">
        <f>VLOOKUP( $B46, T_Aop[], 4, 1)</f>
        <v>226</v>
      </c>
      <c r="J46" s="456"/>
      <c r="K46" s="456">
        <v>2533803</v>
      </c>
      <c r="L46" s="457">
        <v>3410558</v>
      </c>
      <c r="N46" s="44"/>
      <c r="P46" s="183"/>
    </row>
    <row r="47" spans="2:16" ht="14.65" customHeight="1" x14ac:dyDescent="0.2">
      <c r="B47" s="15">
        <v>165</v>
      </c>
      <c r="C47" s="62" t="str">
        <f>VLOOKUP( $B47, T_Aop[], 5, 1)</f>
        <v>54</v>
      </c>
      <c r="D47" s="686" t="str">
        <f>VLOOKUP( $B47, T_Aop[], 6, 1)</f>
        <v xml:space="preserve">    6. Troškovi amortizacije i rezervisanja (228 + 233)</v>
      </c>
      <c r="E47" s="687"/>
      <c r="F47" s="687"/>
      <c r="G47" s="687"/>
      <c r="H47" s="688"/>
      <c r="I47" s="63">
        <f>VLOOKUP( $B47, T_Aop[], 4, 1)</f>
        <v>227</v>
      </c>
      <c r="J47" s="454"/>
      <c r="K47" s="460">
        <f>IF(AND([0]!Godina=2025,MID(Osnovni_podaci!D20,3,1)="S",Osnovni_podaci!L24=4,Osnovni_podaci!G24=0,MID(Osnovni_podaci!D20,3,1)="S",MID(Osnovni_podaci!D20,8,1)="k"),SUBTOTAL( 9, K48:K53),A1)</f>
        <v>22910629</v>
      </c>
      <c r="L47" s="461">
        <f>IF(AND([0]!Godina=2025,MID(Osnovni_podaci!D20,3,1)="S",Osnovni_podaci!L24=4,Osnovni_podaci!G24=0,MID(Osnovni_podaci!D20,3,1)="S",MID(Osnovni_podaci!D20,8,1)="k"),SUBTOTAL( 9, L48:L53),A1)</f>
        <v>21624432</v>
      </c>
      <c r="N47" s="44"/>
      <c r="P47" s="183"/>
    </row>
    <row r="48" spans="2:16" ht="14.65" customHeight="1" x14ac:dyDescent="0.2">
      <c r="B48" s="15">
        <v>166</v>
      </c>
      <c r="C48" s="58" t="str">
        <f>VLOOKUP( $B48, T_Aop[], 5, 1)</f>
        <v>540</v>
      </c>
      <c r="D48" s="683" t="str">
        <f>VLOOKUP( $B48, T_Aop[], 6, 1)</f>
        <v xml:space="preserve">      6.1 Troškovi amortizacije (229 do 232)</v>
      </c>
      <c r="E48" s="684"/>
      <c r="F48" s="684"/>
      <c r="G48" s="684"/>
      <c r="H48" s="685"/>
      <c r="I48" s="59">
        <f>VLOOKUP( $B48, T_Aop[], 4, 1)</f>
        <v>228</v>
      </c>
      <c r="J48" s="456"/>
      <c r="K48" s="458">
        <f>IF(AND([0]!Godina=2025,MID(Osnovni_podaci!D20,3,1)="S",Osnovni_podaci!L24=4,Osnovni_podaci!G24=0,MID(Osnovni_podaci!D20,3,1)="S",MID(Osnovni_podaci!D20,8,1)="k"),SUBTOTAL( 9, K49:K52),A1)</f>
        <v>22910629</v>
      </c>
      <c r="L48" s="459">
        <f>IF(AND([0]!Godina=2025,MID(Osnovni_podaci!D20,3,1)="S",Osnovni_podaci!L24=4,Osnovni_podaci!G24=0,MID(Osnovni_podaci!D20,3,1)="S",MID(Osnovni_podaci!D20,8,1)="k"),SUBTOTAL( 9, L49:L52),A1)</f>
        <v>21624432</v>
      </c>
      <c r="N48" s="44"/>
      <c r="P48" s="183"/>
    </row>
    <row r="49" spans="2:16" ht="14.65" customHeight="1" x14ac:dyDescent="0.2">
      <c r="B49" s="15">
        <v>167</v>
      </c>
      <c r="C49" s="62" t="str">
        <f>VLOOKUP( $B49, T_Aop[], 5, 1)</f>
        <v>dio 540</v>
      </c>
      <c r="D49" s="686" t="str">
        <f>VLOOKUP( $B49, T_Aop[], 6, 1)</f>
        <v xml:space="preserve">        a) Amortizacija nekretnina, postrojenja i opreme</v>
      </c>
      <c r="E49" s="687"/>
      <c r="F49" s="687"/>
      <c r="G49" s="687"/>
      <c r="H49" s="688"/>
      <c r="I49" s="63">
        <f>VLOOKUP( $B49, T_Aop[], 4, 1)</f>
        <v>229</v>
      </c>
      <c r="J49" s="454"/>
      <c r="K49" s="454">
        <v>22910629</v>
      </c>
      <c r="L49" s="455">
        <v>21624432</v>
      </c>
      <c r="N49" s="44"/>
      <c r="P49" s="183"/>
    </row>
    <row r="50" spans="2:16" ht="14.65" customHeight="1" x14ac:dyDescent="0.2">
      <c r="B50" s="15">
        <v>168</v>
      </c>
      <c r="C50" s="58" t="str">
        <f>IF(AND([0]!Godina=2025,MID(Osnovni_podaci!D20,3,1)="S",Osnovni_podaci!L24=4,Osnovni_podaci!G24=0,MID(Osnovni_podaci!D20,3,1)="S",MID(Osnovni_podaci!D20,8,1)="k"),VLOOKUP( $B50, T_Aop[], 5, 1),A1)</f>
        <v>dio 540</v>
      </c>
      <c r="D50" s="683" t="str">
        <f>VLOOKUP( $B50, T_Aop[], 6, 1)</f>
        <v xml:space="preserve">        b) Amortizacija investicionih nekretnina</v>
      </c>
      <c r="E50" s="684"/>
      <c r="F50" s="684"/>
      <c r="G50" s="684"/>
      <c r="H50" s="685"/>
      <c r="I50" s="59">
        <f>VLOOKUP( $B50, T_Aop[], 4, 1)</f>
        <v>230</v>
      </c>
      <c r="J50" s="456"/>
      <c r="K50" s="456">
        <v>0</v>
      </c>
      <c r="L50" s="457">
        <v>0</v>
      </c>
      <c r="N50" s="44"/>
      <c r="P50" s="183"/>
    </row>
    <row r="51" spans="2:16" ht="14.65" customHeight="1" x14ac:dyDescent="0.2">
      <c r="B51" s="15">
        <v>169</v>
      </c>
      <c r="C51" s="62" t="str">
        <f>IF(AND([0]!Godina=2025,MID(Osnovni_podaci!D20,3,1)="S",Osnovni_podaci!L24=4,Osnovni_podaci!G24=0,MID(Osnovni_podaci!D20,3,1)="S",MID(Osnovni_podaci!D20,8,1)="k"),VLOOKUP( $B51, T_Aop[], 5, 1),A1)</f>
        <v>dio 540</v>
      </c>
      <c r="D51" s="686" t="str">
        <f>VLOOKUP( $B51, T_Aop[], 6, 1)</f>
        <v xml:space="preserve">        c) Amortizacija sredstava uzetih u zakup</v>
      </c>
      <c r="E51" s="687"/>
      <c r="F51" s="687"/>
      <c r="G51" s="687"/>
      <c r="H51" s="688"/>
      <c r="I51" s="63">
        <f>VLOOKUP( $B51, T_Aop[], 4, 1)</f>
        <v>231</v>
      </c>
      <c r="J51" s="454"/>
      <c r="K51" s="454">
        <v>0</v>
      </c>
      <c r="L51" s="455">
        <v>0</v>
      </c>
      <c r="N51" s="44"/>
      <c r="P51" s="183"/>
    </row>
    <row r="52" spans="2:16" ht="14.65" customHeight="1" x14ac:dyDescent="0.2">
      <c r="B52" s="15">
        <v>170</v>
      </c>
      <c r="C52" s="58" t="str">
        <f>IF(AND([0]!Godina=2025,MID(Osnovni_podaci!D20,3,1)="S",Osnovni_podaci!L24=4,Osnovni_podaci!G24=0,MID(Osnovni_podaci!D20,3,1)="S",MID(Osnovni_podaci!D20,8,1)="k"),VLOOKUP( $B52, T_Aop[], 5, 1),A1)</f>
        <v>dio 540</v>
      </c>
      <c r="D52" s="683" t="str">
        <f>VLOOKUP( $B52, T_Aop[], 6, 1)</f>
        <v xml:space="preserve">        d) Amortizacija ostalih sredstava</v>
      </c>
      <c r="E52" s="684"/>
      <c r="F52" s="684"/>
      <c r="G52" s="684"/>
      <c r="H52" s="685"/>
      <c r="I52" s="59">
        <f>VLOOKUP( $B52, T_Aop[], 4, 1)</f>
        <v>232</v>
      </c>
      <c r="J52" s="456"/>
      <c r="K52" s="456">
        <v>0</v>
      </c>
      <c r="L52" s="457">
        <v>0</v>
      </c>
      <c r="N52" s="44"/>
      <c r="P52" s="183"/>
    </row>
    <row r="53" spans="2:16" ht="14.65" customHeight="1" x14ac:dyDescent="0.2">
      <c r="B53" s="15">
        <v>171</v>
      </c>
      <c r="C53" s="62" t="str">
        <f>IF(AND([0]!Godina=2025,MID(Osnovni_podaci!D20,3,1)="S",Osnovni_podaci!L24=4,Osnovni_podaci!G24=0,MID(Osnovni_podaci!D20,3,1)="S",MID(Osnovni_podaci!D20,8,1)="k"),VLOOKUP( $B53, T_Aop[], 5, 1),A1)</f>
        <v>541</v>
      </c>
      <c r="D53" s="686" t="str">
        <f>VLOOKUP( $B53, T_Aop[], 6, 1)</f>
        <v xml:space="preserve">      6.2 Troškovi rezervisanja</v>
      </c>
      <c r="E53" s="687"/>
      <c r="F53" s="687"/>
      <c r="G53" s="687"/>
      <c r="H53" s="688"/>
      <c r="I53" s="63">
        <f>VLOOKUP( $B53, T_Aop[], 4, 1)</f>
        <v>233</v>
      </c>
      <c r="J53" s="454"/>
      <c r="K53" s="454">
        <v>0</v>
      </c>
      <c r="L53" s="455">
        <v>0</v>
      </c>
      <c r="N53" s="44"/>
      <c r="P53" s="183"/>
    </row>
    <row r="54" spans="2:16" ht="14.65" customHeight="1" x14ac:dyDescent="0.2">
      <c r="B54" s="15">
        <v>172</v>
      </c>
      <c r="C54" s="58" t="str">
        <f>IF(AND([0]!Godina=2025,MID(Osnovni_podaci!D20,3,1)="S",Osnovni_podaci!L24=4,Osnovni_podaci!G24=0,MID(Osnovni_podaci!D20,3,1)="S",MID(Osnovni_podaci!D20,8,1)="k"),VLOOKUP( $B54, T_Aop[], 5, 1),A1)</f>
        <v>55 osim 555 i 556</v>
      </c>
      <c r="D54" s="683" t="str">
        <f>VLOOKUP( $B54, T_Aop[], 6, 1)</f>
        <v xml:space="preserve">    7. Nematerijalni troškovi (bez poreza i doprinosa)</v>
      </c>
      <c r="E54" s="684"/>
      <c r="F54" s="684"/>
      <c r="G54" s="684"/>
      <c r="H54" s="685"/>
      <c r="I54" s="59">
        <f>VLOOKUP( $B54, T_Aop[], 4, 1)</f>
        <v>234</v>
      </c>
      <c r="J54" s="456"/>
      <c r="K54" s="456">
        <v>8282342</v>
      </c>
      <c r="L54" s="457">
        <v>7556721</v>
      </c>
      <c r="N54" s="44"/>
      <c r="P54" s="183"/>
    </row>
    <row r="55" spans="2:16" ht="14.65" customHeight="1" x14ac:dyDescent="0.2">
      <c r="B55" s="15">
        <v>173</v>
      </c>
      <c r="C55" s="62" t="str">
        <f>IF(AND([0]!Godina=2025,MID(Osnovni_podaci!D20,3,1)="S",Osnovni_podaci!L24=4,Osnovni_podaci!G24=0,MID(Osnovni_podaci!D20,3,1)="S",MID(Osnovni_podaci!D20,8,1)="k"),VLOOKUP( $B55, T_Aop[], 5, 1),A1)</f>
        <v>555</v>
      </c>
      <c r="D55" s="686" t="str">
        <f>VLOOKUP( $B55, T_Aop[], 6, 1)</f>
        <v xml:space="preserve">    8. Troškovi poreza</v>
      </c>
      <c r="E55" s="687"/>
      <c r="F55" s="687"/>
      <c r="G55" s="687"/>
      <c r="H55" s="688"/>
      <c r="I55" s="63">
        <f>VLOOKUP( $B55, T_Aop[], 4, 1)</f>
        <v>235</v>
      </c>
      <c r="J55" s="454"/>
      <c r="K55" s="454">
        <v>338720</v>
      </c>
      <c r="L55" s="455">
        <v>330202</v>
      </c>
      <c r="N55" s="44"/>
      <c r="P55" s="183"/>
    </row>
    <row r="56" spans="2:16" ht="14.65" customHeight="1" x14ac:dyDescent="0.2">
      <c r="B56" s="15">
        <v>174</v>
      </c>
      <c r="C56" s="58" t="str">
        <f>IF(AND([0]!Godina=2025,MID(Osnovni_podaci!D20,3,1)="S",Osnovni_podaci!L24=4,Osnovni_podaci!G24=0,MID(Osnovni_podaci!D20,3,1)="S",MID(Osnovni_podaci!D20,8,1)="k"),VLOOKUP( $B56, T_Aop[], 5, 1),A1)</f>
        <v>556</v>
      </c>
      <c r="D56" s="683" t="str">
        <f>VLOOKUP( $B56, T_Aop[], 6, 1)</f>
        <v xml:space="preserve">    9. Troškovi doprinosa</v>
      </c>
      <c r="E56" s="684"/>
      <c r="F56" s="684"/>
      <c r="G56" s="684"/>
      <c r="H56" s="685"/>
      <c r="I56" s="59">
        <f>VLOOKUP( $B56, T_Aop[], 4, 1)</f>
        <v>236</v>
      </c>
      <c r="J56" s="456"/>
      <c r="K56" s="456">
        <v>245691</v>
      </c>
      <c r="L56" s="457">
        <v>226397</v>
      </c>
      <c r="N56" s="44"/>
      <c r="P56" s="183"/>
    </row>
    <row r="57" spans="2:16" ht="12.75" customHeight="1" x14ac:dyDescent="0.2">
      <c r="B57" s="15">
        <v>175</v>
      </c>
      <c r="C57" s="62">
        <f>IF(AND([0]!Godina=2025,MID(Osnovni_podaci!D20,3,1)="S",Osnovni_podaci!L24=4,Osnovni_podaci!G24=0,MID(Osnovni_podaci!D20,3,1)="S",MID(Osnovni_podaci!D20,8,1)="k"),VLOOKUP( $B57, T_Aop[], 5, 1),A1)</f>
        <v>0</v>
      </c>
      <c r="D57" s="703" t="str">
        <f>VLOOKUP( $B57, T_Aop[], 6, 1)</f>
        <v xml:space="preserve">  B.  POSLOVNI DOBITAK (201 – 219)</v>
      </c>
      <c r="E57" s="704"/>
      <c r="F57" s="704"/>
      <c r="G57" s="704"/>
      <c r="H57" s="705"/>
      <c r="I57" s="179">
        <f>VLOOKUP( $B57, T_Aop[], 4, 1)</f>
        <v>237</v>
      </c>
      <c r="J57" s="454"/>
      <c r="K57" s="67">
        <f>IF(AND([0]!Godina=2025,MID(Osnovni_podaci!D20,3,1)="S",Osnovni_podaci!L24=4,Osnovni_podaci!G24=0,MID(Osnovni_podaci!D20,3,1)="S",MID(Osnovni_podaci!D20,8,1)="k"),IF( SUBTOTAL( 9, K21:K34,K36,K38) - SUBTOTAL( 9, K35, K37, K39:K56)  &lt;= 0, 0, ABS( SUBTOTAL( 9, K21:K34,K36,K38) - SUBTOTAL( 9, K35, K37, K39:K56))),A1)</f>
        <v>5137420</v>
      </c>
      <c r="L57" s="68">
        <f>IF(AND([0]!Godina=2025,MID(Osnovni_podaci!D20,3,1)="S",Osnovni_podaci!L24=4,Osnovni_podaci!G24=0,MID(Osnovni_podaci!D20,3,1)="S",MID(Osnovni_podaci!D20,8,1)="k"),IF( SUBTOTAL( 9, L21:L34,L36,L38) - SUBTOTAL( 9, L35, L37, L39:L56)  &lt;= 0, 0, ABS( SUBTOTAL( 9, L21:L34,L36,L38) - SUBTOTAL( 9, L35, L37, L39:L56))),A1)</f>
        <v>2880233</v>
      </c>
      <c r="N57" s="44"/>
      <c r="P57" s="183"/>
    </row>
    <row r="58" spans="2:16" ht="12.75" customHeight="1" x14ac:dyDescent="0.2">
      <c r="B58" s="15">
        <v>176</v>
      </c>
      <c r="C58" s="58">
        <f>IF(AND([0]!Godina=2025,MID(Osnovni_podaci!D20,3,1)="S",Osnovni_podaci!L24=4,Osnovni_podaci!G24=0,MID(Osnovni_podaci!D20,3,1)="S",MID(Osnovni_podaci!D20,8,1)="k"),VLOOKUP( $B58, T_Aop[], 5, 1),A1)</f>
        <v>0</v>
      </c>
      <c r="D58" s="706" t="str">
        <f>VLOOKUP( $B58, T_Aop[], 6, 1)</f>
        <v xml:space="preserve">  V.  POSLOVNI GUBITAK (219 – 201)</v>
      </c>
      <c r="E58" s="707"/>
      <c r="F58" s="707"/>
      <c r="G58" s="707"/>
      <c r="H58" s="708"/>
      <c r="I58" s="178">
        <f>VLOOKUP( $B58, T_Aop[], 4, 1)</f>
        <v>238</v>
      </c>
      <c r="J58" s="456"/>
      <c r="K58" s="254">
        <f>IF(AND([0]!Godina=2025,MID(Osnovni_podaci!D20,3,1)="S",Osnovni_podaci!L24=4,Osnovni_podaci!G24=0,MID(Osnovni_podaci!D20,3,1)="S",MID(Osnovni_podaci!D20,8,1)="k"),IF( SUBTOTAL( 9, K21:K34,K36,K38) - SUBTOTAL( 9, K35, K37, K39:K56)  &gt;= 0, 0, ABS( SUBTOTAL( 9, K21:K34,K36,K38) - SUBTOTAL( 9, K35, K37, K39:K56))),A1)</f>
        <v>0</v>
      </c>
      <c r="L58" s="403">
        <f>IF(AND([0]!Godina=2025,MID(Osnovni_podaci!D20,3,1)="S",Osnovni_podaci!L24=4,Osnovni_podaci!G24=0,MID(Osnovni_podaci!D20,3,1)="S",MID(Osnovni_podaci!D20,8,1)="k"),IF( SUBTOTAL( 9, L21:L34,L36,L38) - SUBTOTAL( 9, L35, L37, L39:L56)  &gt;= 0, 0, ABS( SUBTOTAL( 9, L21:L34,L36,L38) - SUBTOTAL( 9, L35, L37, L39:L56))),A1)</f>
        <v>0</v>
      </c>
      <c r="N58" s="44"/>
      <c r="P58" s="183"/>
    </row>
    <row r="59" spans="2:16" ht="22.9" customHeight="1" x14ac:dyDescent="0.2">
      <c r="B59" s="15">
        <v>177</v>
      </c>
      <c r="C59" s="62" t="str">
        <f>IF(AND([0]!Godina=2025,MID(Osnovni_podaci!D20,3,1)="S",Osnovni_podaci!L24=4,Osnovni_podaci!G24=0,MID(Osnovni_podaci!D20,3,1)="S",MID(Osnovni_podaci!D20,8,1)="k"),VLOOKUP( $B59, T_Aop[], 5, 1),A1)</f>
        <v>66</v>
      </c>
      <c r="D59" s="703" t="str">
        <f>VLOOKUP( $B59, T_Aop[], 6, 1)</f>
        <v xml:space="preserve">  G. FINANSIJSKI PRIHODI I RASHODI _x000D_
I  FINANSIJSKI PRIHODI (240 do 243)</v>
      </c>
      <c r="E59" s="704"/>
      <c r="F59" s="704"/>
      <c r="G59" s="704"/>
      <c r="H59" s="705"/>
      <c r="I59" s="179">
        <f>VLOOKUP( $B59, T_Aop[], 4, 1)</f>
        <v>239</v>
      </c>
      <c r="J59" s="454"/>
      <c r="K59" s="67">
        <f>IF(AND([0]!Godina=2025,MID(Osnovni_podaci!D20,3,1)="S",Osnovni_podaci!L24=4,Osnovni_podaci!G24=0,MID(Osnovni_podaci!D20,3,1)="S",MID(Osnovni_podaci!D20,8,1)="k"),SUBTOTAL( 9, K60:K63),A1)</f>
        <v>448481</v>
      </c>
      <c r="L59" s="68">
        <f>IF(AND([0]!Godina=2025,MID(Osnovni_podaci!D20,3,1)="S",Osnovni_podaci!L24=4,Osnovni_podaci!G24=0,MID(Osnovni_podaci!D20,3,1)="S",MID(Osnovni_podaci!D20,8,1)="k"),SUBTOTAL( 9, L60:L63),A1)</f>
        <v>862504</v>
      </c>
      <c r="N59" s="44"/>
      <c r="P59" s="183"/>
    </row>
    <row r="60" spans="2:16" ht="13.9" customHeight="1" x14ac:dyDescent="0.2">
      <c r="B60" s="15">
        <v>178</v>
      </c>
      <c r="C60" s="58" t="str">
        <f>IF(AND([0]!Godina=2025,MID(Osnovni_podaci!D20,3,1)="S",Osnovni_podaci!L24=4,Osnovni_podaci!G24=0,MID(Osnovni_podaci!D20,3,1)="S",MID(Osnovni_podaci!D20,8,1)="k"),VLOOKUP( $B60, T_Aop[], 5, 1),A1)</f>
        <v>660, 661</v>
      </c>
      <c r="D60" s="683" t="str">
        <f>VLOOKUP( $B60, T_Aop[], 6, 1)</f>
        <v xml:space="preserve">    1.   Prihodi od kamata</v>
      </c>
      <c r="E60" s="684"/>
      <c r="F60" s="684"/>
      <c r="G60" s="684"/>
      <c r="H60" s="685"/>
      <c r="I60" s="59">
        <f>VLOOKUP( $B60, T_Aop[], 4, 1)</f>
        <v>240</v>
      </c>
      <c r="J60" s="456"/>
      <c r="K60" s="456">
        <v>448473</v>
      </c>
      <c r="L60" s="457">
        <v>854750</v>
      </c>
      <c r="N60" s="44"/>
      <c r="P60" s="183"/>
    </row>
    <row r="61" spans="2:16" ht="13.9" customHeight="1" x14ac:dyDescent="0.2">
      <c r="B61" s="15">
        <v>179</v>
      </c>
      <c r="C61" s="62" t="str">
        <f>IF(AND([0]!Godina=2025,MID(Osnovni_podaci!D20,3,1)="S",Osnovni_podaci!L24=4,Osnovni_podaci!G24=0,MID(Osnovni_podaci!D20,3,1)="S",MID(Osnovni_podaci!D20,8,1)="k"),VLOOKUP( $B61, T_Aop[], 5, 1),A1)</f>
        <v>662</v>
      </c>
      <c r="D61" s="686" t="str">
        <f>VLOOKUP( $B61, T_Aop[], 6, 1)</f>
        <v xml:space="preserve">    2.   Pozitivne kursne razlike</v>
      </c>
      <c r="E61" s="687"/>
      <c r="F61" s="687"/>
      <c r="G61" s="687"/>
      <c r="H61" s="688"/>
      <c r="I61" s="63">
        <f>VLOOKUP( $B61, T_Aop[], 4, 1)</f>
        <v>241</v>
      </c>
      <c r="J61" s="454"/>
      <c r="K61" s="454">
        <v>0</v>
      </c>
      <c r="L61" s="455">
        <v>0</v>
      </c>
      <c r="N61" s="44"/>
      <c r="P61" s="183"/>
    </row>
    <row r="62" spans="2:16" ht="13.9" customHeight="1" x14ac:dyDescent="0.2">
      <c r="B62" s="15">
        <v>180</v>
      </c>
      <c r="C62" s="58" t="str">
        <f>IF(AND([0]!Godina=2025,MID(Osnovni_podaci!D20,3,1)="S",Osnovni_podaci!L24=4,Osnovni_podaci!G24=0,MID(Osnovni_podaci!D20,3,1)="S",MID(Osnovni_podaci!D20,8,1)="k"),VLOOKUP( $B62, T_Aop[], 5, 1),A1)</f>
        <v>663</v>
      </c>
      <c r="D62" s="683" t="str">
        <f>VLOOKUP( $B62, T_Aop[], 6, 1)</f>
        <v xml:space="preserve">    3.   Prihodi od efekata valutne klauzule</v>
      </c>
      <c r="E62" s="684"/>
      <c r="F62" s="684"/>
      <c r="G62" s="684"/>
      <c r="H62" s="685"/>
      <c r="I62" s="59">
        <f>VLOOKUP( $B62, T_Aop[], 4, 1)</f>
        <v>242</v>
      </c>
      <c r="J62" s="456"/>
      <c r="K62" s="456">
        <v>0</v>
      </c>
      <c r="L62" s="457">
        <v>0</v>
      </c>
      <c r="N62" s="44"/>
      <c r="P62" s="183"/>
    </row>
    <row r="63" spans="2:16" ht="13.9" customHeight="1" x14ac:dyDescent="0.2">
      <c r="B63" s="15">
        <v>181</v>
      </c>
      <c r="C63" s="62" t="str">
        <f>IF(AND([0]!Godina=2025,MID(Osnovni_podaci!D20,3,1)="S",Osnovni_podaci!L24=4,Osnovni_podaci!G24=0,MID(Osnovni_podaci!D20,3,1)="S",MID(Osnovni_podaci!D20,8,1)="k"),VLOOKUP( $B63, T_Aop[], 5, 1),A1)</f>
        <v>669</v>
      </c>
      <c r="D63" s="686" t="str">
        <f>VLOOKUP( $B63, T_Aop[], 6, 1)</f>
        <v xml:space="preserve">    4.   Ostali finansijski prihodi</v>
      </c>
      <c r="E63" s="687"/>
      <c r="F63" s="687"/>
      <c r="G63" s="687"/>
      <c r="H63" s="688"/>
      <c r="I63" s="63">
        <f>VLOOKUP( $B63, T_Aop[], 4, 1)</f>
        <v>243</v>
      </c>
      <c r="J63" s="454"/>
      <c r="K63" s="454">
        <v>8</v>
      </c>
      <c r="L63" s="455">
        <v>7754</v>
      </c>
      <c r="N63" s="44"/>
      <c r="P63" s="183"/>
    </row>
    <row r="64" spans="2:16" ht="15.2" customHeight="1" x14ac:dyDescent="0.2">
      <c r="B64" s="15">
        <v>182</v>
      </c>
      <c r="C64" s="58" t="str">
        <f>IF(AND([0]!Godina=2025,MID(Osnovni_podaci!D20,3,1)="S",Osnovni_podaci!L24=4,Osnovni_podaci!G24=0,MID(Osnovni_podaci!D20,3,1)="S",MID(Osnovni_podaci!D20,8,1)="k"),VLOOKUP( $B64, T_Aop[], 5, 1),A1)</f>
        <v>56</v>
      </c>
      <c r="D64" s="706" t="str">
        <f>VLOOKUP( $B64, T_Aop[], 6, 1)</f>
        <v xml:space="preserve">  II  FINANSIJSKI RASHODI (245 do 248)</v>
      </c>
      <c r="E64" s="707"/>
      <c r="F64" s="707"/>
      <c r="G64" s="707"/>
      <c r="H64" s="708"/>
      <c r="I64" s="178">
        <f>VLOOKUP( $B64, T_Aop[], 4, 1)</f>
        <v>244</v>
      </c>
      <c r="J64" s="456"/>
      <c r="K64" s="60">
        <f>IF(AND([0]!Godina=2025,MID(Osnovni_podaci!D20,3,1)="S",Osnovni_podaci!L24=4,Osnovni_podaci!G24=0,MID(Osnovni_podaci!D20,3,1)="S",MID(Osnovni_podaci!D20,8,1)="k"),SUBTOTAL( 9, K65:K68),A1)</f>
        <v>2564031</v>
      </c>
      <c r="L64" s="61">
        <f>IF(AND([0]!Godina=2025,MID(Osnovni_podaci!D20,3,1)="S",Osnovni_podaci!L24=4,Osnovni_podaci!G24=0,MID(Osnovni_podaci!D20,3,1)="S",MID(Osnovni_podaci!D20,8,1)="k"),SUBTOTAL( 9, L65:L68),A1)</f>
        <v>1104917</v>
      </c>
      <c r="N64" s="44"/>
      <c r="P64" s="183"/>
    </row>
    <row r="65" spans="2:16" ht="13.9" customHeight="1" x14ac:dyDescent="0.2">
      <c r="B65" s="15">
        <v>183</v>
      </c>
      <c r="C65" s="62" t="str">
        <f>IF(AND([0]!Godina=2025,MID(Osnovni_podaci!D20,3,1)="S",Osnovni_podaci!L24=4,Osnovni_podaci!G24=0,MID(Osnovni_podaci!D20,3,1)="S",MID(Osnovni_podaci!D20,8,1)="k"),VLOOKUP( $B65, T_Aop[], 5, 1),A1)</f>
        <v>560, 561</v>
      </c>
      <c r="D65" s="686" t="str">
        <f>VLOOKUP( $B65, T_Aop[], 6, 1)</f>
        <v xml:space="preserve">    1. Rashodi kamata</v>
      </c>
      <c r="E65" s="687"/>
      <c r="F65" s="687"/>
      <c r="G65" s="687"/>
      <c r="H65" s="688"/>
      <c r="I65" s="63">
        <f>VLOOKUP( $B65, T_Aop[], 4, 1)</f>
        <v>245</v>
      </c>
      <c r="J65" s="454"/>
      <c r="K65" s="454">
        <v>2564029</v>
      </c>
      <c r="L65" s="455">
        <v>1104913</v>
      </c>
      <c r="N65" s="44"/>
      <c r="P65" s="183"/>
    </row>
    <row r="66" spans="2:16" ht="13.9" customHeight="1" x14ac:dyDescent="0.2">
      <c r="B66" s="15">
        <v>184</v>
      </c>
      <c r="C66" s="58" t="str">
        <f>IF(AND([0]!Godina=2025,MID(Osnovni_podaci!D20,3,1)="S",Osnovni_podaci!L24=4,Osnovni_podaci!G24=0,MID(Osnovni_podaci!D20,3,1)="S",MID(Osnovni_podaci!D20,8,1)="k"),VLOOKUP( $B66, T_Aop[], 5, 1),A1)</f>
        <v>562</v>
      </c>
      <c r="D66" s="683" t="str">
        <f>VLOOKUP( $B66, T_Aop[], 6, 1)</f>
        <v xml:space="preserve">    2. Negativne kursne razlike</v>
      </c>
      <c r="E66" s="684"/>
      <c r="F66" s="684"/>
      <c r="G66" s="684"/>
      <c r="H66" s="685"/>
      <c r="I66" s="59">
        <f>VLOOKUP( $B66, T_Aop[], 4, 1)</f>
        <v>246</v>
      </c>
      <c r="J66" s="456"/>
      <c r="K66" s="456">
        <v>0</v>
      </c>
      <c r="L66" s="457">
        <v>0</v>
      </c>
      <c r="N66" s="44"/>
      <c r="P66" s="183"/>
    </row>
    <row r="67" spans="2:16" ht="13.9" customHeight="1" x14ac:dyDescent="0.2">
      <c r="B67" s="15">
        <v>185</v>
      </c>
      <c r="C67" s="62" t="str">
        <f>IF(AND([0]!Godina=2025,MID(Osnovni_podaci!D20,3,1)="S",Osnovni_podaci!L24=4,Osnovni_podaci!G24=0,MID(Osnovni_podaci!D20,3,1)="S",MID(Osnovni_podaci!D20,8,1)="k"),VLOOKUP( $B67, T_Aop[], 5, 1),A1)</f>
        <v>563</v>
      </c>
      <c r="D67" s="686" t="str">
        <f>VLOOKUP( $B67, T_Aop[], 6, 1)</f>
        <v xml:space="preserve">    3. Rashodi po osnovu valutne klauzule</v>
      </c>
      <c r="E67" s="687"/>
      <c r="F67" s="687"/>
      <c r="G67" s="687"/>
      <c r="H67" s="688"/>
      <c r="I67" s="63">
        <f>VLOOKUP( $B67, T_Aop[], 4, 1)</f>
        <v>247</v>
      </c>
      <c r="J67" s="454"/>
      <c r="K67" s="454">
        <v>0</v>
      </c>
      <c r="L67" s="455">
        <v>0</v>
      </c>
      <c r="N67" s="44"/>
      <c r="P67" s="183"/>
    </row>
    <row r="68" spans="2:16" ht="13.9" customHeight="1" x14ac:dyDescent="0.2">
      <c r="B68" s="15">
        <v>186</v>
      </c>
      <c r="C68" s="58" t="str">
        <f>IF(AND([0]!Godina=2025,MID(Osnovni_podaci!D20,3,1)="S",Osnovni_podaci!L24=4,Osnovni_podaci!G24=0,MID(Osnovni_podaci!D20,3,1)="S",MID(Osnovni_podaci!D20,8,1)="k"),VLOOKUP( $B68, T_Aop[], 5, 1),A1)</f>
        <v>569</v>
      </c>
      <c r="D68" s="683" t="str">
        <f>VLOOKUP( $B68, T_Aop[], 6, 1)</f>
        <v xml:space="preserve">    4. Ostali finansijski rashodi</v>
      </c>
      <c r="E68" s="684"/>
      <c r="F68" s="684"/>
      <c r="G68" s="684"/>
      <c r="H68" s="685"/>
      <c r="I68" s="59">
        <f>VLOOKUP( $B68, T_Aop[], 4, 1)</f>
        <v>248</v>
      </c>
      <c r="J68" s="456"/>
      <c r="K68" s="456">
        <v>2</v>
      </c>
      <c r="L68" s="457">
        <v>4</v>
      </c>
      <c r="N68" s="44"/>
      <c r="P68" s="183"/>
    </row>
    <row r="69" spans="2:16" ht="21" customHeight="1" x14ac:dyDescent="0.2">
      <c r="B69" s="15">
        <v>187</v>
      </c>
      <c r="C69" s="188">
        <f>IF(AND([0]!Godina=2025,MID(Osnovni_podaci!D20,3,1)="S",Osnovni_podaci!L24=4,Osnovni_podaci!G24=0,MID(Osnovni_podaci!D20,3,1)="S",MID(Osnovni_podaci!D20,8,1)="k"),VLOOKUP( $B69, T_Aop[], 5, 1),A1)</f>
        <v>0</v>
      </c>
      <c r="D69" s="703" t="str">
        <f>VLOOKUP( $B69, T_Aop[], 6, 1)</f>
        <v xml:space="preserve">  D. DOBITAK REDOVNE AKTIVNOSTI  (237 + 239 – 244) ili (239-244-238)     </v>
      </c>
      <c r="E69" s="704"/>
      <c r="F69" s="704"/>
      <c r="G69" s="704"/>
      <c r="H69" s="705"/>
      <c r="I69" s="179">
        <f>VLOOKUP( $B69, T_Aop[], 4, 1)</f>
        <v>249</v>
      </c>
      <c r="J69" s="454"/>
      <c r="K69" s="67">
        <f>IF(AND([0]!Godina=2025,MID(Osnovni_podaci!D20,3,1)="S",Osnovni_podaci!L24=4,Osnovni_podaci!G24=0,MID(Osnovni_podaci!D20,3,1)="S",MID(Osnovni_podaci!D20,8,1)="k"),IF( SUBTOTAL( 9, K21:K34,K36, K38,K59:K63) - SUBTOTAL( 9, K35, K37, K39:K56, K64:K68) &lt;= 0, 0, ABS( SUBTOTAL( 9, K21:K34,K36,K38, K59:K63) - SUBTOTAL( 9, K35, K37, K39:K56, K64:K68))),A1)</f>
        <v>3021870</v>
      </c>
      <c r="L69" s="68">
        <f>IF(AND([0]!Godina=2025,MID(Osnovni_podaci!D20,3,1)="S",Osnovni_podaci!L24=4,Osnovni_podaci!G24=0,MID(Osnovni_podaci!D20,3,1)="S",MID(Osnovni_podaci!D20,8,1)="k"),IF( SUBTOTAL( 9, L21:L34,L36, L38,L59:L63) - SUBTOTAL( 9, L35, L37, L39:L56, L64:L68) &lt;= 0, 0, ABS( SUBTOTAL( 9, L21:L34,L36,L38, L59:L63) - SUBTOTAL( 9, L35, L37, L39:L56, L64:L68))),A1)</f>
        <v>2637820</v>
      </c>
      <c r="N69" s="44"/>
      <c r="P69" s="183"/>
    </row>
    <row r="70" spans="2:16" ht="21" customHeight="1" x14ac:dyDescent="0.2">
      <c r="B70" s="15">
        <v>188</v>
      </c>
      <c r="C70" s="58">
        <f>IF(AND([0]!Godina=2025,MID(Osnovni_podaci!D20,3,1)="S",Osnovni_podaci!L24=4,Osnovni_podaci!G24=0,MID(Osnovni_podaci!D20,3,1)="S",MID(Osnovni_podaci!D20,8,1)="k"),VLOOKUP( $B70, T_Aop[], 5, 1),A1)</f>
        <v>0</v>
      </c>
      <c r="D70" s="706" t="str">
        <f>VLOOKUP( $B70, T_Aop[], 6, 1)</f>
        <v xml:space="preserve">  Đ. GUBITAK REDOVNE AKTIVNOSTI (238 + 244 -239) ili (244-239-237)</v>
      </c>
      <c r="E70" s="707"/>
      <c r="F70" s="707"/>
      <c r="G70" s="707"/>
      <c r="H70" s="708"/>
      <c r="I70" s="178">
        <f>VLOOKUP( $B70, T_Aop[], 4, 1)</f>
        <v>250</v>
      </c>
      <c r="J70" s="456"/>
      <c r="K70" s="254">
        <f>IF(AND([0]!Godina=2025,MID(Osnovni_podaci!D20,3,1)="S",Osnovni_podaci!L24=4,Osnovni_podaci!G24=0,MID(Osnovni_podaci!D20,3,1)="S",MID(Osnovni_podaci!D20,8,1)="k"),IF( SUBTOTAL( 9, K21:K34,K36,K38,K59:K63) - SUBTOTAL( 9, K35, K37, K39:K56,K64:K68)  &gt;= 0, 0, ABS( SUBTOTAL( 9, K21:K34,K36,K38,K59:K63) - SUBTOTAL( 9, K35, K37, K39:K56,K64:K68))),A1)</f>
        <v>0</v>
      </c>
      <c r="L70" s="403">
        <f>IF(AND([0]!Godina=2025,MID(Osnovni_podaci!D20,3,1)="S",Osnovni_podaci!L24=4,Osnovni_podaci!G24=0,MID(Osnovni_podaci!D20,3,1)="S",MID(Osnovni_podaci!D20,8,1)="k"),IF( SUBTOTAL( 9, L21:L34,L36,L38,L59:L63) - SUBTOTAL( 9, L35, L37, L39:L56,L64:L68)  &gt;= 0, 0, ABS( SUBTOTAL( 9, L21:L34,L36,L38,L59:L63) - SUBTOTAL( 9, L35, L37, L39:L56,L64:L68))),A1)</f>
        <v>0</v>
      </c>
      <c r="N70" s="44"/>
      <c r="P70" s="183"/>
    </row>
    <row r="71" spans="2:16" ht="23.65" customHeight="1" x14ac:dyDescent="0.2">
      <c r="B71" s="15">
        <v>189</v>
      </c>
      <c r="C71" s="62" t="str">
        <f>IF(AND([0]!Godina=2025,MID(Osnovni_podaci!D20,3,1)="S",Osnovni_podaci!L24=4,Osnovni_podaci!G24=0,MID(Osnovni_podaci!D20,3,1)="S",MID(Osnovni_podaci!D20,8,1)="k"),VLOOKUP( $B71, T_Aop[], 5, 1),A1)</f>
        <v>67</v>
      </c>
      <c r="D71" s="703" t="str">
        <f>VLOOKUP( $B71, T_Aop[], 6, 1)</f>
        <v xml:space="preserve">  E. OSTALI DOBICI I GUBICI 
I OSTALI PRIHODI I DOBICI (252 do 260)</v>
      </c>
      <c r="E71" s="704"/>
      <c r="F71" s="704"/>
      <c r="G71" s="704"/>
      <c r="H71" s="705"/>
      <c r="I71" s="179">
        <f>VLOOKUP( $B71, T_Aop[], 4, 1)</f>
        <v>251</v>
      </c>
      <c r="J71" s="454"/>
      <c r="K71" s="64">
        <f>IF(AND([0]!Godina=2025,MID(Osnovni_podaci!D20,3,1)="S",Osnovni_podaci!L24=4,Osnovni_podaci!G24=0,MID(Osnovni_podaci!D20,3,1)="S",MID(Osnovni_podaci!D20,8,1)="k"),SUBTOTAL( 9, K72:K80),A1)</f>
        <v>1498566</v>
      </c>
      <c r="L71" s="65">
        <f>IF(AND([0]!Godina=2025,MID(Osnovni_podaci!D20,3,1)="S",Osnovni_podaci!L24=4,Osnovni_podaci!G24=0,MID(Osnovni_podaci!D20,3,1)="S",MID(Osnovni_podaci!D20,8,1)="k"),SUBTOTAL( 9, L72:L80),A1)</f>
        <v>812683</v>
      </c>
      <c r="N71" s="44"/>
      <c r="P71" s="183"/>
    </row>
    <row r="72" spans="2:16" ht="23.65" customHeight="1" x14ac:dyDescent="0.2">
      <c r="B72" s="15">
        <v>190</v>
      </c>
      <c r="C72" s="58" t="str">
        <f>IF(AND([0]!Godina=2025,MID(Osnovni_podaci!D20,3,1)="S",Osnovni_podaci!L24=4,Osnovni_podaci!G24=0,MID(Osnovni_podaci!D20,3,1)="S",MID(Osnovni_podaci!D20,8,1)="k"),VLOOKUP( $B72, T_Aop[], 5, 1),A1)</f>
        <v>670, 570 neto prikaz</v>
      </c>
      <c r="D72" s="683" t="str">
        <f>VLOOKUP( $B72, T_Aop[], 6, 1)</f>
        <v xml:space="preserve">    1. Neto dobici po osnovu prodaje nematerijalnih sredstava, nekretnina, postrojenja i opreme</v>
      </c>
      <c r="E72" s="684"/>
      <c r="F72" s="684"/>
      <c r="G72" s="684"/>
      <c r="H72" s="685"/>
      <c r="I72" s="59">
        <f>VLOOKUP( $B72, T_Aop[], 4, 1)</f>
        <v>252</v>
      </c>
      <c r="J72" s="456"/>
      <c r="K72" s="456">
        <v>91</v>
      </c>
      <c r="L72" s="457">
        <v>0</v>
      </c>
      <c r="N72" s="44"/>
      <c r="P72" s="183"/>
    </row>
    <row r="73" spans="2:16" ht="23.65" customHeight="1" x14ac:dyDescent="0.2">
      <c r="B73" s="15">
        <v>191</v>
      </c>
      <c r="C73" s="62" t="str">
        <f>IF(AND([0]!Godina=2025,MID(Osnovni_podaci!D20,3,1)="S",Osnovni_podaci!L24=4,Osnovni_podaci!G24=0,MID(Osnovni_podaci!D20,3,1)="S",MID(Osnovni_podaci!D20,8,1)="k"),VLOOKUP( $B73, T_Aop[], 5, 1),A1)</f>
        <v>671, 571 neto prikaz</v>
      </c>
      <c r="D73" s="686" t="str">
        <f>VLOOKUP( $B73, T_Aop[], 6, 1)</f>
        <v xml:space="preserve">    2. Neto dobici po osnovu prodaje investicionih nekretnina</v>
      </c>
      <c r="E73" s="687"/>
      <c r="F73" s="687"/>
      <c r="G73" s="687"/>
      <c r="H73" s="688"/>
      <c r="I73" s="63">
        <f>VLOOKUP( $B73, T_Aop[], 4, 1)</f>
        <v>253</v>
      </c>
      <c r="J73" s="454"/>
      <c r="K73" s="454">
        <v>9</v>
      </c>
      <c r="L73" s="455">
        <v>0</v>
      </c>
      <c r="N73" s="44"/>
      <c r="P73" s="183"/>
    </row>
    <row r="74" spans="2:16" ht="23.65" customHeight="1" x14ac:dyDescent="0.2">
      <c r="B74" s="15">
        <v>192</v>
      </c>
      <c r="C74" s="58" t="str">
        <f>IF(AND([0]!Godina=2025,MID(Osnovni_podaci!D20,3,1)="S",Osnovni_podaci!L24=4,Osnovni_podaci!G24=0,MID(Osnovni_podaci!D20,3,1)="S",MID(Osnovni_podaci!D20,8,1)="k"),VLOOKUP( $B74, T_Aop[], 5, 1),A1)</f>
        <v>672, 572 neto prikaz</v>
      </c>
      <c r="D74" s="683" t="str">
        <f>VLOOKUP( $B74, T_Aop[], 6, 1)</f>
        <v xml:space="preserve">    3. Neto dobici po osnovu prodaje bioloških sredstava</v>
      </c>
      <c r="E74" s="684"/>
      <c r="F74" s="684"/>
      <c r="G74" s="684"/>
      <c r="H74" s="685"/>
      <c r="I74" s="59">
        <f>VLOOKUP( $B74, T_Aop[], 4, 1)</f>
        <v>254</v>
      </c>
      <c r="J74" s="456"/>
      <c r="K74" s="456">
        <v>0</v>
      </c>
      <c r="L74" s="457">
        <v>0</v>
      </c>
      <c r="N74" s="44"/>
      <c r="P74" s="183"/>
    </row>
    <row r="75" spans="2:16" ht="23.65" customHeight="1" x14ac:dyDescent="0.2">
      <c r="B75" s="15">
        <v>193</v>
      </c>
      <c r="C75" s="62" t="str">
        <f>IF(AND([0]!Godina=2025,MID(Osnovni_podaci!D20,3,1)="S",Osnovni_podaci!L24=4,Osnovni_podaci!G24=0,MID(Osnovni_podaci!D20,3,1)="S",MID(Osnovni_podaci!D20,8,1)="k"),VLOOKUP( $B75, T_Aop[], 5, 1),A1)</f>
        <v>673, 573, neto prikaz</v>
      </c>
      <c r="D75" s="686" t="str">
        <f>VLOOKUP( $B75, T_Aop[], 6, 1)</f>
        <v xml:space="preserve">    4. Neto dobici po osnovu prodaje stalnih sredstava namijenjenih prodaji i sredstava poslovanja koje se obustavlja</v>
      </c>
      <c r="E75" s="687"/>
      <c r="F75" s="687"/>
      <c r="G75" s="687"/>
      <c r="H75" s="688"/>
      <c r="I75" s="63">
        <f>VLOOKUP( $B75, T_Aop[], 4, 1)</f>
        <v>255</v>
      </c>
      <c r="J75" s="454"/>
      <c r="K75" s="454">
        <v>0</v>
      </c>
      <c r="L75" s="455">
        <v>0</v>
      </c>
      <c r="N75" s="44"/>
      <c r="P75" s="183"/>
    </row>
    <row r="76" spans="2:16" ht="23.65" customHeight="1" x14ac:dyDescent="0.2">
      <c r="B76" s="15">
        <v>194</v>
      </c>
      <c r="C76" s="58" t="str">
        <f>IF(AND([0]!Godina=2025,MID(Osnovni_podaci!D20,3,1)="S",Osnovni_podaci!L24=4,Osnovni_podaci!G24=0,MID(Osnovni_podaci!D20,3,1)="S",MID(Osnovni_podaci!D20,8,1)="k"),VLOOKUP( $B76, T_Aop[], 5, 1),A1)</f>
        <v>674, 574 neto prikaz</v>
      </c>
      <c r="D76" s="683" t="str">
        <f>VLOOKUP( $B76, T_Aop[], 6, 1)</f>
        <v xml:space="preserve">    5. Neto dobici po osnovu prodaje finansijskih sredstava i ulaganja u povezana lica</v>
      </c>
      <c r="E76" s="684"/>
      <c r="F76" s="684"/>
      <c r="G76" s="684"/>
      <c r="H76" s="685"/>
      <c r="I76" s="59">
        <f>VLOOKUP( $B76, T_Aop[], 4, 1)</f>
        <v>256</v>
      </c>
      <c r="J76" s="456"/>
      <c r="K76" s="456">
        <v>0</v>
      </c>
      <c r="L76" s="457">
        <v>0</v>
      </c>
      <c r="N76" s="44"/>
      <c r="P76" s="183"/>
    </row>
    <row r="77" spans="2:16" ht="23.65" customHeight="1" x14ac:dyDescent="0.2">
      <c r="B77" s="15">
        <v>195</v>
      </c>
      <c r="C77" s="62" t="str">
        <f>IF(AND([0]!Godina=2025,MID(Osnovni_podaci!D20,3,1)="S",Osnovni_podaci!L24=4,Osnovni_podaci!G24=0,MID(Osnovni_podaci!D20,3,1)="S",MID(Osnovni_podaci!D20,8,1)="k"),VLOOKUP( $B77, T_Aop[], 5, 1),A1)</f>
        <v>675, 575 neto prikaz</v>
      </c>
      <c r="D77" s="686" t="str">
        <f>VLOOKUP( $B77, T_Aop[], 6, 1)</f>
        <v xml:space="preserve">    6. Neto dobici po osnovu prodaje materijala</v>
      </c>
      <c r="E77" s="687"/>
      <c r="F77" s="687"/>
      <c r="G77" s="687"/>
      <c r="H77" s="688"/>
      <c r="I77" s="63">
        <f>VLOOKUP( $B77, T_Aop[], 4, 1)</f>
        <v>257</v>
      </c>
      <c r="J77" s="454"/>
      <c r="K77" s="454">
        <v>3107</v>
      </c>
      <c r="L77" s="455">
        <v>1360</v>
      </c>
      <c r="N77" s="44"/>
      <c r="P77" s="183"/>
    </row>
    <row r="78" spans="2:16" ht="13.9" customHeight="1" x14ac:dyDescent="0.2">
      <c r="B78" s="15">
        <v>196</v>
      </c>
      <c r="C78" s="58" t="str">
        <f>IF(AND([0]!Godina=2025,MID(Osnovni_podaci!D20,3,1)="S",Osnovni_podaci!L24=4,Osnovni_podaci!G24=0,MID(Osnovni_podaci!D20,3,1)="S",MID(Osnovni_podaci!D20,8,1)="k"),VLOOKUP( $B78, T_Aop[], 5, 1),A1)</f>
        <v>676</v>
      </c>
      <c r="D78" s="683" t="str">
        <f>VLOOKUP( $B78, T_Aop[], 6, 1)</f>
        <v xml:space="preserve">    7. Viškovi</v>
      </c>
      <c r="E78" s="684"/>
      <c r="F78" s="684"/>
      <c r="G78" s="684"/>
      <c r="H78" s="685"/>
      <c r="I78" s="59">
        <f>VLOOKUP( $B78, T_Aop[], 4, 1)</f>
        <v>258</v>
      </c>
      <c r="J78" s="456"/>
      <c r="K78" s="456">
        <v>35471</v>
      </c>
      <c r="L78" s="457">
        <v>0</v>
      </c>
      <c r="N78" s="44"/>
      <c r="P78" s="184" t="s">
        <v>313</v>
      </c>
    </row>
    <row r="79" spans="2:16" ht="13.9" customHeight="1" x14ac:dyDescent="0.2">
      <c r="B79" s="15">
        <v>197</v>
      </c>
      <c r="C79" s="62" t="str">
        <f>IF(AND([0]!Godina=2025,MID(Osnovni_podaci!D20,3,1)="S",Osnovni_podaci!L24=4,Osnovni_podaci!G24=0,MID(Osnovni_podaci!D20,3,1)="S",MID(Osnovni_podaci!D20,8,1)="k"),VLOOKUP( $B79, T_Aop[], 5, 1),A1)</f>
        <v>677, 679</v>
      </c>
      <c r="D79" s="686" t="str">
        <f>VLOOKUP( $B79, T_Aop[], 6, 1)</f>
        <v xml:space="preserve">    8. Ostali prihodi i dobici </v>
      </c>
      <c r="E79" s="687"/>
      <c r="F79" s="687"/>
      <c r="G79" s="687"/>
      <c r="H79" s="688"/>
      <c r="I79" s="63">
        <f>VLOOKUP( $B79, T_Aop[], 4, 1)</f>
        <v>259</v>
      </c>
      <c r="J79" s="454"/>
      <c r="K79" s="454">
        <v>1459888</v>
      </c>
      <c r="L79" s="455">
        <v>811323</v>
      </c>
      <c r="N79" s="44"/>
      <c r="P79" s="184" t="s">
        <v>313</v>
      </c>
    </row>
    <row r="80" spans="2:16" ht="13.9" customHeight="1" x14ac:dyDescent="0.2">
      <c r="B80" s="15">
        <v>198</v>
      </c>
      <c r="C80" s="58" t="str">
        <f>IF(AND([0]!Godina=2025,MID(Osnovni_podaci!D20,3,1)="S",Osnovni_podaci!L24=4,Osnovni_podaci!G24=0,MID(Osnovni_podaci!D20,3,1)="S",MID(Osnovni_podaci!D20,8,1)="k"),VLOOKUP( $B80, T_Aop[], 5, 1),A1)</f>
        <v>678, 577</v>
      </c>
      <c r="D80" s="683" t="str">
        <f>VLOOKUP( $B80, T_Aop[], 6, 1)</f>
        <v xml:space="preserve">    9.  Neto dobici od derivatnih finansijskih instrumenata </v>
      </c>
      <c r="E80" s="684"/>
      <c r="F80" s="684"/>
      <c r="G80" s="684"/>
      <c r="H80" s="685"/>
      <c r="I80" s="59">
        <f>VLOOKUP( $B80, T_Aop[], 4, 1)</f>
        <v>260</v>
      </c>
      <c r="J80" s="456"/>
      <c r="K80" s="456">
        <v>0</v>
      </c>
      <c r="L80" s="457">
        <v>0</v>
      </c>
      <c r="N80" s="44"/>
      <c r="P80" s="183"/>
    </row>
    <row r="81" spans="2:16" ht="15.75" customHeight="1" x14ac:dyDescent="0.2">
      <c r="B81" s="15">
        <v>199</v>
      </c>
      <c r="C81" s="62" t="str">
        <f>IF(AND([0]!Godina=2025,MID(Osnovni_podaci!D20,3,1)="S",Osnovni_podaci!L24=4,Osnovni_podaci!G24=0,MID(Osnovni_podaci!D20,3,1)="S",MID(Osnovni_podaci!D20,8,1)="k"),VLOOKUP( $B81, T_Aop[], 5, 1),A1)</f>
        <v>57</v>
      </c>
      <c r="D81" s="703" t="str">
        <f>VLOOKUP( $B81, T_Aop[], 6, 1)</f>
        <v xml:space="preserve">  II  OSTALI RASHODI I GUBICI (262 do 270)</v>
      </c>
      <c r="E81" s="704"/>
      <c r="F81" s="704"/>
      <c r="G81" s="704"/>
      <c r="H81" s="705"/>
      <c r="I81" s="179">
        <f>VLOOKUP( $B81, T_Aop[], 4, 1)</f>
        <v>261</v>
      </c>
      <c r="J81" s="454"/>
      <c r="K81" s="64">
        <f>IF(AND([0]!Godina=2025,MID(Osnovni_podaci!D20,3,1)="S",Osnovni_podaci!L24=4,Osnovni_podaci!G24=0,MID(Osnovni_podaci!D20,3,1)="S",MID(Osnovni_podaci!D20,8,1)="k"),SUBTOTAL( 9, K82:K90),A1)</f>
        <v>288032</v>
      </c>
      <c r="L81" s="65">
        <f>IF(AND([0]!Godina=2025,MID(Osnovni_podaci!D20,3,1)="S",Osnovni_podaci!L24=4,Osnovni_podaci!G24=0,MID(Osnovni_podaci!D20,3,1)="S",MID(Osnovni_podaci!D20,8,1)="k"),SUBTOTAL( 9, L82:L90),A1)</f>
        <v>287663</v>
      </c>
      <c r="N81" s="44"/>
      <c r="P81" s="183"/>
    </row>
    <row r="82" spans="2:16" ht="22.9" customHeight="1" x14ac:dyDescent="0.2">
      <c r="B82" s="15">
        <v>200</v>
      </c>
      <c r="C82" s="58" t="str">
        <f>IF(AND([0]!Godina=2025,MID(Osnovni_podaci!D20,3,1)="S",Osnovni_podaci!L24=4,Osnovni_podaci!G24=0,MID(Osnovni_podaci!D20,3,1)="S",MID(Osnovni_podaci!D20,8,1)="k"),VLOOKUP( $B82, T_Aop[], 5, 1),A1)</f>
        <v>570, 670 neto prikaz</v>
      </c>
      <c r="D82" s="683" t="str">
        <f>VLOOKUP( $B82, T_Aop[], 6, 1)</f>
        <v xml:space="preserve">    1. Neto gubici po osnovu otuđenja nematerijalnih sredstava, nekretnina, postrojenja i opreme</v>
      </c>
      <c r="E82" s="684"/>
      <c r="F82" s="684"/>
      <c r="G82" s="684"/>
      <c r="H82" s="685"/>
      <c r="I82" s="59">
        <f>VLOOKUP( $B82, T_Aop[], 4, 1)</f>
        <v>262</v>
      </c>
      <c r="J82" s="456"/>
      <c r="K82" s="456">
        <v>0</v>
      </c>
      <c r="L82" s="457">
        <v>35285</v>
      </c>
      <c r="N82" s="44"/>
      <c r="P82" s="183"/>
    </row>
    <row r="83" spans="2:16" ht="22.9" customHeight="1" x14ac:dyDescent="0.2">
      <c r="B83" s="15">
        <v>201</v>
      </c>
      <c r="C83" s="62" t="str">
        <f>IF(AND([0]!Godina=2025,MID(Osnovni_podaci!D20,3,1)="S",Osnovni_podaci!L24=4,Osnovni_podaci!G24=0,MID(Osnovni_podaci!D20,3,1)="S",MID(Osnovni_podaci!D20,8,1)="k"),VLOOKUP( $B83, T_Aop[], 5, 1),A1)</f>
        <v>571, 671 neto prikaz</v>
      </c>
      <c r="D83" s="686" t="str">
        <f>VLOOKUP( $B83, T_Aop[], 6, 1)</f>
        <v xml:space="preserve">    2. Neto gubici po osnovu otuđenja investicionih nekretnina</v>
      </c>
      <c r="E83" s="687"/>
      <c r="F83" s="687"/>
      <c r="G83" s="687"/>
      <c r="H83" s="688"/>
      <c r="I83" s="63">
        <f>VLOOKUP( $B83, T_Aop[], 4, 1)</f>
        <v>263</v>
      </c>
      <c r="J83" s="454"/>
      <c r="K83" s="454">
        <v>0</v>
      </c>
      <c r="L83" s="455">
        <v>0</v>
      </c>
      <c r="N83" s="44"/>
      <c r="P83" s="183"/>
    </row>
    <row r="84" spans="2:16" ht="22.9" customHeight="1" x14ac:dyDescent="0.2">
      <c r="B84" s="15">
        <v>202</v>
      </c>
      <c r="C84" s="58" t="str">
        <f>IF(AND([0]!Godina=2025,MID(Osnovni_podaci!D20,3,1)="S",Osnovni_podaci!L24=4,Osnovni_podaci!G24=0,MID(Osnovni_podaci!D20,3,1)="S",MID(Osnovni_podaci!D20,8,1)="k"),VLOOKUP( $B84, T_Aop[], 5, 1),A1)</f>
        <v>572, 672 neto prikaz</v>
      </c>
      <c r="D84" s="683" t="str">
        <f>VLOOKUP( $B84, T_Aop[], 6, 1)</f>
        <v xml:space="preserve">    3. Neto gubici po osnovu otuđenja bioloških sredstava</v>
      </c>
      <c r="E84" s="684"/>
      <c r="F84" s="684"/>
      <c r="G84" s="684"/>
      <c r="H84" s="685"/>
      <c r="I84" s="59">
        <f>VLOOKUP( $B84, T_Aop[], 4, 1)</f>
        <v>264</v>
      </c>
      <c r="J84" s="456"/>
      <c r="K84" s="456">
        <v>0</v>
      </c>
      <c r="L84" s="457">
        <v>0</v>
      </c>
      <c r="N84" s="44"/>
      <c r="P84" s="183"/>
    </row>
    <row r="85" spans="2:16" ht="22.9" customHeight="1" x14ac:dyDescent="0.2">
      <c r="B85" s="15">
        <v>203</v>
      </c>
      <c r="C85" s="62" t="str">
        <f>IF(AND([0]!Godina=2025,MID(Osnovni_podaci!D20,3,1)="S",Osnovni_podaci!L24=4,Osnovni_podaci!G24=0,MID(Osnovni_podaci!D20,3,1)="S",MID(Osnovni_podaci!D20,8,1)="k"),VLOOKUP( $B85, T_Aop[], 5, 1),A1)</f>
        <v>573, 673, neto prikaz</v>
      </c>
      <c r="D85" s="686" t="str">
        <f>VLOOKUP( $B85, T_Aop[], 6, 1)</f>
        <v xml:space="preserve">    4. Neto gubici po osnovu otuđenja stalnih sredstava namijenjenih prodaji i sredstava poslovanja koje se obustavlja</v>
      </c>
      <c r="E85" s="687"/>
      <c r="F85" s="687"/>
      <c r="G85" s="687"/>
      <c r="H85" s="688"/>
      <c r="I85" s="63">
        <f>VLOOKUP( $B85, T_Aop[], 4, 1)</f>
        <v>265</v>
      </c>
      <c r="J85" s="454"/>
      <c r="K85" s="454">
        <v>0</v>
      </c>
      <c r="L85" s="455">
        <v>0</v>
      </c>
      <c r="N85" s="44"/>
      <c r="P85" s="183"/>
    </row>
    <row r="86" spans="2:16" ht="22.9" customHeight="1" x14ac:dyDescent="0.2">
      <c r="B86" s="15">
        <v>204</v>
      </c>
      <c r="C86" s="58" t="str">
        <f>IF(AND([0]!Godina=2025,MID(Osnovni_podaci!D20,3,1)="S",Osnovni_podaci!L24=4,Osnovni_podaci!G24=0,MID(Osnovni_podaci!D20,3,1)="S",MID(Osnovni_podaci!D20,8,1)="k"),VLOOKUP( $B86, T_Aop[], 5, 1),A1)</f>
        <v>574, 674 neto prikaz</v>
      </c>
      <c r="D86" s="683" t="str">
        <f>VLOOKUP( $B86, T_Aop[], 6, 1)</f>
        <v xml:space="preserve">    5. Neto gubici od otuđenja finansijskih sredstava i ulaganja u povezana lica</v>
      </c>
      <c r="E86" s="684"/>
      <c r="F86" s="684"/>
      <c r="G86" s="684"/>
      <c r="H86" s="685"/>
      <c r="I86" s="59">
        <f>VLOOKUP( $B86, T_Aop[], 4, 1)</f>
        <v>266</v>
      </c>
      <c r="J86" s="456"/>
      <c r="K86" s="456">
        <v>0</v>
      </c>
      <c r="L86" s="457">
        <v>0</v>
      </c>
      <c r="N86" s="44"/>
      <c r="P86" s="183"/>
    </row>
    <row r="87" spans="2:16" ht="22.9" customHeight="1" x14ac:dyDescent="0.2">
      <c r="B87" s="15">
        <v>205</v>
      </c>
      <c r="C87" s="62" t="str">
        <f>IF(AND([0]!Godina=2025,MID(Osnovni_podaci!D20,3,1)="S",Osnovni_podaci!L24=4,Osnovni_podaci!G24=0,MID(Osnovni_podaci!D20,3,1)="S",MID(Osnovni_podaci!D20,8,1)="k"),VLOOKUP( $B87, T_Aop[], 5, 1),A1)</f>
        <v xml:space="preserve">575, 675 neto prikaz </v>
      </c>
      <c r="D87" s="686" t="str">
        <f>VLOOKUP( $B87, T_Aop[], 6, 1)</f>
        <v xml:space="preserve">    6. Neto gubici po osnovu prodaje materijala</v>
      </c>
      <c r="E87" s="687"/>
      <c r="F87" s="687"/>
      <c r="G87" s="687"/>
      <c r="H87" s="688"/>
      <c r="I87" s="63">
        <f>VLOOKUP( $B87, T_Aop[], 4, 1)</f>
        <v>267</v>
      </c>
      <c r="J87" s="454"/>
      <c r="K87" s="454">
        <v>0</v>
      </c>
      <c r="L87" s="455">
        <v>0</v>
      </c>
      <c r="N87" s="44"/>
      <c r="P87" s="183"/>
    </row>
    <row r="88" spans="2:16" ht="14.65" customHeight="1" x14ac:dyDescent="0.2">
      <c r="B88" s="15">
        <v>206</v>
      </c>
      <c r="C88" s="58" t="str">
        <f>IF(AND([0]!Godina=2025,MID(Osnovni_podaci!D20,3,1)="S",Osnovni_podaci!L24=4,Osnovni_podaci!G24=0,MID(Osnovni_podaci!D20,3,1)="S",MID(Osnovni_podaci!D20,8,1)="k"),VLOOKUP( $B88, T_Aop[], 5, 1),A1)</f>
        <v>576</v>
      </c>
      <c r="D88" s="683" t="str">
        <f>VLOOKUP( $B88, T_Aop[], 6, 1)</f>
        <v xml:space="preserve">    7.  Manjkovi</v>
      </c>
      <c r="E88" s="684"/>
      <c r="F88" s="684"/>
      <c r="G88" s="684"/>
      <c r="H88" s="685"/>
      <c r="I88" s="59">
        <f>VLOOKUP( $B88, T_Aop[], 4, 1)</f>
        <v>268</v>
      </c>
      <c r="J88" s="456"/>
      <c r="K88" s="456">
        <v>0</v>
      </c>
      <c r="L88" s="457">
        <v>0</v>
      </c>
      <c r="N88" s="44"/>
      <c r="P88" s="184" t="s">
        <v>313</v>
      </c>
    </row>
    <row r="89" spans="2:16" ht="22.9" customHeight="1" x14ac:dyDescent="0.2">
      <c r="B89" s="15">
        <v>207</v>
      </c>
      <c r="C89" s="62" t="str">
        <f>IF(AND([0]!Godina=2025,MID(Osnovni_podaci!D20,3,1)="S",Osnovni_podaci!L24=4,Osnovni_podaci!G24=0,MID(Osnovni_podaci!D20,3,1)="S",MID(Osnovni_podaci!D20,8,1)="k"),VLOOKUP( $B89, T_Aop[], 5, 1),A1)</f>
        <v>577, 678 neto prikaz</v>
      </c>
      <c r="D89" s="686" t="str">
        <f>IF(AND([0]!Godina=2025,MID(Osnovni_podaci!D20,3,1)="S",Osnovni_podaci!L24=4,Osnovni_podaci!G24=0,MID(Osnovni_podaci!D20,3,1)="S",MID(Osnovni_podaci!D20,8,1)="k"),VLOOKUP( $B89, T_Aop[], 6, 1),A1)</f>
        <v xml:space="preserve">    8. Neto gubici od derivatnih finansijskih instrumenata</v>
      </c>
      <c r="E89" s="687"/>
      <c r="F89" s="687"/>
      <c r="G89" s="687"/>
      <c r="H89" s="688"/>
      <c r="I89" s="63">
        <f>VLOOKUP( $B89, T_Aop[], 4, 1)</f>
        <v>269</v>
      </c>
      <c r="J89" s="454"/>
      <c r="K89" s="454">
        <v>0</v>
      </c>
      <c r="L89" s="455">
        <v>0</v>
      </c>
      <c r="N89" s="44"/>
      <c r="P89" s="183"/>
    </row>
    <row r="90" spans="2:16" ht="14.65" customHeight="1" x14ac:dyDescent="0.2">
      <c r="B90" s="15">
        <v>208</v>
      </c>
      <c r="C90" s="58" t="str">
        <f>IF(AND([0]!Godina=2025,MID(Osnovni_podaci!D20,3,1)="S",Osnovni_podaci!L24=4,Osnovni_podaci!G24=0,MID(Osnovni_podaci!D20,3,1)="S",MID(Osnovni_podaci!D20,8,1)="k"),VLOOKUP( $B90, T_Aop[], 5, 1),A1)</f>
        <v>578, 579</v>
      </c>
      <c r="D90" s="683" t="str">
        <f>IF(AND([0]!Godina=2025,MID(Osnovni_podaci!D20,3,1)="S",Osnovni_podaci!L24=4,Osnovni_podaci!G24=0,MID(Osnovni_podaci!D20,3,1)="S",MID(Osnovni_podaci!D20,8,1)="k"),VLOOKUP( $B90, T_Aop[], 6, 1),A1)</f>
        <v xml:space="preserve">    9. Ostali rashodi i gubici</v>
      </c>
      <c r="E90" s="684"/>
      <c r="F90" s="684"/>
      <c r="G90" s="684"/>
      <c r="H90" s="685"/>
      <c r="I90" s="59">
        <f>VLOOKUP( $B90, T_Aop[], 4, 1)</f>
        <v>270</v>
      </c>
      <c r="J90" s="456"/>
      <c r="K90" s="456">
        <v>288032</v>
      </c>
      <c r="L90" s="457">
        <v>252378</v>
      </c>
      <c r="N90" s="44"/>
      <c r="P90" s="183"/>
    </row>
    <row r="91" spans="2:16" ht="12.75" customHeight="1" x14ac:dyDescent="0.2">
      <c r="B91" s="15">
        <v>209</v>
      </c>
      <c r="C91" s="188">
        <f>IF(AND([0]!Godina=2025,MID(Osnovni_podaci!D20,3,1)="S",Osnovni_podaci!L24=4,Osnovni_podaci!G24=0,MID(Osnovni_podaci!D20,3,1)="S",MID(Osnovni_podaci!D20,8,1)="k"),VLOOKUP( $B91, T_Aop[], 5, 1),A1)</f>
        <v>0</v>
      </c>
      <c r="D91" s="703" t="str">
        <f>IF(AND([0]!Godina=2025,MID(Osnovni_podaci!D20,3,1)="S",Osnovni_podaci!L24=4,Osnovni_podaci!G24=0,MID(Osnovni_podaci!D20,3,1)="S",MID(Osnovni_podaci!D20,8,1)="k"),VLOOKUP( $B91, T_Aop[], 6, 1),A1)</f>
        <v xml:space="preserve">  Ž. DOBITAK PO OSNOVU OSTALIH PRIHODA I RASHODA (251 – 261)</v>
      </c>
      <c r="E91" s="704"/>
      <c r="F91" s="704"/>
      <c r="G91" s="704"/>
      <c r="H91" s="705"/>
      <c r="I91" s="179">
        <f>VLOOKUP( $B91, T_Aop[], 4, 1)</f>
        <v>271</v>
      </c>
      <c r="J91" s="454"/>
      <c r="K91" s="67">
        <f>IF(AND([0]!Godina=2025,MID(Osnovni_podaci!D20,3,1)="S",Osnovni_podaci!L24=4,Osnovni_podaci!G24=0,MID(Osnovni_podaci!D20,3,1)="S",MID(Osnovni_podaci!D20,8,1)="k"),IF( SUBTOTAL( 9, K71:K80) - SUBTOTAL( 9, K81:K90) &lt;= 0, 0, ABS( SUBTOTAL( 9, K71:K80) - SUBTOTAL( 9, K81:K90)) ),A1)</f>
        <v>1210534</v>
      </c>
      <c r="L91" s="479">
        <f>IF(AND([0]!Godina=2025,MID(Osnovni_podaci!D20,3,1)="S",Osnovni_podaci!L24=4,Osnovni_podaci!G24=0,MID(Osnovni_podaci!D20,3,1)="S",MID(Osnovni_podaci!D20,8,1)="k"),IF( SUBTOTAL( 9, L71:L80) - SUBTOTAL( 9, L81:L90) &lt;= 0, 0, ABS( SUBTOTAL( 9, L71:L80) - SUBTOTAL( 9, L81:L90)) ),A1)</f>
        <v>525020</v>
      </c>
      <c r="N91" s="44"/>
      <c r="P91" s="183"/>
    </row>
    <row r="92" spans="2:16" x14ac:dyDescent="0.2">
      <c r="B92" s="15">
        <v>210</v>
      </c>
      <c r="C92" s="187">
        <f>IF(AND([0]!Godina=2025,MID(Osnovni_podaci!D20,3,1)="S",Osnovni_podaci!L24=4,Osnovni_podaci!G24=0,MID(Osnovni_podaci!D20,3,1)="S",MID(Osnovni_podaci!D20,8,1)="k"),VLOOKUP( $B92, T_Aop[], 5, 1),A1)</f>
        <v>0</v>
      </c>
      <c r="D92" s="706" t="str">
        <f>IF(AND([0]!Godina=2025,MID(Osnovni_podaci!D20,3,1)="S",Osnovni_podaci!L24=4,Osnovni_podaci!G24=0,MID(Osnovni_podaci!D20,3,1)="S",MID(Osnovni_podaci!D20,8,1)="k"),VLOOKUP( $B92, T_Aop[], 6, 1),A1)</f>
        <v xml:space="preserve">  Z. GUBITAK PO OSNOVU OSTALIH PRIHODA I RASHODA (261 – 251)</v>
      </c>
      <c r="E92" s="707"/>
      <c r="F92" s="707"/>
      <c r="G92" s="707"/>
      <c r="H92" s="708"/>
      <c r="I92" s="178">
        <f>VLOOKUP( $B92, T_Aop[], 4, 1)</f>
        <v>272</v>
      </c>
      <c r="J92" s="456"/>
      <c r="K92" s="254">
        <f>IF(AND([0]!Godina=2025,MID(Osnovni_podaci!D20,3,1)="S",Osnovni_podaci!L24=4,Osnovni_podaci!G24=0,MID(Osnovni_podaci!D20,3,1)="S",MID(Osnovni_podaci!D20,8,1)="k"),IF( SUBTOTAL( 9, K71:K80) - SUBTOTAL( 9, K81:K90) &gt;= 0, 0, ABS( SUBTOTAL( 9, K71:K80) - SUBTOTAL( 9, K81:K90)) ),A1)</f>
        <v>0</v>
      </c>
      <c r="L92" s="480">
        <f>IF(AND([0]!Godina=2025,MID(Osnovni_podaci!D20,3,1)="S",Osnovni_podaci!L24=4,Osnovni_podaci!G24=0,MID(Osnovni_podaci!D20,3,1)="S",MID(Osnovni_podaci!D20,8,1)="k"),IF( SUBTOTAL( 9, L71:L80) - SUBTOTAL( 9, L81:L90) &gt;= 0, 0, ABS( SUBTOTAL( 9, L71:L80) - SUBTOTAL( 9, L81:L90)) ),A1)</f>
        <v>0</v>
      </c>
      <c r="N92" s="44"/>
      <c r="P92" s="183"/>
    </row>
    <row r="93" spans="2:16" ht="23.65" customHeight="1" x14ac:dyDescent="0.2">
      <c r="B93" s="15">
        <v>211</v>
      </c>
      <c r="C93" s="188" t="str">
        <f>IF(AND([0]!Godina=2025,MID(Osnovni_podaci!D20,3,1)="S",Osnovni_podaci!L24=4,Osnovni_podaci!G24=0,MID(Osnovni_podaci!D20,3,1)="S",MID(Osnovni_podaci!D20,8,1)="k"),VLOOKUP( $B93, T_Aop[], 5, 1),A1)</f>
        <v>68</v>
      </c>
      <c r="D93" s="703" t="str">
        <f>IF(AND([0]!Godina=2025,MID(Osnovni_podaci!D20,3,1)="S",Osnovni_podaci!L24=4,Osnovni_podaci!G24=0,MID(Osnovni_podaci!D20,3,1)="S",MID(Osnovni_podaci!D20,8,1)="k"),VLOOKUP( $B93, T_Aop[], 6, 1),A1)</f>
        <v xml:space="preserve">  I. PRIHODI I RASHODI OD USKLAĐIVANJA VRIJEDNOSTI IMOVINE 
I   PRIHODI OD USKLAĐIVANJA VRIJEDNOSTI IMOVINE (274 + 281)</v>
      </c>
      <c r="E93" s="704"/>
      <c r="F93" s="704"/>
      <c r="G93" s="704"/>
      <c r="H93" s="705"/>
      <c r="I93" s="179">
        <f>VLOOKUP( $B93, T_Aop[], 4, 1)</f>
        <v>273</v>
      </c>
      <c r="J93" s="454"/>
      <c r="K93" s="67">
        <f>IF(AND([0]!Godina=2025,MID(Osnovni_podaci!D20,3,1)="S",Osnovni_podaci!L24=4,Osnovni_podaci!G24=0,MID(Osnovni_podaci!D20,3,1)="S",MID(Osnovni_podaci!D20,8,1)="k"),SUBTOTAL( 9, K94:K105),A1)</f>
        <v>1610299</v>
      </c>
      <c r="L93" s="479">
        <f>IF(AND([0]!Godina=2025,MID(Osnovni_podaci!D20,3,1)="S",Osnovni_podaci!L24=4,Osnovni_podaci!G24=0,MID(Osnovni_podaci!D20,3,1)="S",MID(Osnovni_podaci!D20,8,1)="k"),SUBTOTAL( 9, L94:L105),A1)</f>
        <v>1439259</v>
      </c>
      <c r="N93" s="44"/>
      <c r="P93" s="183"/>
    </row>
    <row r="94" spans="2:16" ht="13.9" customHeight="1" x14ac:dyDescent="0.2">
      <c r="B94" s="15">
        <v>212</v>
      </c>
      <c r="C94" s="58" t="str">
        <f>IF(AND([0]!Godina=2025,MID(Osnovni_podaci!D20,3,1)="S",Osnovni_podaci!L24=4,Osnovni_podaci!G24=0,MID(Osnovni_podaci!D20,3,1)="S",MID(Osnovni_podaci!D20,8,1)="k"),VLOOKUP( $B94, T_Aop[], 5, 1),A1)</f>
        <v>dio 68</v>
      </c>
      <c r="D94" s="683" t="str">
        <f>IF(AND([0]!Godina=2025,MID(Osnovni_podaci!D20,3,1)="S",Osnovni_podaci!L24=4,Osnovni_podaci!G24=0,MID(Osnovni_podaci!D20,3,1)="S",MID(Osnovni_podaci!D20,8,1)="k"),VLOOKUP( $B94, T_Aop[], 6, 1),A1)</f>
        <v xml:space="preserve">    1. Neto dobici od usklađivanja imovine (osim finansijske)  (275 do 280)</v>
      </c>
      <c r="E94" s="684"/>
      <c r="F94" s="684"/>
      <c r="G94" s="684"/>
      <c r="H94" s="685"/>
      <c r="I94" s="59">
        <f>VLOOKUP( $B94, T_Aop[], 4, 1)</f>
        <v>274</v>
      </c>
      <c r="J94" s="456"/>
      <c r="K94" s="153">
        <f>IF(AND([0]!Godina=2025,MID(Osnovni_podaci!D20,3,1)="S",Osnovni_podaci!L24=4,Osnovni_podaci!G24=0,MID(Osnovni_podaci!D20,3,1)="S",MID(Osnovni_podaci!D20,8,1)="k"),SUBTOTAL( 9, K95:K100),A1)</f>
        <v>0</v>
      </c>
      <c r="L94" s="491">
        <f>IF(AND([0]!Godina=2025,MID(Osnovni_podaci!D20,3,1)="S",Osnovni_podaci!L24=4,Osnovni_podaci!G24=0,MID(Osnovni_podaci!D20,3,1)="S",MID(Osnovni_podaci!D20,8,1)="k"),SUBTOTAL( 9, L95:L100),A1)</f>
        <v>0</v>
      </c>
      <c r="N94" s="44"/>
      <c r="P94" s="183"/>
    </row>
    <row r="95" spans="2:16" s="441" customFormat="1" ht="22.9" customHeight="1" x14ac:dyDescent="0.2">
      <c r="B95" s="440">
        <v>213</v>
      </c>
      <c r="C95" s="62" t="str">
        <f>IF(AND([0]!Godina=2025,MID(Osnovni_podaci!D20,3,1)="S",Osnovni_podaci!L24=4,Osnovni_podaci!G24=0,MID(Osnovni_podaci!D20,3,1)="S",MID(Osnovni_podaci!D20,8,1)="k"),VLOOKUP( $B95, T_Aop[], 5, 1),A1)</f>
        <v>680, 580 neto prikaz</v>
      </c>
      <c r="D95" s="686" t="str">
        <f>IF(AND([0]!Godina=2025,MID(Osnovni_podaci!D20,3,1)="S",Osnovni_podaci!L24=4,Osnovni_podaci!G24=0,MID(Osnovni_podaci!D20,3,1)="S",MID(Osnovni_podaci!D20,8,1)="k"),VLOOKUP( $B95, T_Aop[], 6, 1),A1)</f>
        <v xml:space="preserve">      1.1. Neto dobici od umanjenja ranije priznatih gubitaka usljed obezvređenja nematerijalnih sredstava</v>
      </c>
      <c r="E95" s="687"/>
      <c r="F95" s="687"/>
      <c r="G95" s="687"/>
      <c r="H95" s="688"/>
      <c r="I95" s="63">
        <f>VLOOKUP( $B95, T_Aop[], 4, 1)</f>
        <v>275</v>
      </c>
      <c r="J95" s="454"/>
      <c r="K95" s="454">
        <v>0</v>
      </c>
      <c r="L95" s="455">
        <v>0</v>
      </c>
      <c r="N95" s="442"/>
      <c r="P95" s="443"/>
    </row>
    <row r="96" spans="2:16" s="441" customFormat="1" ht="22.9" customHeight="1" x14ac:dyDescent="0.2">
      <c r="B96" s="440">
        <v>214</v>
      </c>
      <c r="C96" s="58" t="str">
        <f>IF(AND([0]!Godina=2025,MID(Osnovni_podaci!D20,3,1)="S",Osnovni_podaci!L24=4,Osnovni_podaci!G24=0,MID(Osnovni_podaci!D20,3,1)="S",MID(Osnovni_podaci!D20,8,1)="k"),VLOOKUP( $B96, T_Aop[], 5, 1),A1)</f>
        <v>681, 581 neto prikaz</v>
      </c>
      <c r="D96" s="683" t="str">
        <f>IF(AND([0]!Godina=2025,MID(Osnovni_podaci!D20,3,1)="S",Osnovni_podaci!L24=4,Osnovni_podaci!G24=0,MID(Osnovni_podaci!D20,3,1)="S",MID(Osnovni_podaci!D20,8,1)="k"),VLOOKUP( $B96, T_Aop[], 6, 1),A1)</f>
        <v xml:space="preserve">      1.2. Neto dobici od umanjenja ranije priznatih gubitaka usljed obezvređenja nekretnina, postrojenja i opreme</v>
      </c>
      <c r="E96" s="684"/>
      <c r="F96" s="684"/>
      <c r="G96" s="684"/>
      <c r="H96" s="685"/>
      <c r="I96" s="59">
        <f>VLOOKUP( $B96, T_Aop[], 4, 1)</f>
        <v>276</v>
      </c>
      <c r="J96" s="456"/>
      <c r="K96" s="456">
        <v>0</v>
      </c>
      <c r="L96" s="457">
        <v>0</v>
      </c>
      <c r="N96" s="442"/>
      <c r="P96" s="443"/>
    </row>
    <row r="97" spans="2:16" s="441" customFormat="1" ht="22.9" customHeight="1" x14ac:dyDescent="0.2">
      <c r="B97" s="440">
        <v>215</v>
      </c>
      <c r="C97" s="62" t="str">
        <f>IF(AND([0]!Godina=2025,MID(Osnovni_podaci!D20,3,1)="S",Osnovni_podaci!L24=4,Osnovni_podaci!G24=0,MID(Osnovni_podaci!D20,3,1)="S",MID(Osnovni_podaci!D20,8,1)="k"),VLOOKUP( $B97, T_Aop[], 5, 1),A1)</f>
        <v>682, 582 neto prikaz</v>
      </c>
      <c r="D97" s="686" t="str">
        <f>IF(AND([0]!Godina=2025,MID(Osnovni_podaci!D20,3,1)="S",Osnovni_podaci!L24=4,Osnovni_podaci!G24=0,MID(Osnovni_podaci!D20,3,1)="S",MID(Osnovni_podaci!D20,8,1)="k"),VLOOKUP( $B97, T_Aop[], 6, 1),A1)</f>
        <v xml:space="preserve">      1.3.  Neto dobici od umanjenja ranije priznatih gubitaka usljed obezvređenja investicionih nekretnina koje se vrednuju po nabavnoj vrijednosti</v>
      </c>
      <c r="E97" s="687"/>
      <c r="F97" s="687"/>
      <c r="G97" s="687"/>
      <c r="H97" s="688"/>
      <c r="I97" s="63">
        <f>VLOOKUP( $B97, T_Aop[], 4, 1)</f>
        <v>277</v>
      </c>
      <c r="J97" s="454"/>
      <c r="K97" s="454">
        <v>0</v>
      </c>
      <c r="L97" s="455">
        <v>0</v>
      </c>
      <c r="N97" s="442"/>
      <c r="P97" s="443"/>
    </row>
    <row r="98" spans="2:16" ht="22.9" customHeight="1" x14ac:dyDescent="0.2">
      <c r="B98" s="15">
        <v>216</v>
      </c>
      <c r="C98" s="58" t="str">
        <f>IF(AND([0]!Godina=2025,MID(Osnovni_podaci!D20,3,1)="S",Osnovni_podaci!L24=4,Osnovni_podaci!G24=0,MID(Osnovni_podaci!D20,3,1)="S",MID(Osnovni_podaci!D20,8,1)="k"),VLOOKUP( $B98, T_Aop[], 5, 1),A1)</f>
        <v>683, 583 neto prikaz</v>
      </c>
      <c r="D98" s="683" t="str">
        <f>IF(AND([0]!Godina=2025,MID(Osnovni_podaci!D20,3,1)="S",Osnovni_podaci!L24=4,Osnovni_podaci!G24=0,MID(Osnovni_podaci!D20,3,1)="S",MID(Osnovni_podaci!D20,8,1)="k"),VLOOKUP( $B98, T_Aop[], 6, 1),A1)</f>
        <v xml:space="preserve">      1.4.  Neto dobici od umanjenja ranije priznatih gubitaka usljed obezvređenja bioloških sredstva koja se vrednuju po nabavnoj vrijednosti</v>
      </c>
      <c r="E98" s="684"/>
      <c r="F98" s="684"/>
      <c r="G98" s="684"/>
      <c r="H98" s="685"/>
      <c r="I98" s="59">
        <f>VLOOKUP( $B98, T_Aop[], 4, 1)</f>
        <v>278</v>
      </c>
      <c r="J98" s="456"/>
      <c r="K98" s="456">
        <v>0</v>
      </c>
      <c r="L98" s="457">
        <v>0</v>
      </c>
      <c r="N98" s="44"/>
      <c r="P98" s="183"/>
    </row>
    <row r="99" spans="2:16" ht="22.9" customHeight="1" x14ac:dyDescent="0.2">
      <c r="B99" s="15">
        <v>217</v>
      </c>
      <c r="C99" s="62" t="str">
        <f>IF(AND([0]!Godina=2025,MID(Osnovni_podaci!D20,3,1)="S",Osnovni_podaci!L24=4,Osnovni_podaci!G24=0,MID(Osnovni_podaci!D20,3,1)="S",MID(Osnovni_podaci!D20,8,1)="k"),VLOOKUP( $B99, T_Aop[], 5, 1),A1)</f>
        <v>685, 585 neto prikaz</v>
      </c>
      <c r="D99" s="686" t="str">
        <f>IF(AND([0]!Godina=2025,MID(Osnovni_podaci!D20,3,1)="S",Osnovni_podaci!L24=4,Osnovni_podaci!G24=0,MID(Osnovni_podaci!D20,3,1)="S",MID(Osnovni_podaci!D20,8,1)="k"),VLOOKUP( $B99, T_Aop[], 6, 1),A1)</f>
        <v xml:space="preserve">      1.5.  Neto dobici od usklađivanja vrijednosti zaliha materijala i robe </v>
      </c>
      <c r="E99" s="687"/>
      <c r="F99" s="687"/>
      <c r="G99" s="687"/>
      <c r="H99" s="688"/>
      <c r="I99" s="63">
        <f>VLOOKUP( $B99, T_Aop[], 4, 1)</f>
        <v>279</v>
      </c>
      <c r="J99" s="454"/>
      <c r="K99" s="454">
        <v>0</v>
      </c>
      <c r="L99" s="455">
        <v>0</v>
      </c>
      <c r="N99" s="44"/>
      <c r="P99" s="184" t="s">
        <v>313</v>
      </c>
    </row>
    <row r="100" spans="2:16" ht="22.9" customHeight="1" x14ac:dyDescent="0.2">
      <c r="B100" s="15">
        <v>218</v>
      </c>
      <c r="C100" s="58" t="str">
        <f>IF(AND([0]!Godina=2025,MID(Osnovni_podaci!D20,3,1)="S",Osnovni_podaci!L24=4,Osnovni_podaci!G24=0,MID(Osnovni_podaci!D20,3,1)="S",MID(Osnovni_podaci!D20,8,1)="k"),VLOOKUP( $B100, T_Aop[], 5, 1),A1)</f>
        <v>688, dio 689, 588, dio 589neto prikaz</v>
      </c>
      <c r="D100" s="683" t="str">
        <f>IF(AND([0]!Godina=2025,MID(Osnovni_podaci!D20,3,1)="S",Osnovni_podaci!L24=4,Osnovni_podaci!G24=0,MID(Osnovni_podaci!D20,3,1)="S",MID(Osnovni_podaci!D20,8,1)="k"),VLOOKUP( $B100, T_Aop[], 6, 1),A1)</f>
        <v xml:space="preserve">      1.6.  Neto dobici od usklađivanja vrijednost stalnih sredstava namijenjenih prodaji, sredstava poslovanja koje se obustavlja i ostalih nefinansijskih sredstava</v>
      </c>
      <c r="E100" s="684"/>
      <c r="F100" s="684"/>
      <c r="G100" s="684"/>
      <c r="H100" s="685"/>
      <c r="I100" s="59">
        <f>VLOOKUP( $B100, T_Aop[], 4, 1)</f>
        <v>280</v>
      </c>
      <c r="J100" s="456"/>
      <c r="K100" s="456">
        <v>0</v>
      </c>
      <c r="L100" s="457">
        <v>0</v>
      </c>
      <c r="N100" s="44"/>
      <c r="P100" s="183"/>
    </row>
    <row r="101" spans="2:16" ht="13.9" customHeight="1" x14ac:dyDescent="0.2">
      <c r="B101" s="15">
        <v>219</v>
      </c>
      <c r="C101" s="62" t="str">
        <f>IF(AND([0]!Godina=2025,MID(Osnovni_podaci!D20,3,1)="S",Osnovni_podaci!L24=4,Osnovni_podaci!G24=0,MID(Osnovni_podaci!D20,3,1)="S",MID(Osnovni_podaci!D20,8,1)="k"),VLOOKUP( $B101, T_Aop[], 5, 1),A1)</f>
        <v>dio 68</v>
      </c>
      <c r="D101" s="686" t="str">
        <f>IF(AND([0]!Godina=2025,MID(Osnovni_podaci!D20,3,1)="S",Osnovni_podaci!L24=4,Osnovni_podaci!G24=0,MID(Osnovni_podaci!D20,3,1)="S",MID(Osnovni_podaci!D20,8,1)="k"),VLOOKUP( $B101, T_Aop[], 6, 1),A1)</f>
        <v xml:space="preserve">    2. Neto dobici od usklađivanja vrijednosti finansijskih sredstava (282 do 285)</v>
      </c>
      <c r="E101" s="687"/>
      <c r="F101" s="687"/>
      <c r="G101" s="687"/>
      <c r="H101" s="688"/>
      <c r="I101" s="63">
        <f>VLOOKUP( $B101, T_Aop[], 4, 1)</f>
        <v>281</v>
      </c>
      <c r="J101" s="454"/>
      <c r="K101" s="460">
        <f>IF(AND([0]!Godina=2025,MID(Osnovni_podaci!D20,3,1)="S",Osnovni_podaci!L24=4,Osnovni_podaci!G24=0,MID(Osnovni_podaci!D20,3,1)="S",MID(Osnovni_podaci!D20,8,1)="k"),SUBTOTAL( 9, K102:K105),A1)</f>
        <v>1610299</v>
      </c>
      <c r="L101" s="492">
        <f>IF(AND([0]!Godina=2025,MID(Osnovni_podaci!D20,3,1)="S",Osnovni_podaci!L24=4,Osnovni_podaci!G24=0,MID(Osnovni_podaci!D20,3,1)="S",MID(Osnovni_podaci!D20,8,1)="k"),SUBTOTAL( 9, L102:L105),A1)</f>
        <v>1439259</v>
      </c>
      <c r="N101" s="44"/>
      <c r="P101" s="183"/>
    </row>
    <row r="102" spans="2:16" ht="22.9" customHeight="1" x14ac:dyDescent="0.2">
      <c r="B102" s="15">
        <v>220</v>
      </c>
      <c r="C102" s="58" t="str">
        <f>IF(AND([0]!Godina=2025,MID(Osnovni_podaci!D20,3,1)="S",Osnovni_podaci!L24=4,Osnovni_podaci!G24=0,MID(Osnovni_podaci!D20,3,1)="S",MID(Osnovni_podaci!D20,8,1)="k"),VLOOKUP( $B102, T_Aop[], 5, 1),A1)</f>
        <v>684, 584 neto prikaz</v>
      </c>
      <c r="D102" s="683" t="str">
        <f>IF(AND([0]!Godina=2025,MID(Osnovni_podaci!D20,3,1)="S",Osnovni_podaci!L24=4,Osnovni_podaci!G24=0,MID(Osnovni_podaci!D20,3,1)="S",MID(Osnovni_podaci!D20,8,1)="k"),VLOOKUP( $B102, T_Aop[], 6, 1),A1)</f>
        <v xml:space="preserve">      2.1  Neto dobici od usklađivanja vrijednosti dugoročnih finansijskih sredstava </v>
      </c>
      <c r="E102" s="684"/>
      <c r="F102" s="684"/>
      <c r="G102" s="684"/>
      <c r="H102" s="685"/>
      <c r="I102" s="59">
        <f>VLOOKUP( $B102, T_Aop[], 4, 1)</f>
        <v>282</v>
      </c>
      <c r="J102" s="456"/>
      <c r="K102" s="456">
        <v>910738</v>
      </c>
      <c r="L102" s="457">
        <v>0</v>
      </c>
      <c r="N102" s="44"/>
      <c r="P102" s="183"/>
    </row>
    <row r="103" spans="2:16" ht="22.9" customHeight="1" x14ac:dyDescent="0.2">
      <c r="B103" s="15">
        <v>221</v>
      </c>
      <c r="C103" s="62" t="str">
        <f>IF(AND([0]!Godina=2025,MID(Osnovni_podaci!D20,3,1)="S",Osnovni_podaci!L24=4,Osnovni_podaci!G24=0,MID(Osnovni_podaci!D20,3,1)="S",MID(Osnovni_podaci!D20,8,1)="k"),VLOOKUP( $B103, T_Aop[], 5, 1),A1)</f>
        <v>686, 585 neto prikaz</v>
      </c>
      <c r="D103" s="686" t="str">
        <f>IF(AND([0]!Godina=2025,MID(Osnovni_podaci!D20,3,1)="S",Osnovni_podaci!L24=4,Osnovni_podaci!G24=0,MID(Osnovni_podaci!D20,3,1)="S",MID(Osnovni_podaci!D20,8,1)="k"),VLOOKUP( $B103, T_Aop[], 6, 1),A1)</f>
        <v xml:space="preserve">      2.2  Neto dobici od usklađivanja vrijednosti kratkoročnih finansijskih sredstava (osim potraživanja od kupaca)</v>
      </c>
      <c r="E103" s="687"/>
      <c r="F103" s="687"/>
      <c r="G103" s="687"/>
      <c r="H103" s="688"/>
      <c r="I103" s="63">
        <f>VLOOKUP( $B103, T_Aop[], 4, 1)</f>
        <v>283</v>
      </c>
      <c r="J103" s="454"/>
      <c r="K103" s="454">
        <v>0</v>
      </c>
      <c r="L103" s="455">
        <v>0</v>
      </c>
      <c r="N103" s="44"/>
      <c r="P103" s="183"/>
    </row>
    <row r="104" spans="2:16" ht="22.9" customHeight="1" x14ac:dyDescent="0.2">
      <c r="B104" s="15">
        <v>222</v>
      </c>
      <c r="C104" s="58" t="str">
        <f>IF(AND([0]!Godina=2025,MID(Osnovni_podaci!D20,3,1)="S",Osnovni_podaci!L24=4,Osnovni_podaci!G24=0,MID(Osnovni_podaci!D20,3,1)="S",MID(Osnovni_podaci!D20,8,1)="k"),VLOOKUP( $B104, T_Aop[], 5, 1),A1)</f>
        <v>687, 587 neto prikaz</v>
      </c>
      <c r="D104" s="683" t="str">
        <f>IF(AND([0]!Godina=2025,MID(Osnovni_podaci!D20,3,1)="S",Osnovni_podaci!L24=4,Osnovni_podaci!G24=0,MID(Osnovni_podaci!D20,3,1)="S",MID(Osnovni_podaci!D20,8,1)="k"),VLOOKUP( $B104, T_Aop[], 6, 1),A1)</f>
        <v xml:space="preserve">      2.3  Neto dobici od umanjenja ranije priznatih kreditnih gubitaka usljed obezvređenja potraživanja od kupaca </v>
      </c>
      <c r="E104" s="684"/>
      <c r="F104" s="684"/>
      <c r="G104" s="684"/>
      <c r="H104" s="685"/>
      <c r="I104" s="59">
        <f>VLOOKUP( $B104, T_Aop[], 4, 1)</f>
        <v>284</v>
      </c>
      <c r="J104" s="456"/>
      <c r="K104" s="456">
        <v>699561</v>
      </c>
      <c r="L104" s="457">
        <v>1439259</v>
      </c>
      <c r="N104" s="44"/>
      <c r="P104" s="183"/>
    </row>
    <row r="105" spans="2:16" ht="27.75" customHeight="1" x14ac:dyDescent="0.2">
      <c r="B105" s="15">
        <v>223</v>
      </c>
      <c r="C105" s="62" t="str">
        <f>IF(AND([0]!Godina=2025,MID(Osnovni_podaci!D20,3,1)="S",Osnovni_podaci!L24=4,Osnovni_podaci!G24=0,MID(Osnovni_podaci!D20,3,1)="S",MID(Osnovni_podaci!D20,8,1)="k"),VLOOKUP( $B105, T_Aop[], 5, 1),A1)</f>
        <v>dio 689, dio 589 neto prikaz</v>
      </c>
      <c r="D105" s="686" t="str">
        <f>IF(AND([0]!Godina=2025,MID(Osnovni_podaci!D20,3,1)="S",Osnovni_podaci!L24=4,Osnovni_podaci!G24=0,MID(Osnovni_podaci!D20,3,1)="S",MID(Osnovni_podaci!D20,8,1)="k"),VLOOKUP( $B105, T_Aop[], 6, 1),A1)</f>
        <v xml:space="preserve">      2.4  Neto dobici od usklađivanja vrijednosti ostalih finansijskih sredstava</v>
      </c>
      <c r="E105" s="687"/>
      <c r="F105" s="687"/>
      <c r="G105" s="687"/>
      <c r="H105" s="688"/>
      <c r="I105" s="63">
        <f>VLOOKUP( $B105, T_Aop[], 4, 1)</f>
        <v>285</v>
      </c>
      <c r="J105" s="454"/>
      <c r="K105" s="454">
        <v>0</v>
      </c>
      <c r="L105" s="455">
        <v>0</v>
      </c>
      <c r="N105" s="44"/>
      <c r="P105" s="183"/>
    </row>
    <row r="106" spans="2:16" ht="15.2" customHeight="1" x14ac:dyDescent="0.2">
      <c r="B106" s="15">
        <v>224</v>
      </c>
      <c r="C106" s="187" t="str">
        <f>IF(AND([0]!Godina=2025,MID(Osnovni_podaci!D20,3,1)="S",Osnovni_podaci!L24=4,Osnovni_podaci!G24=0,MID(Osnovni_podaci!D20,3,1)="S",MID(Osnovni_podaci!D20,8,1)="k"),VLOOKUP( $B106, T_Aop[], 5, 1),A1)</f>
        <v>58</v>
      </c>
      <c r="D106" s="706" t="str">
        <f>IF(AND([0]!Godina=2025,MID(Osnovni_podaci!D20,3,1)="S",Osnovni_podaci!L24=4,Osnovni_podaci!G24=0,MID(Osnovni_podaci!D20,3,1)="S",MID(Osnovni_podaci!D20,8,1)="k"),VLOOKUP( $B106, T_Aop[], 6, 1),A1)</f>
        <v xml:space="preserve">  II  RASHODI OD USKLAĐIVANJA VRIJEDNOSTI IMOVINE (287 + 294)</v>
      </c>
      <c r="E106" s="707"/>
      <c r="F106" s="707"/>
      <c r="G106" s="707"/>
      <c r="H106" s="708"/>
      <c r="I106" s="178">
        <f>VLOOKUP( $B106, T_Aop[], 4, 1)</f>
        <v>286</v>
      </c>
      <c r="J106" s="456"/>
      <c r="K106" s="60">
        <f>IF(AND([0]!Godina=2025,MID(Osnovni_podaci!D20,3,1)="S",Osnovni_podaci!L24=4,Osnovni_podaci!G24=0,MID(Osnovni_podaci!D20,3,1)="S",MID(Osnovni_podaci!D20,8,1)="k"),SUBTOTAL( 9, K107:K118),A1)</f>
        <v>213667</v>
      </c>
      <c r="L106" s="61">
        <f>IF(AND([0]!Godina=2025,MID(Osnovni_podaci!D20,3,1)="S",Osnovni_podaci!L24=4,Osnovni_podaci!G24=0,MID(Osnovni_podaci!D20,3,1)="S",MID(Osnovni_podaci!D20,8,1)="k"),SUBTOTAL( 9, L107:L118),A1)</f>
        <v>147108</v>
      </c>
      <c r="N106" s="44"/>
      <c r="P106" s="183"/>
    </row>
    <row r="107" spans="2:16" ht="13.9" customHeight="1" x14ac:dyDescent="0.2">
      <c r="B107" s="15">
        <v>225</v>
      </c>
      <c r="C107" s="62">
        <f>IF(AND([0]!Godina=2025,MID(Osnovni_podaci!D20,3,1)="S",Osnovni_podaci!L24=4,Osnovni_podaci!G24=0,MID(Osnovni_podaci!D20,3,1)="S",MID(Osnovni_podaci!D20,8,1)="k"),VLOOKUP( $B107, T_Aop[], 5, 1),A1)</f>
        <v>0</v>
      </c>
      <c r="D107" s="686" t="str">
        <f>IF(AND([0]!Godina=2025,MID(Osnovni_podaci!D20,3,1)="S",Osnovni_podaci!L24=4,Osnovni_podaci!G24=0,MID(Osnovni_podaci!D20,3,1)="S",MID(Osnovni_podaci!D20,8,1)="k"),VLOOKUP( $B107, T_Aop[], 6, 1),A1)</f>
        <v xml:space="preserve">    1.  Rashodi od usklađivanja vrijednosti imovine (osim finansijske) (288 do 293)</v>
      </c>
      <c r="E107" s="687"/>
      <c r="F107" s="687"/>
      <c r="G107" s="687"/>
      <c r="H107" s="688"/>
      <c r="I107" s="63">
        <f>VLOOKUP( $B107, T_Aop[], 4, 1)</f>
        <v>287</v>
      </c>
      <c r="J107" s="454"/>
      <c r="K107" s="460">
        <f>IF(AND([0]!Godina=2025,MID(Osnovni_podaci!D20,3,1)="S",Osnovni_podaci!L24=4,Osnovni_podaci!G24=0,MID(Osnovni_podaci!D20,3,1)="S",MID(Osnovni_podaci!D20,8,1)="k"),SUBTOTAL( 9, K108:K113),A1)</f>
        <v>0</v>
      </c>
      <c r="L107" s="461">
        <f>IF(AND([0]!Godina=2025,MID(Osnovni_podaci!D20,3,1)="S",Osnovni_podaci!L24=4,Osnovni_podaci!G24=0,MID(Osnovni_podaci!D20,3,1)="S",MID(Osnovni_podaci!D20,8,1)="k"),SUBTOTAL( 9, L108:L113),A1)</f>
        <v>0</v>
      </c>
      <c r="N107" s="44"/>
      <c r="P107" s="183"/>
    </row>
    <row r="108" spans="2:16" ht="22.9" customHeight="1" x14ac:dyDescent="0.2">
      <c r="B108" s="15">
        <v>226</v>
      </c>
      <c r="C108" s="58" t="str">
        <f>IF(AND([0]!Godina=2025,MID(Osnovni_podaci!D20,3,1)="S",Osnovni_podaci!L24=4,Osnovni_podaci!G24=0,MID(Osnovni_podaci!D20,3,1)="S",MID(Osnovni_podaci!D20,8,1)="k"),VLOOKUP( $B108, T_Aop[], 5, 1),A1)</f>
        <v>580, 680 neto prikaz</v>
      </c>
      <c r="D108" s="683" t="str">
        <f>IF(AND([0]!Godina=2025,MID(Osnovni_podaci!D20,3,1)="S",Osnovni_podaci!L24=4,Osnovni_podaci!G24=0,MID(Osnovni_podaci!D20,3,1)="S",MID(Osnovni_podaci!D20,8,1)="k"),VLOOKUP( $B108, T_Aop[], 6, 1),A1)</f>
        <v xml:space="preserve">      1.1. Neto gubici po osnovu obezvređenja nematerijalnih sredstava</v>
      </c>
      <c r="E108" s="684"/>
      <c r="F108" s="684"/>
      <c r="G108" s="684"/>
      <c r="H108" s="685"/>
      <c r="I108" s="59">
        <f>VLOOKUP( $B108, T_Aop[], 4, 1)</f>
        <v>288</v>
      </c>
      <c r="J108" s="456"/>
      <c r="K108" s="456">
        <v>0</v>
      </c>
      <c r="L108" s="457">
        <v>0</v>
      </c>
      <c r="N108" s="44"/>
      <c r="P108" s="183"/>
    </row>
    <row r="109" spans="2:16" ht="22.9" customHeight="1" x14ac:dyDescent="0.2">
      <c r="B109" s="15">
        <v>227</v>
      </c>
      <c r="C109" s="62" t="str">
        <f>IF(AND([0]!Godina=2025,MID(Osnovni_podaci!D20,3,1)="S",Osnovni_podaci!L24=4,Osnovni_podaci!G24=0,MID(Osnovni_podaci!D20,3,1)="S",MID(Osnovni_podaci!D20,8,1)="k"),VLOOKUP( $B109, T_Aop[], 5, 1),A1)</f>
        <v>581, 681 neto prikaz</v>
      </c>
      <c r="D109" s="686" t="str">
        <f>IF(AND([0]!Godina=2025,MID(Osnovni_podaci!D20,3,1)="S",Osnovni_podaci!L24=4,Osnovni_podaci!G24=0,MID(Osnovni_podaci!D20,3,1)="S",MID(Osnovni_podaci!D20,8,1)="k"),VLOOKUP( $B109, T_Aop[], 6, 1),A1)</f>
        <v xml:space="preserve">      1.2. Neto gubici po osnovu obezvređenja nekretnina, postrojenja i opreme</v>
      </c>
      <c r="E109" s="687"/>
      <c r="F109" s="687"/>
      <c r="G109" s="687"/>
      <c r="H109" s="688"/>
      <c r="I109" s="63">
        <f>VLOOKUP( $B109, T_Aop[], 4, 1)</f>
        <v>289</v>
      </c>
      <c r="J109" s="454"/>
      <c r="K109" s="454">
        <v>0</v>
      </c>
      <c r="L109" s="455">
        <v>0</v>
      </c>
      <c r="N109" s="44"/>
      <c r="P109" s="183"/>
    </row>
    <row r="110" spans="2:16" ht="22.9" customHeight="1" x14ac:dyDescent="0.2">
      <c r="B110" s="15">
        <v>228</v>
      </c>
      <c r="C110" s="58" t="str">
        <f>IF(AND([0]!Godina=2025,MID(Osnovni_podaci!D20,3,1)="S",Osnovni_podaci!L24=4,Osnovni_podaci!G24=0,MID(Osnovni_podaci!D20,3,1)="S",MID(Osnovni_podaci!D20,8,1)="k"),VLOOKUP( $B110, T_Aop[], 5, 1),A1)</f>
        <v>582, 682 neto prikaz</v>
      </c>
      <c r="D110" s="683" t="str">
        <f>IF(AND([0]!Godina=2025,MID(Osnovni_podaci!D20,3,1)="S",Osnovni_podaci!L24=4,Osnovni_podaci!G24=0,MID(Osnovni_podaci!D20,3,1)="S",MID(Osnovni_podaci!D20,8,1)="k"),VLOOKUP( $B110, T_Aop[], 6, 1),A1)</f>
        <v xml:space="preserve">      1.3. Neto gubici po osnovu obezvređenja investicionih nekretnina koje se vrednuju po nabavnoj vrijednosti</v>
      </c>
      <c r="E110" s="684"/>
      <c r="F110" s="684"/>
      <c r="G110" s="684"/>
      <c r="H110" s="685"/>
      <c r="I110" s="59">
        <f>VLOOKUP( $B110, T_Aop[], 4, 1)</f>
        <v>290</v>
      </c>
      <c r="J110" s="456"/>
      <c r="K110" s="456">
        <v>0</v>
      </c>
      <c r="L110" s="457">
        <v>0</v>
      </c>
      <c r="N110" s="44"/>
      <c r="P110" s="183"/>
    </row>
    <row r="111" spans="2:16" ht="22.9" customHeight="1" x14ac:dyDescent="0.2">
      <c r="B111" s="15">
        <v>229</v>
      </c>
      <c r="C111" s="62" t="str">
        <f>IF(AND([0]!Godina=2025,MID(Osnovni_podaci!D20,3,1)="S",Osnovni_podaci!L24=4,Osnovni_podaci!G24=0,MID(Osnovni_podaci!D20,3,1)="S",MID(Osnovni_podaci!D20,8,1)="k"),VLOOKUP( $B111, T_Aop[], 5, 1),A1)</f>
        <v>583, 683 neto prikaz</v>
      </c>
      <c r="D111" s="686" t="str">
        <f>IF(AND([0]!Godina=2025,MID(Osnovni_podaci!D20,3,1)="S",Osnovni_podaci!L24=4,Osnovni_podaci!G24=0,MID(Osnovni_podaci!D20,3,1)="S",MID(Osnovni_podaci!D20,8,1)="k"),VLOOKUP( $B111, T_Aop[], 6, 1),A1)</f>
        <v xml:space="preserve">      1.4. Neto gubici po osnovu obezvređenja bioloških sredstva koje se vrednuju po nabavnoj vrijednosti</v>
      </c>
      <c r="E111" s="687"/>
      <c r="F111" s="687"/>
      <c r="G111" s="687"/>
      <c r="H111" s="688"/>
      <c r="I111" s="63">
        <f>VLOOKUP( $B111, T_Aop[], 4, 1)</f>
        <v>291</v>
      </c>
      <c r="J111" s="454"/>
      <c r="K111" s="454">
        <v>0</v>
      </c>
      <c r="L111" s="455">
        <v>0</v>
      </c>
      <c r="N111" s="44"/>
      <c r="P111" s="183"/>
    </row>
    <row r="112" spans="2:16" ht="22.9" customHeight="1" x14ac:dyDescent="0.2">
      <c r="B112" s="15">
        <v>230</v>
      </c>
      <c r="C112" s="58" t="str">
        <f>IF(AND([0]!Godina=2025,MID(Osnovni_podaci!D20,3,1)="S",Osnovni_podaci!L24=4,Osnovni_podaci!G24=0,MID(Osnovni_podaci!D20,3,1)="S",MID(Osnovni_podaci!D20,8,1)="k"),VLOOKUP( $B112, T_Aop[], 5, 1),A1)</f>
        <v>585, 685 neto prikaz</v>
      </c>
      <c r="D112" s="683" t="str">
        <f>IF(AND([0]!Godina=2025,MID(Osnovni_podaci!D20,3,1)="S",Osnovni_podaci!L24=4,Osnovni_podaci!G24=0,MID(Osnovni_podaci!D20,3,1)="S",MID(Osnovni_podaci!D20,8,1)="k"),VLOOKUP( $B112, T_Aop[], 6, 1),A1)</f>
        <v xml:space="preserve">      1.5. Neto gubici od usklađivanja vrijednosti zaliha materijala i robe </v>
      </c>
      <c r="E112" s="684"/>
      <c r="F112" s="684"/>
      <c r="G112" s="684"/>
      <c r="H112" s="685"/>
      <c r="I112" s="59">
        <f>VLOOKUP( $B112, T_Aop[], 4, 1)</f>
        <v>292</v>
      </c>
      <c r="J112" s="456"/>
      <c r="K112" s="456">
        <v>0</v>
      </c>
      <c r="L112" s="457">
        <v>0</v>
      </c>
      <c r="N112" s="44"/>
      <c r="P112" s="183"/>
    </row>
    <row r="113" spans="2:16" ht="22.9" customHeight="1" x14ac:dyDescent="0.2">
      <c r="B113" s="15">
        <v>231</v>
      </c>
      <c r="C113" s="62" t="str">
        <f>IF(AND([0]!Godina=2025,MID(Osnovni_podaci!D20,3,1)="S",Osnovni_podaci!L24=4,Osnovni_podaci!G24=0,MID(Osnovni_podaci!D20,3,1)="S",MID(Osnovni_podaci!D20,8,1)="k"),VLOOKUP( $B113, T_Aop[], 5, 1),A1)</f>
        <v>588, dio 589, 688, dio 689 neto prikaz</v>
      </c>
      <c r="D113" s="686" t="str">
        <f>IF(AND([0]!Godina=2025,MID(Osnovni_podaci!D20,3,1)="S",Osnovni_podaci!L24=4,Osnovni_podaci!G24=0,MID(Osnovni_podaci!D20,3,1)="S",MID(Osnovni_podaci!D20,8,1)="k"),VLOOKUP( $B113, T_Aop[], 6, 1),A1)</f>
        <v xml:space="preserve">      1.6. Neto gubici od usklađivanja vrijednosti stalnih sredstava namijenjenih prodaji, sredstava poslovanja koje se obustavlja i ostalih nefinansijskih sredstava</v>
      </c>
      <c r="E113" s="687"/>
      <c r="F113" s="687"/>
      <c r="G113" s="687"/>
      <c r="H113" s="688"/>
      <c r="I113" s="63">
        <f>VLOOKUP( $B113, T_Aop[], 4, 1)</f>
        <v>293</v>
      </c>
      <c r="J113" s="454"/>
      <c r="K113" s="454">
        <v>0</v>
      </c>
      <c r="L113" s="455">
        <v>0</v>
      </c>
      <c r="N113" s="44"/>
      <c r="P113" s="183"/>
    </row>
    <row r="114" spans="2:16" ht="15.2" customHeight="1" x14ac:dyDescent="0.2">
      <c r="B114" s="15">
        <v>232</v>
      </c>
      <c r="C114" s="58">
        <f>IF(AND([0]!Godina=2025,MID(Osnovni_podaci!D20,3,1)="S",Osnovni_podaci!L24=4,Osnovni_podaci!G24=0,MID(Osnovni_podaci!D20,3,1)="S",MID(Osnovni_podaci!D20,8,1)="k"),VLOOKUP( $B114, T_Aop[], 5, 1),A1)</f>
        <v>0</v>
      </c>
      <c r="D114" s="683" t="str">
        <f>IF(AND([0]!Godina=2025,MID(Osnovni_podaci!D20,3,1)="S",Osnovni_podaci!L24=4,Osnovni_podaci!G24=0,MID(Osnovni_podaci!D20,3,1)="S",MID(Osnovni_podaci!D20,8,1)="k"),VLOOKUP( $B114, T_Aop[], 6, 1),A1)</f>
        <v xml:space="preserve">    2.  Gubici od usklađivanja vrijednosti finansijskih sredstava (295 do 298)</v>
      </c>
      <c r="E114" s="684"/>
      <c r="F114" s="684"/>
      <c r="G114" s="684"/>
      <c r="H114" s="685"/>
      <c r="I114" s="59">
        <f>VLOOKUP( $B114, T_Aop[], 4, 1)</f>
        <v>294</v>
      </c>
      <c r="J114" s="456"/>
      <c r="K114" s="458">
        <f>IF(AND([0]!Godina=2025,MID(Osnovni_podaci!D20,3,1)="S",Osnovni_podaci!L24=4,Osnovni_podaci!G24=0,MID(Osnovni_podaci!D20,3,1)="S",MID(Osnovni_podaci!D20,8,1)="k"),SUBTOTAL( 9, K115:K118),A1)</f>
        <v>213667</v>
      </c>
      <c r="L114" s="459">
        <f>IF(AND([0]!Godina=2025,MID(Osnovni_podaci!D20,3,1)="S",Osnovni_podaci!L24=4,Osnovni_podaci!G24=0,MID(Osnovni_podaci!D20,3,1)="S",MID(Osnovni_podaci!D20,8,1)="k"),SUBTOTAL( 9, L115:L118),A1)</f>
        <v>147108</v>
      </c>
      <c r="N114" s="44"/>
      <c r="P114" s="183"/>
    </row>
    <row r="115" spans="2:16" ht="22.9" customHeight="1" x14ac:dyDescent="0.2">
      <c r="B115" s="15">
        <v>233</v>
      </c>
      <c r="C115" s="62" t="str">
        <f>IF(AND([0]!Godina=2025,MID(Osnovni_podaci!D20,3,1)="S",Osnovni_podaci!L24=4,Osnovni_podaci!G24=0,MID(Osnovni_podaci!D20,3,1)="S",MID(Osnovni_podaci!D20,8,1)="k"),VLOOKUP( $B115, T_Aop[], 5, 1),A1)</f>
        <v>584, 684 neto prikaz</v>
      </c>
      <c r="D115" s="686" t="str">
        <f>IF(AND([0]!Godina=2025,MID(Osnovni_podaci!D20,3,1)="S",Osnovni_podaci!L24=4,Osnovni_podaci!G24=0,MID(Osnovni_podaci!D20,3,1)="S",MID(Osnovni_podaci!D20,8,1)="k"),VLOOKUP( $B115, T_Aop[], 6, 1),A1)</f>
        <v xml:space="preserve">      2.1 Neto gubici od usklađivanja vrijednosti dugoročnih finansijskih sredstava</v>
      </c>
      <c r="E115" s="687"/>
      <c r="F115" s="687"/>
      <c r="G115" s="687"/>
      <c r="H115" s="688"/>
      <c r="I115" s="63">
        <f>VLOOKUP( $B115, T_Aop[], 4, 1)</f>
        <v>295</v>
      </c>
      <c r="J115" s="454"/>
      <c r="K115" s="454">
        <v>0</v>
      </c>
      <c r="L115" s="455">
        <v>35100</v>
      </c>
      <c r="N115" s="44"/>
      <c r="P115" s="183"/>
    </row>
    <row r="116" spans="2:16" ht="22.9" customHeight="1" x14ac:dyDescent="0.2">
      <c r="B116" s="15">
        <v>234</v>
      </c>
      <c r="C116" s="58" t="str">
        <f>IF(AND([0]!Godina=2025,MID(Osnovni_podaci!D20,3,1)="S",Osnovni_podaci!L24=4,Osnovni_podaci!G24=0,MID(Osnovni_podaci!D20,3,1)="S",MID(Osnovni_podaci!D20,8,1)="k"),VLOOKUP( $B116, T_Aop[], 5, 1),A1)</f>
        <v>586, 686 neto prikaz</v>
      </c>
      <c r="D116" s="683" t="str">
        <f>IF(AND([0]!Godina=2025,MID(Osnovni_podaci!D20,3,1)="S",Osnovni_podaci!L24=4,Osnovni_podaci!G24=0,MID(Osnovni_podaci!D20,3,1)="S",MID(Osnovni_podaci!D20,8,1)="k"),VLOOKUP( $B116, T_Aop[], 6, 1),A1)</f>
        <v xml:space="preserve">      2.2  Neto gubici od usklađivanja vrijednosti kratkoročnih finansijskih sredstava (osim potraživanja od kupaca)</v>
      </c>
      <c r="E116" s="684"/>
      <c r="F116" s="684"/>
      <c r="G116" s="684"/>
      <c r="H116" s="685"/>
      <c r="I116" s="59">
        <f>VLOOKUP( $B116, T_Aop[], 4, 1)</f>
        <v>296</v>
      </c>
      <c r="J116" s="456"/>
      <c r="K116" s="456">
        <v>213667</v>
      </c>
      <c r="L116" s="457">
        <v>112008</v>
      </c>
      <c r="N116" s="44"/>
      <c r="P116" s="184" t="s">
        <v>313</v>
      </c>
    </row>
    <row r="117" spans="2:16" ht="22.9" customHeight="1" x14ac:dyDescent="0.2">
      <c r="B117" s="15">
        <v>235</v>
      </c>
      <c r="C117" s="62" t="str">
        <f>IF(AND([0]!Godina=2025,MID(Osnovni_podaci!D20,3,1)="S",Osnovni_podaci!L24=4,Osnovni_podaci!G24=0,MID(Osnovni_podaci!D20,3,1)="S",MID(Osnovni_podaci!D20,8,1)="k"),VLOOKUP( $B117, T_Aop[], 5, 1),A1)</f>
        <v>587, 687 neto prikaz</v>
      </c>
      <c r="D117" s="686" t="str">
        <f>IF(AND([0]!Godina=2025,MID(Osnovni_podaci!D20,3,1)="S",Osnovni_podaci!L24=4,Osnovni_podaci!G24=0,MID(Osnovni_podaci!D20,3,1)="S",MID(Osnovni_podaci!D20,8,1)="k"),VLOOKUP( $B117, T_Aop[], 6, 1),A1)</f>
        <v xml:space="preserve">      2.3 Neto gubici od usklađivanja vrijednosti potraživanja od kupaca</v>
      </c>
      <c r="E117" s="687"/>
      <c r="F117" s="687"/>
      <c r="G117" s="687"/>
      <c r="H117" s="688"/>
      <c r="I117" s="63">
        <f>VLOOKUP( $B117, T_Aop[], 4, 1)</f>
        <v>297</v>
      </c>
      <c r="J117" s="454"/>
      <c r="K117" s="454">
        <v>0</v>
      </c>
      <c r="L117" s="455">
        <v>0</v>
      </c>
      <c r="N117" s="44"/>
      <c r="P117" s="184" t="s">
        <v>313</v>
      </c>
    </row>
    <row r="118" spans="2:16" ht="22.9" customHeight="1" x14ac:dyDescent="0.2">
      <c r="B118" s="15">
        <v>236</v>
      </c>
      <c r="C118" s="58" t="str">
        <f>IF(AND([0]!Godina=2025,MID(Osnovni_podaci!D20,3,1)="S",Osnovni_podaci!L24=4,Osnovni_podaci!G24=0,MID(Osnovni_podaci!D20,3,1)="S",MID(Osnovni_podaci!D20,8,1)="k"),VLOOKUP( $B118, T_Aop[], 5, 1),A1)</f>
        <v>dio 589, dio 689neto prikaz</v>
      </c>
      <c r="D118" s="683" t="str">
        <f>IF(AND([0]!Godina=2025,MID(Osnovni_podaci!D20,3,1)="S",Osnovni_podaci!L24=4,Osnovni_podaci!G24=0,MID(Osnovni_podaci!D20,3,1)="S",MID(Osnovni_podaci!D20,8,1)="k"),VLOOKUP( $B118, T_Aop[], 6, 1),A1)</f>
        <v xml:space="preserve">      2.4  Neto gubici od usklađivanja vrijednosti ostalih finansijskih sredstava</v>
      </c>
      <c r="E118" s="684"/>
      <c r="F118" s="684"/>
      <c r="G118" s="684"/>
      <c r="H118" s="685"/>
      <c r="I118" s="59">
        <f>VLOOKUP( $B118, T_Aop[], 4, 1)</f>
        <v>298</v>
      </c>
      <c r="J118" s="456"/>
      <c r="K118" s="456">
        <v>0</v>
      </c>
      <c r="L118" s="457">
        <v>0</v>
      </c>
      <c r="N118" s="44"/>
      <c r="P118" s="183"/>
    </row>
    <row r="119" spans="2:16" ht="15.2" customHeight="1" x14ac:dyDescent="0.2">
      <c r="B119" s="15">
        <v>237</v>
      </c>
      <c r="C119" s="66">
        <f>IF(AND([0]!Godina=2025,MID(Osnovni_podaci!D20,3,1)="S",Osnovni_podaci!L24=4,Osnovni_podaci!G24=0,MID(Osnovni_podaci!D20,3,1)="S",MID(Osnovni_podaci!D20,8,1)="k"),VLOOKUP( $B119, T_Aop[], 5, 1),A1)</f>
        <v>0</v>
      </c>
      <c r="D119" s="703" t="str">
        <f>IF(AND([0]!Godina=2025,MID(Osnovni_podaci!D20,3,1)="S",Osnovni_podaci!L24=4,Osnovni_podaci!G24=0,MID(Osnovni_podaci!D20,3,1)="S",MID(Osnovni_podaci!D20,8,1)="k"),VLOOKUP( $B119, T_Aop[], 6, 1),A1)</f>
        <v xml:space="preserve">  J. DOBITAK PO OSNOVU USKLAĐIVANJA VRIJEDNOSTI IMOVINE (273 – 286) </v>
      </c>
      <c r="E119" s="704"/>
      <c r="F119" s="704"/>
      <c r="G119" s="704"/>
      <c r="H119" s="705"/>
      <c r="I119" s="179">
        <f>VLOOKUP( $B119, T_Aop[], 4, 1)</f>
        <v>299</v>
      </c>
      <c r="J119" s="454"/>
      <c r="K119" s="67">
        <f>IF(AND([0]!Godina=2025,MID(Osnovni_podaci!D20,3,1)="S",Osnovni_podaci!L24=4,Osnovni_podaci!G24=0,MID(Osnovni_podaci!D20,3,1)="S",MID(Osnovni_podaci!D20,8,1)="k"),IF( SUBTOTAL( 9, K94:K105) - SUBTOTAL( 9, K106:K118) &lt;= 0, 0, ABS( SUBTOTAL( 9, K94:K105) - SUBTOTAL( 9, K106:K118)) ),A1)</f>
        <v>1396632</v>
      </c>
      <c r="L119" s="68">
        <f>IF(AND([0]!Godina=2025,MID(Osnovni_podaci!D20,3,1)="S",Osnovni_podaci!L24=4,Osnovni_podaci!G24=0,MID(Osnovni_podaci!D20,3,1)="S",MID(Osnovni_podaci!D20,8,1)="k"),IF( SUBTOTAL( 9, L94:L105) - SUBTOTAL( 9, L106:L118) &lt;= 0, 0, ABS( SUBTOTAL( 9, L94:L105) - SUBTOTAL( 9, L106:L118)) ),A1)</f>
        <v>1292151</v>
      </c>
      <c r="N119" s="44"/>
      <c r="P119" s="183"/>
    </row>
    <row r="120" spans="2:16" ht="15.2" customHeight="1" x14ac:dyDescent="0.2">
      <c r="B120" s="15">
        <v>238</v>
      </c>
      <c r="C120" s="58">
        <f>IF(AND([0]!Godina=2025,MID(Osnovni_podaci!D20,3,1)="S",Osnovni_podaci!L24=4,Osnovni_podaci!G24=0,MID(Osnovni_podaci!D20,3,1)="S",MID(Osnovni_podaci!D20,8,1)="k"),VLOOKUP( $B120, T_Aop[], 5, 1),A1)</f>
        <v>0</v>
      </c>
      <c r="D120" s="706" t="str">
        <f>IF(AND([0]!Godina=2025,MID(Osnovni_podaci!D20,3,1)="S",Osnovni_podaci!L24=4,Osnovni_podaci!G24=0,MID(Osnovni_podaci!D20,3,1)="S",MID(Osnovni_podaci!D20,8,1)="k"),VLOOKUP( $B120, T_Aop[], 6, 1),A1)</f>
        <v xml:space="preserve">  K. GUBITAK PO OSNOVU USKLAĐIVANJA VRIJEDNOSTI IMOVINE (286 – 273)</v>
      </c>
      <c r="E120" s="707"/>
      <c r="F120" s="707"/>
      <c r="G120" s="707"/>
      <c r="H120" s="708"/>
      <c r="I120" s="178">
        <f>VLOOKUP( $B120, T_Aop[], 4, 1)</f>
        <v>300</v>
      </c>
      <c r="J120" s="456"/>
      <c r="K120" s="254">
        <f>IF(AND([0]!Godina=2025,MID(Osnovni_podaci!D20,3,1)="S",Osnovni_podaci!L24=4,Osnovni_podaci!G24=0,MID(Osnovni_podaci!D20,3,1)="S",MID(Osnovni_podaci!D20,8,1)="k"),IF( SUBTOTAL( 9, K94:K105) - SUBTOTAL( 9, K106:K118) &gt;= 0, 0, ABS( SUBTOTAL( 9, K94:K105) - SUBTOTAL( 9, K106:K118)) ),A1)</f>
        <v>0</v>
      </c>
      <c r="L120" s="493">
        <f>IF(AND([0]!Godina=2025,MID(Osnovni_podaci!D20,3,1)="S",Osnovni_podaci!L24=4,Osnovni_podaci!G24=0,MID(Osnovni_podaci!D20,3,1)="S",MID(Osnovni_podaci!D20,8,1)="k"),IF( SUBTOTAL( 9, L94:L105) - SUBTOTAL( 9, L106:L118) &gt;= 0, 0, ABS( SUBTOTAL( 9, L94:L105) - SUBTOTAL( 9, L106:L118)) ),A1)</f>
        <v>0</v>
      </c>
      <c r="N120" s="44"/>
      <c r="P120" s="183"/>
    </row>
    <row r="121" spans="2:16" ht="22.9" customHeight="1" x14ac:dyDescent="0.2">
      <c r="B121" s="15">
        <v>239</v>
      </c>
      <c r="C121" s="66" t="str">
        <f>IF(AND([0]!Godina=2025,MID(Osnovni_podaci!D20,3,1)="S",Osnovni_podaci!L24=4,Osnovni_podaci!G24=0,MID(Osnovni_podaci!D20,3,1)="S",MID(Osnovni_podaci!D20,8,1)="k"),VLOOKUP( $B121, T_Aop[], 5, 1),A1)</f>
        <v>690 i 691</v>
      </c>
      <c r="D121" s="703" t="str">
        <f>IF(AND([0]!Godina=2025,MID(Osnovni_podaci!D20,3,1)="S",Osnovni_podaci!L24=4,Osnovni_podaci!G24=0,MID(Osnovni_podaci!D20,3,1)="S",MID(Osnovni_podaci!D20,8,1)="k"),VLOOKUP( $B121, T_Aop[], 6, 1),A1)</f>
        <v xml:space="preserve">  L. Prihodi po osnovu promjene računovodstvenih politika i ispravke grešaka iz ranijih godina </v>
      </c>
      <c r="E121" s="704"/>
      <c r="F121" s="704"/>
      <c r="G121" s="704"/>
      <c r="H121" s="705"/>
      <c r="I121" s="179">
        <f>VLOOKUP( $B121, T_Aop[], 4, 1)</f>
        <v>301</v>
      </c>
      <c r="J121" s="454"/>
      <c r="K121" s="161">
        <v>10156</v>
      </c>
      <c r="L121" s="162">
        <v>13931</v>
      </c>
      <c r="N121" s="44"/>
      <c r="P121" s="183"/>
    </row>
    <row r="122" spans="2:16" ht="13.9" customHeight="1" x14ac:dyDescent="0.2">
      <c r="B122" s="15">
        <v>240</v>
      </c>
      <c r="C122" s="58" t="str">
        <f>IF(AND([0]!Godina=2025,MID(Osnovni_podaci!D20,3,1)="S",Osnovni_podaci!L24=4,Osnovni_podaci!G24=0,MID(Osnovni_podaci!D20,3,1)="S",MID(Osnovni_podaci!D20,8,1)="k"),VLOOKUP( $B122, T_Aop[], 5, 1),A1)</f>
        <v>590 i 591</v>
      </c>
      <c r="D122" s="706" t="str">
        <f>IF(AND([0]!Godina=2025,MID(Osnovni_podaci!D20,3,1)="S",Osnovni_podaci!L24=4,Osnovni_podaci!G24=0,MID(Osnovni_podaci!D20,3,1)="S",MID(Osnovni_podaci!D20,8,1)="k"),VLOOKUP( $B122, T_Aop[], 6, 1),A1)</f>
        <v xml:space="preserve">  LJ. Rashodi po osnovu promjene računovodstvenih politika i ispravke grešaka iz ranijih godina</v>
      </c>
      <c r="E122" s="707"/>
      <c r="F122" s="707"/>
      <c r="G122" s="707"/>
      <c r="H122" s="708"/>
      <c r="I122" s="178">
        <f>VLOOKUP( $B122, T_Aop[], 4, 1)</f>
        <v>302</v>
      </c>
      <c r="J122" s="456"/>
      <c r="K122" s="81">
        <v>0</v>
      </c>
      <c r="L122" s="82">
        <v>0</v>
      </c>
      <c r="N122" s="44"/>
      <c r="P122" s="183"/>
    </row>
    <row r="123" spans="2:16" ht="13.9" customHeight="1" x14ac:dyDescent="0.2">
      <c r="B123" s="15">
        <v>241</v>
      </c>
      <c r="C123" s="66">
        <f>IF(AND([0]!Godina=2025,MID(Osnovni_podaci!D20,3,1)="S",Osnovni_podaci!L24=4,Osnovni_podaci!G24=0,MID(Osnovni_podaci!D20,3,1)="S",MID(Osnovni_podaci!D20,8,1)="k"),VLOOKUP( $B123, T_Aop[], 5, 1),A1)</f>
        <v>0</v>
      </c>
      <c r="D123" s="686" t="str">
        <f>IF(AND([0]!Godina=2025,MID(Osnovni_podaci!D20,3,1)="S",Osnovni_podaci!L24=4,Osnovni_podaci!G24=0,MID(Osnovni_podaci!D20,3,1)="S",MID(Osnovni_podaci!D20,8,1)="k"),VLOOKUP( $B123, T_Aop[], 6, 1),A1)</f>
        <v>Udio u dobiti pridruženog društva i zajedničkog poduhvata primjenom metode udjela</v>
      </c>
      <c r="E123" s="687"/>
      <c r="F123" s="687"/>
      <c r="G123" s="687"/>
      <c r="H123" s="688"/>
      <c r="I123" s="63">
        <f>VLOOKUP( $B123, T_Aop[], 4, 1)</f>
        <v>303</v>
      </c>
      <c r="J123" s="454"/>
      <c r="K123" s="462">
        <v>0</v>
      </c>
      <c r="L123" s="463">
        <v>0</v>
      </c>
      <c r="N123" s="44"/>
      <c r="P123" s="183"/>
    </row>
    <row r="124" spans="2:16" ht="13.9" customHeight="1" x14ac:dyDescent="0.2">
      <c r="B124" s="15">
        <v>242</v>
      </c>
      <c r="C124" s="58">
        <f>IF(AND([0]!Godina=2025,MID(Osnovni_podaci!D20,3,1)="S",Osnovni_podaci!L24=4,Osnovni_podaci!G24=0,MID(Osnovni_podaci!D20,3,1)="S",MID(Osnovni_podaci!D20,8,1)="k"),VLOOKUP( $B124, T_Aop[], 5, 1),A1)</f>
        <v>0</v>
      </c>
      <c r="D124" s="683" t="str">
        <f>IF(AND([0]!Godina=2025,MID(Osnovni_podaci!D20,3,1)="S",Osnovni_podaci!L24=4,Osnovni_podaci!G24=0,MID(Osnovni_podaci!D20,3,1)="S",MID(Osnovni_podaci!D20,8,1)="k"),VLOOKUP( $B124, T_Aop[], 6, 1),A1)</f>
        <v>Udio u gubitku pridruženog društva i zajedničkog poduhvata primjenom metode udjela</v>
      </c>
      <c r="E124" s="684"/>
      <c r="F124" s="684"/>
      <c r="G124" s="684"/>
      <c r="H124" s="685"/>
      <c r="I124" s="59">
        <f>VLOOKUP( $B124, T_Aop[], 4, 1)</f>
        <v>304</v>
      </c>
      <c r="J124" s="456"/>
      <c r="K124" s="456">
        <v>0</v>
      </c>
      <c r="L124" s="457">
        <v>0</v>
      </c>
      <c r="N124" s="44"/>
      <c r="P124" s="183"/>
    </row>
    <row r="125" spans="2:16" ht="15.2" customHeight="1" x14ac:dyDescent="0.2">
      <c r="B125" s="15">
        <v>243</v>
      </c>
      <c r="C125" s="464">
        <f>IF(AND([0]!Godina=2025,MID(Osnovni_podaci!D20,3,1)="S",Osnovni_podaci!L24=4,Osnovni_podaci!G24=0,MID(Osnovni_podaci!D20,3,1)="S",MID(Osnovni_podaci!D20,8,1)="k"),VLOOKUP( $B125, T_Aop[], 5, 1),A1)</f>
        <v>0</v>
      </c>
      <c r="D125" s="703" t="str">
        <f>IF(AND([0]!Godina=2025,MID(Osnovni_podaci!D20,3,1)="S",Osnovni_podaci!L24=4,Osnovni_podaci!G24=0,MID(Osnovni_podaci!D20,3,1)="S",MID(Osnovni_podaci!D20,8,1)="k"),VLOOKUP( $B125, T_Aop[], 6, 1),A1)</f>
        <v xml:space="preserve">  UKUPNI PRIHODI (201+239+251+273+301+303)</v>
      </c>
      <c r="E125" s="704"/>
      <c r="F125" s="704"/>
      <c r="G125" s="704"/>
      <c r="H125" s="705"/>
      <c r="I125" s="179">
        <f>VLOOKUP( $B125, T_Aop[], 4, 1)</f>
        <v>305</v>
      </c>
      <c r="J125" s="454"/>
      <c r="K125" s="67">
        <f>IF(AND([0]!Godina=2025,MID(Osnovni_podaci!D20,3,1)="S",Osnovni_podaci!L24=4,Osnovni_podaci!G24=0,MID(Osnovni_podaci!D20,3,1)="S",MID(Osnovni_podaci!D20,8,1)="k"),SUBTOTAL(9, K22:K33, K34, K36, K38, K59:K63, K71:K80, K93:K105,K121, K123)-SUBTOTAL(9,K35,K37),A1)</f>
        <v>117744470</v>
      </c>
      <c r="L125" s="68">
        <f>IF(AND([0]!Godina=2025,MID(Osnovni_podaci!D20,3,1)="S",Osnovni_podaci!L24=4,Osnovni_podaci!G24=0,MID(Osnovni_podaci!D20,3,1)="S",MID(Osnovni_podaci!D20,8,1)="k"),SUBTOTAL(9, L22:L33, L34, L36, L38, L59:L63, L71:L80, L93:L105,L121, L123)-SUBTOTAL(9,L35,L37),A1)</f>
        <v>114375364</v>
      </c>
      <c r="N125" s="44"/>
      <c r="P125" s="183"/>
    </row>
    <row r="126" spans="2:16" ht="17.25" customHeight="1" x14ac:dyDescent="0.2">
      <c r="B126" s="15">
        <v>244</v>
      </c>
      <c r="C126" s="58">
        <f>IF(AND([0]!Godina=2025,MID(Osnovni_podaci!D20,3,1)="S",Osnovni_podaci!L24=4,Osnovni_podaci!G24=0,MID(Osnovni_podaci!D20,3,1)="S",MID(Osnovni_podaci!D20,8,1)="k"),VLOOKUP( $B126, T_Aop[], 5, 1),A1)</f>
        <v>0</v>
      </c>
      <c r="D126" s="706" t="str">
        <f>IF(AND([0]!Godina=2025,MID(Osnovni_podaci!D20,3,1)="S",Osnovni_podaci!L24=4,Osnovni_podaci!G24=0,MID(Osnovni_podaci!D20,3,1)="S",MID(Osnovni_podaci!D20,8,1)="k"),VLOOKUP( $B126, T_Aop[], 6, 1),A1)</f>
        <v xml:space="preserve">  UKUPNI RASHODI (219+244+261+286+302+304)</v>
      </c>
      <c r="E126" s="707"/>
      <c r="F126" s="707"/>
      <c r="G126" s="707"/>
      <c r="H126" s="708"/>
      <c r="I126" s="178">
        <f>VLOOKUP( $B126, T_Aop[], 4, 1)</f>
        <v>306</v>
      </c>
      <c r="J126" s="456"/>
      <c r="K126" s="254">
        <f>IF(AND([0]!Godina=2025,MID(Osnovni_podaci!D20,3,1)="S",Osnovni_podaci!L24=4,Osnovni_podaci!G24=0,MID(Osnovni_podaci!D20,3,1)="S",MID(Osnovni_podaci!D20,8,1)="k"),SUBTOTAL(9, K39:K56, K64:K68, K81:K90, K106:K118,K122,K124),A1)</f>
        <v>112105278</v>
      </c>
      <c r="L126" s="493">
        <f>IF(AND([0]!Godina=2025,MID(Osnovni_podaci!D20,3,1)="S",Osnovni_podaci!L24=4,Osnovni_podaci!G24=0,MID(Osnovni_podaci!D20,3,1)="S",MID(Osnovni_podaci!D20,8,1)="k"),SUBTOTAL(9, L39:L56, L64:L68, L81:L90, L106:L118,L122,L124),A1)</f>
        <v>109906442</v>
      </c>
      <c r="N126" s="44"/>
      <c r="P126" s="183"/>
    </row>
    <row r="127" spans="2:16" ht="23.65" customHeight="1" x14ac:dyDescent="0.2">
      <c r="B127" s="15">
        <v>245</v>
      </c>
      <c r="C127" s="66">
        <f>IF(AND([0]!Godina=2025,MID(Osnovni_podaci!D20,3,1)="S",Osnovni_podaci!L24=4,Osnovni_podaci!G24=0,MID(Osnovni_podaci!D20,3,1)="S",MID(Osnovni_podaci!D20,8,1)="k"),VLOOKUP( $B127, T_Aop[], 5, 1),A1)</f>
        <v>0</v>
      </c>
      <c r="D127" s="703" t="str">
        <f>IF(AND([0]!Godina=2025,MID(Osnovni_podaci!D20,3,1)="S",Osnovni_podaci!L24=4,Osnovni_podaci!G24=0,MID(Osnovni_podaci!D20,3,1)="S",MID(Osnovni_podaci!D20,8,1)="k"),VLOOKUP( $B127, T_Aop[], 6, 1),A1)</f>
        <v xml:space="preserve">  M. DOBIT I GUBITAK PRIJE OPOREZIVANJA
1. Dobit prije oporezivanja (305 – 306)</v>
      </c>
      <c r="E127" s="704"/>
      <c r="F127" s="704"/>
      <c r="G127" s="704"/>
      <c r="H127" s="705"/>
      <c r="I127" s="179">
        <f>VLOOKUP( $B127, T_Aop[], 4, 1)</f>
        <v>307</v>
      </c>
      <c r="J127" s="454"/>
      <c r="K127" s="67">
        <f>IF(AND([0]!Godina=2025,MID(Osnovni_podaci!D20,3,1)="S",Osnovni_podaci!L24=4,Osnovni_podaci!G24=0,MID(Osnovni_podaci!D20,3,1)="S",MID(Osnovni_podaci!D20,8,1)="k"),IF( SUBTOTAL(9, K22:K33, K34, K36, K38, K59:K63, K71:K80, K93:K105, K121, K123)- SUBTOTAL(9,K35, K37, K39:K56, K64:K68, K81:K90, K106:K118, K122, K124) &lt;=  0, 0, ABS( SUBTOTAL(9, K22:K33, K34, K36, K38, K59:K63, K71:K80, K93:K105,K121,K123)- SUBTOTAL(9,K35,K37, K39:K56, K64:K68, K81:K90, K106:K118, K122, K124))),A1)</f>
        <v>5639192</v>
      </c>
      <c r="L127" s="68">
        <f>IF(AND([0]!Godina=2025,MID(Osnovni_podaci!D20,3,1)="S",Osnovni_podaci!L24=4,Osnovni_podaci!G24=0,MID(Osnovni_podaci!D20,3,1)="S",MID(Osnovni_podaci!D20,8,1)="k"),IF( SUBTOTAL(9, L22:L33, L34, L36, L38, L59:L63, L71:L80, L93:L105, L121, L123)- SUBTOTAL(9,L35, L37, L39:L56, L64:L68, L81:L90, L106:L118, L122, L124) &lt;=  0, 0, ABS( SUBTOTAL(9, L22:L33, L34, L36, L38, L59:L63, L71:L80, L93:L105,L121,L123)- SUBTOTAL(9,L35,L37, L39:L56, L64:L68, L81:L90, L106:L118, L122, L124))),A1)</f>
        <v>4468922</v>
      </c>
      <c r="N127" s="44"/>
      <c r="P127" s="183"/>
    </row>
    <row r="128" spans="2:16" ht="17.25" customHeight="1" x14ac:dyDescent="0.2">
      <c r="B128" s="15">
        <v>246</v>
      </c>
      <c r="C128" s="187">
        <f>IF(AND([0]!Godina=2025,MID(Osnovni_podaci!D20,3,1)="S",Osnovni_podaci!L24=4,Osnovni_podaci!G24=0,MID(Osnovni_podaci!D20,3,1)="S",MID(Osnovni_podaci!D20,8,1)="k"),VLOOKUP( $B128, T_Aop[], 5, 1),A1)</f>
        <v>0</v>
      </c>
      <c r="D128" s="706" t="str">
        <f>IF(AND([0]!Godina=2025,MID(Osnovni_podaci!D20,3,1)="S",Osnovni_podaci!L24=4,Osnovni_podaci!G24=0,MID(Osnovni_podaci!D20,3,1)="S",MID(Osnovni_podaci!D20,8,1)="k"),VLOOKUP( $B128, T_Aop[], 6, 1),A1)</f>
        <v xml:space="preserve">  2. Gubitak prije oporezivanja (306 – 305)</v>
      </c>
      <c r="E128" s="707"/>
      <c r="F128" s="707"/>
      <c r="G128" s="707"/>
      <c r="H128" s="708"/>
      <c r="I128" s="178">
        <f>VLOOKUP( $B128, T_Aop[], 4, 1)</f>
        <v>308</v>
      </c>
      <c r="J128" s="456"/>
      <c r="K128" s="254">
        <f>IF(AND([0]!Godina=2025,MID(Osnovni_podaci!D20,3,1)="S",Osnovni_podaci!L24=4,Osnovni_podaci!G24=0,MID(Osnovni_podaci!D20,3,1)="S",MID(Osnovni_podaci!D20,8,1)="k"),IF(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IF(AND([0]!Godina=2025,MID(Osnovni_podaci!D20,3,1)="S",Osnovni_podaci!L24=4,Osnovni_podaci!G24=0,MID(Osnovni_podaci!D20,3,1)="S",MID(Osnovni_podaci!D20,8,1)="k"),IF(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IF(AND([0]!Godina=2025,MID(Osnovni_podaci!D20,3,1)="S",Osnovni_podaci!L24=4,Osnovni_podaci!G24=0,MID(Osnovni_podaci!D20,3,1)="S",MID(Osnovni_podaci!D20,8,1)="k"),VLOOKUP( $B129, T_Aop[], 5, 1),A1)</f>
        <v>721</v>
      </c>
      <c r="D129" s="703" t="str">
        <f>IF(AND([0]!Godina=2025,MID(Osnovni_podaci!D20,3,1)="S",Osnovni_podaci!L24=4,Osnovni_podaci!G24=0,MID(Osnovni_podaci!D20,3,1)="S",MID(Osnovni_podaci!D20,8,1)="k"),VLOOKUP( $B129, T_Aop[], 6, 1),A1)</f>
        <v xml:space="preserve">  N. TEKUĆI I ODLOŽENI POREZ NA DOBIT
1. Poreski rashodi perioda </v>
      </c>
      <c r="E129" s="704"/>
      <c r="F129" s="704"/>
      <c r="G129" s="704"/>
      <c r="H129" s="705"/>
      <c r="I129" s="179">
        <f>VLOOKUP( $B129, T_Aop[], 4, 1)</f>
        <v>309</v>
      </c>
      <c r="J129" s="454"/>
      <c r="K129" s="489"/>
      <c r="L129" s="162">
        <v>0</v>
      </c>
      <c r="N129" s="44"/>
      <c r="P129" s="183"/>
    </row>
    <row r="130" spans="2:16" ht="17.25" customHeight="1" x14ac:dyDescent="0.2">
      <c r="B130" s="15">
        <v>248</v>
      </c>
      <c r="C130" s="187">
        <f>IF(AND([0]!Godina=2025,MID(Osnovni_podaci!D20,3,1)="S",Osnovni_podaci!L24=4,Osnovni_podaci!G24=0,MID(Osnovni_podaci!D20,3,1)="S",MID(Osnovni_podaci!D20,8,1)="k"),VLOOKUP( $B130, T_Aop[], 5, 1),A1)</f>
        <v>0</v>
      </c>
      <c r="D130" s="683" t="str">
        <f>IF(AND([0]!Godina=2025,MID(Osnovni_podaci!D20,3,1)="S",Osnovni_podaci!L24=4,Osnovni_podaci!G24=0,MID(Osnovni_podaci!D20,3,1)="S",MID(Osnovni_podaci!D20,8,1)="k"),VLOOKUP( $B130, T_Aop[], 6, 1),A1)</f>
        <v xml:space="preserve">    2. Odloženi poreski rashodi (311 + 312)</v>
      </c>
      <c r="E130" s="684"/>
      <c r="F130" s="684"/>
      <c r="G130" s="684"/>
      <c r="H130" s="685"/>
      <c r="I130" s="59">
        <f>VLOOKUP( $B130, T_Aop[], 4, 1)</f>
        <v>310</v>
      </c>
      <c r="J130" s="456"/>
      <c r="K130" s="494">
        <f>IF(AND([0]!Godina=2025,MID(Osnovni_podaci!D20,3,1)="S",Osnovni_podaci!L24=4,Osnovni_podaci!G24=0,MID(Osnovni_podaci!D20,3,1)="S",MID(Osnovni_podaci!D20,8,1)="k"),SUBTOTAL( 9, K131:K132),A1)</f>
        <v>0</v>
      </c>
      <c r="L130" s="459">
        <f>IF(AND([0]!Godina=2025,MID(Osnovni_podaci!D20,3,1)="S",Osnovni_podaci!L24=4,Osnovni_podaci!G24=0,MID(Osnovni_podaci!D20,3,1)="S",MID(Osnovni_podaci!D20,8,1)="k"),SUBTOTAL( 9, L131:L132),A1)</f>
        <v>0</v>
      </c>
      <c r="N130" s="44"/>
      <c r="P130" s="183"/>
    </row>
    <row r="131" spans="2:16" ht="17.25" customHeight="1" x14ac:dyDescent="0.2">
      <c r="B131" s="15">
        <v>249</v>
      </c>
      <c r="C131" s="66" t="str">
        <f>IF(AND([0]!Godina=2025,MID(Osnovni_podaci!D20,3,1)="S",Osnovni_podaci!L24=4,Osnovni_podaci!G24=0,MID(Osnovni_podaci!D20,3,1)="S",MID(Osnovni_podaci!D20,8,1)="k"),VLOOKUP( $B131, T_Aop[], 5, 1),A1)</f>
        <v>722</v>
      </c>
      <c r="D131" s="686" t="str">
        <f>IF(AND([0]!Godina=2025,MID(Osnovni_podaci!D20,3,1)="S",Osnovni_podaci!L24=4,Osnovni_podaci!G24=0,MID(Osnovni_podaci!D20,3,1)="S",MID(Osnovni_podaci!D20,8,1)="k"),VLOOKUP( $B131, T_Aop[], 6, 1),A1)</f>
        <v xml:space="preserve">      2.1   Efekat smanjenja odloženih poreskih sredstava</v>
      </c>
      <c r="E131" s="687"/>
      <c r="F131" s="687"/>
      <c r="G131" s="687"/>
      <c r="H131" s="688"/>
      <c r="I131" s="63">
        <f>VLOOKUP( $B131, T_Aop[], 4, 1)</f>
        <v>311</v>
      </c>
      <c r="J131" s="454"/>
      <c r="K131" s="490">
        <v>0</v>
      </c>
      <c r="L131" s="455">
        <v>0</v>
      </c>
      <c r="N131" s="44"/>
      <c r="P131" s="183"/>
    </row>
    <row r="132" spans="2:16" ht="17.25" customHeight="1" x14ac:dyDescent="0.2">
      <c r="B132" s="15">
        <v>250</v>
      </c>
      <c r="C132" s="58" t="str">
        <f>IF(AND([0]!Godina=2025,MID(Osnovni_podaci!D20,3,1)="S",Osnovni_podaci!L24=4,Osnovni_podaci!G24=0,MID(Osnovni_podaci!D20,3,1)="S",MID(Osnovni_podaci!D20,8,1)="k"),VLOOKUP( $B132, T_Aop[], 5, 1),A1)</f>
        <v>724</v>
      </c>
      <c r="D132" s="683" t="str">
        <f>IF(AND([0]!Godina=2025,MID(Osnovni_podaci!D20,3,1)="S",Osnovni_podaci!L24=4,Osnovni_podaci!G24=0,MID(Osnovni_podaci!D20,3,1)="S",MID(Osnovni_podaci!D20,8,1)="k"),VLOOKUP( $B132, T_Aop[], 6, 1),A1)</f>
        <v xml:space="preserve">      2.2   Efekat povećanja odloženih poreskih obaveza</v>
      </c>
      <c r="E132" s="684"/>
      <c r="F132" s="684"/>
      <c r="G132" s="684"/>
      <c r="H132" s="685"/>
      <c r="I132" s="59">
        <f>VLOOKUP( $B132, T_Aop[], 4, 1)</f>
        <v>312</v>
      </c>
      <c r="J132" s="456"/>
      <c r="K132" s="495">
        <v>0</v>
      </c>
      <c r="L132" s="156">
        <v>0</v>
      </c>
      <c r="N132" s="44"/>
      <c r="P132" s="183"/>
    </row>
    <row r="133" spans="2:16" ht="17.25" customHeight="1" x14ac:dyDescent="0.2">
      <c r="B133" s="15">
        <v>251</v>
      </c>
      <c r="C133" s="66">
        <f>IF(AND([0]!Godina=2025,MID(Osnovni_podaci!D20,3,1)="S",Osnovni_podaci!L24=4,Osnovni_podaci!G24=0,MID(Osnovni_podaci!D20,3,1)="S",MID(Osnovni_podaci!D20,8,1)="k"),VLOOKUP( $B133, T_Aop[], 5, 1),A1)</f>
        <v>0</v>
      </c>
      <c r="D133" s="686" t="str">
        <f>IF(AND([0]!Godina=2025,MID(Osnovni_podaci!D20,3,1)="S",Osnovni_podaci!L24=4,Osnovni_podaci!G24=0,MID(Osnovni_podaci!D20,3,1)="S",MID(Osnovni_podaci!D20,8,1)="k"),VLOOKUP( $B133, T_Aop[], 6, 1),A1)</f>
        <v xml:space="preserve">    3. Odloženi poreski prihodi (314 + 315)</v>
      </c>
      <c r="E133" s="687"/>
      <c r="F133" s="687"/>
      <c r="G133" s="687"/>
      <c r="H133" s="688"/>
      <c r="I133" s="63">
        <f>VLOOKUP( $B133, T_Aop[], 4, 1)</f>
        <v>313</v>
      </c>
      <c r="J133" s="454"/>
      <c r="K133" s="496">
        <f>IF(AND([0]!Godina=2025,MID(Osnovni_podaci!D20,3,1)="S",Osnovni_podaci!L24=4,Osnovni_podaci!G24=0,MID(Osnovni_podaci!D20,3,1)="S",MID(Osnovni_podaci!D20,8,1)="k"),SUBTOTAL( 9, K134:K135),A1)</f>
        <v>0</v>
      </c>
      <c r="L133" s="461">
        <f>IF(AND([0]!Godina=2025,MID(Osnovni_podaci!D20,3,1)="S",Osnovni_podaci!L24=4,Osnovni_podaci!G24=0,MID(Osnovni_podaci!D20,3,1)="S",MID(Osnovni_podaci!D20,8,1)="k"),SUBTOTAL( 9, L134:L135),A1)</f>
        <v>0</v>
      </c>
      <c r="N133" s="44"/>
      <c r="P133" s="183"/>
    </row>
    <row r="134" spans="2:16" ht="13.9" customHeight="1" x14ac:dyDescent="0.2">
      <c r="B134" s="15">
        <v>252</v>
      </c>
      <c r="C134" s="58" t="str">
        <f>IF(AND([0]!Godina=2025,MID(Osnovni_podaci!D20,3,1)="S",Osnovni_podaci!L24=4,Osnovni_podaci!G24=0,MID(Osnovni_podaci!D20,3,1)="S",MID(Osnovni_podaci!D20,8,1)="k"),VLOOKUP( $B134, T_Aop[], 5, 1),A1)</f>
        <v>723</v>
      </c>
      <c r="D134" s="683" t="str">
        <f>IF(AND([0]!Godina=2025,MID(Osnovni_podaci!D20,3,1)="S",Osnovni_podaci!L24=4,Osnovni_podaci!G24=0,MID(Osnovni_podaci!D20,3,1)="S",MID(Osnovni_podaci!D20,8,1)="k"),VLOOKUP( $B134, T_Aop[], 6, 1),A1)</f>
        <v xml:space="preserve">      3.1 Efekat povećanja odloženih poreskih sredstava</v>
      </c>
      <c r="E134" s="684"/>
      <c r="F134" s="684"/>
      <c r="G134" s="684"/>
      <c r="H134" s="685"/>
      <c r="I134" s="59">
        <f>VLOOKUP( $B134, T_Aop[], 4, 1)</f>
        <v>314</v>
      </c>
      <c r="J134" s="456"/>
      <c r="K134" s="425">
        <v>0</v>
      </c>
      <c r="L134" s="156">
        <v>0</v>
      </c>
      <c r="N134" s="44"/>
      <c r="P134" s="183"/>
    </row>
    <row r="135" spans="2:16" ht="13.9" customHeight="1" x14ac:dyDescent="0.2">
      <c r="B135" s="15">
        <v>253</v>
      </c>
      <c r="C135" s="66" t="str">
        <f>IF(AND([0]!Godina=2025,MID(Osnovni_podaci!D20,3,1)="S",Osnovni_podaci!L24=4,Osnovni_podaci!G24=0,MID(Osnovni_podaci!D20,3,1)="S",MID(Osnovni_podaci!D20,8,1)="k"),VLOOKUP( $B135, T_Aop[], 5, 1),A1)</f>
        <v>725</v>
      </c>
      <c r="D135" s="686" t="str">
        <f>IF(AND([0]!Godina=2025,MID(Osnovni_podaci!D20,3,1)="S",Osnovni_podaci!L24=4,Osnovni_podaci!G24=0,MID(Osnovni_podaci!D20,3,1)="S",MID(Osnovni_podaci!D20,8,1)="k"),VLOOKUP( $B135, T_Aop[], 6, 1),A1)</f>
        <v xml:space="preserve">      3.2 Efekat smanjenja odloženih poreskih obaveza</v>
      </c>
      <c r="E135" s="687"/>
      <c r="F135" s="687"/>
      <c r="G135" s="687"/>
      <c r="H135" s="688"/>
      <c r="I135" s="63">
        <f>VLOOKUP( $B135, T_Aop[], 4, 1)</f>
        <v>315</v>
      </c>
      <c r="J135" s="454"/>
      <c r="K135" s="454">
        <v>0</v>
      </c>
      <c r="L135" s="455">
        <v>0</v>
      </c>
      <c r="N135" s="44"/>
      <c r="P135" s="183"/>
    </row>
    <row r="136" spans="2:16" ht="24.2" customHeight="1" x14ac:dyDescent="0.2">
      <c r="B136" s="15">
        <v>254</v>
      </c>
      <c r="C136" s="58">
        <f>IF(AND([0]!Godina=2025,MID(Osnovni_podaci!D20,3,1)="S",Osnovni_podaci!L24=4,Osnovni_podaci!G24=0,MID(Osnovni_podaci!D20,3,1)="S",MID(Osnovni_podaci!D20,8,1)="k"),VLOOKUP( $B136, T_Aop[], 5, 1),A1)</f>
        <v>0</v>
      </c>
      <c r="D136" s="706" t="str">
        <f>IF(AND([0]!Godina=2025,MID(Osnovni_podaci!D20,3,1)="S",Osnovni_podaci!L24=4,Osnovni_podaci!G24=0,MID(Osnovni_podaci!D20,3,1)="S",MID(Osnovni_podaci!D20,8,1)="k"),VLOOKUP( $B136, T_Aop[], 6, 1),A1)</f>
        <v xml:space="preserve">  NJ. NETO DOBIT I NETO GUBITAK PERIODA
 1. Neto dobit tekuće godine (307-309-310+313)&gt;0 i 307&gt;0 ili (313-308-309-310)&gt;0 i 308&gt;0</v>
      </c>
      <c r="E136" s="707"/>
      <c r="F136" s="707"/>
      <c r="G136" s="707"/>
      <c r="H136" s="708"/>
      <c r="I136" s="178">
        <f>VLOOKUP( $B136, T_Aop[], 4, 1)</f>
        <v>316</v>
      </c>
      <c r="J136" s="456"/>
      <c r="K136" s="254">
        <f>IF(AND([0]!Godina=2025,MID(Osnovni_podaci!D20,3,1)="S",Osnovni_podaci!L24=4,Osnovni_podaci!G24=0,MID(Osnovni_podaci!D20,3,1)="S",MID(Osnovni_podaci!D20,8,1)="k"),IF(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5639192</v>
      </c>
      <c r="L136" s="403">
        <f>IF(AND([0]!Godina=2025,MID(Osnovni_podaci!D20,3,1)="S",Osnovni_podaci!L24=4,Osnovni_podaci!G24=0,MID(Osnovni_podaci!D20,3,1)="S",MID(Osnovni_podaci!D20,8,1)="k"),IF(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4468922</v>
      </c>
      <c r="N136" s="44"/>
      <c r="P136" s="183"/>
    </row>
    <row r="137" spans="2:16" ht="15.2" customHeight="1" x14ac:dyDescent="0.2">
      <c r="B137" s="15">
        <v>255</v>
      </c>
      <c r="C137" s="66" t="str">
        <f>IF(AND([0]!Godina=2025,MID(Osnovni_podaci!D20,3,1)="S",Osnovni_podaci!L24=4,Osnovni_podaci!G24=0,MID(Osnovni_podaci!D20,3,1)="S",MID(Osnovni_podaci!D20,8,1)="k"),VLOOKUP( $B137, T_Aop[], 5, 1),A1)</f>
        <v xml:space="preserve"> </v>
      </c>
      <c r="D137" s="703" t="str">
        <f>IF(AND([0]!Godina=2025,MID(Osnovni_podaci!D20,3,1)="S",Osnovni_podaci!L24=4,Osnovni_podaci!G24=0,MID(Osnovni_podaci!D20,3,1)="S",MID(Osnovni_podaci!D20,8,1)="k"),VLOOKUP( $B137, T_Aop[], 6, 1),A1)</f>
        <v>2. Neto gubitak tekuće godine (308+309+310-313)&gt;0 i 308&gt;0 ili (309+310-307-313)&gt;0 i 307&gt;0</v>
      </c>
      <c r="E137" s="704"/>
      <c r="F137" s="704"/>
      <c r="G137" s="704"/>
      <c r="H137" s="705"/>
      <c r="I137" s="179">
        <f>VLOOKUP( $B137, T_Aop[], 4, 1)</f>
        <v>317</v>
      </c>
      <c r="J137" s="454"/>
      <c r="K137" s="67">
        <f>IF(AND([0]!Godina=2025,MID(Osnovni_podaci!D20,3,1)="S",Osnovni_podaci!L24=4,Osnovni_podaci!G24=0,MID(Osnovni_podaci!D20,3,1)="S",MID(Osnovni_podaci!D20,8,1)="k"),IF(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IF(AND([0]!Godina=2025,MID(Osnovni_podaci!D20,3,1)="S",Osnovni_podaci!L24=4,Osnovni_podaci!G24=0,MID(Osnovni_podaci!D20,3,1)="S",MID(Osnovni_podaci!D20,8,1)="k"),IF(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IF(AND([0]!Godina=2025,MID(Osnovni_podaci!D20,3,1)="S",Osnovni_podaci!L24=4,Osnovni_podaci!G24=0,MID(Osnovni_podaci!D20,3,1)="S",MID(Osnovni_podaci!D20,8,1)="k"),VLOOKUP( $B138, T_Aop[], 5, 1),A1)</f>
        <v>726</v>
      </c>
      <c r="D138" s="683" t="str">
        <f>IF(AND([0]!Godina=2025,MID(Osnovni_podaci!D20,3,1)="S",Osnovni_podaci!L24=4,Osnovni_podaci!G24=0,MID(Osnovni_podaci!D20,3,1)="S",MID(Osnovni_podaci!D20,8,1)="k"),VLOOKUP( $B138, T_Aop[], 6, 1),A1)</f>
        <v xml:space="preserve">  O. Međudividende i drugi vidovi raspodjele dobitka u toku perioda</v>
      </c>
      <c r="E138" s="684"/>
      <c r="F138" s="684"/>
      <c r="G138" s="684"/>
      <c r="H138" s="685"/>
      <c r="I138" s="59">
        <f>VLOOKUP( $B138, T_Aop[], 4, 1)</f>
        <v>318</v>
      </c>
      <c r="J138" s="456"/>
      <c r="K138" s="456"/>
      <c r="L138" s="457"/>
      <c r="N138" s="44"/>
      <c r="P138" s="183"/>
    </row>
    <row r="139" spans="2:16" ht="15.2" customHeight="1" x14ac:dyDescent="0.2">
      <c r="B139" s="15">
        <v>257</v>
      </c>
      <c r="C139" s="66">
        <f>IF(AND([0]!Godina=2025,MID(Osnovni_podaci!D20,3,1)="S",Osnovni_podaci!L24=4,Osnovni_podaci!G24=0,MID(Osnovni_podaci!D20,3,1)="S",MID(Osnovni_podaci!D20,8,1)="k"),VLOOKUP( $B139, T_Aop[], 5, 1),A1)</f>
        <v>0</v>
      </c>
      <c r="D139" s="686" t="str">
        <f>IF(AND([0]!Godina=2025,MID(Osnovni_podaci!D20,3,1)="S",Osnovni_podaci!L24=4,Osnovni_podaci!G24=0,MID(Osnovni_podaci!D20,3,1)="S",MID(Osnovni_podaci!D20,8,1)="k"),VLOOKUP( $B139, T_Aop[], 6, 1),A1)</f>
        <v>Dio neto dobiti/gubitka koji pripada većinskim vlasnicima</v>
      </c>
      <c r="E139" s="687"/>
      <c r="F139" s="687"/>
      <c r="G139" s="687"/>
      <c r="H139" s="688"/>
      <c r="I139" s="63">
        <f>VLOOKUP( $B139, T_Aop[], 4, 1)</f>
        <v>319</v>
      </c>
      <c r="J139" s="454"/>
      <c r="K139" s="462"/>
      <c r="L139" s="463"/>
      <c r="N139" s="44"/>
      <c r="P139" s="183"/>
    </row>
    <row r="140" spans="2:16" ht="15.2" customHeight="1" x14ac:dyDescent="0.2">
      <c r="B140" s="15">
        <v>258</v>
      </c>
      <c r="C140" s="58">
        <f>IF(AND([0]!Godina=2025,MID(Osnovni_podaci!D20,3,1)="S",Osnovni_podaci!L24=4,Osnovni_podaci!G24=0,MID(Osnovni_podaci!D20,3,1)="S",MID(Osnovni_podaci!D20,8,1)="k"),VLOOKUP( $B140, T_Aop[], 5, 1),A1)</f>
        <v>0</v>
      </c>
      <c r="D140" s="683" t="str">
        <f>IF(AND([0]!Godina=2025,MID(Osnovni_podaci!D20,3,1)="S",Osnovni_podaci!L24=4,Osnovni_podaci!G24=0,MID(Osnovni_podaci!D20,3,1)="S",MID(Osnovni_podaci!D20,8,1)="k"),VLOOKUP( $B140, T_Aop[], 6, 1),A1)</f>
        <v>Dio neto dobiti/gubitka koji pripada manjinskim vlasnicima</v>
      </c>
      <c r="E140" s="684"/>
      <c r="F140" s="684"/>
      <c r="G140" s="684"/>
      <c r="H140" s="685"/>
      <c r="I140" s="59">
        <f>VLOOKUP( $B140, T_Aop[], 4, 1)</f>
        <v>320</v>
      </c>
      <c r="J140" s="456"/>
      <c r="K140" s="456"/>
      <c r="L140" s="457"/>
      <c r="N140" s="44"/>
      <c r="P140" s="183"/>
    </row>
    <row r="141" spans="2:16" ht="15.2" customHeight="1" x14ac:dyDescent="0.2">
      <c r="B141" s="15">
        <v>259</v>
      </c>
      <c r="C141" s="66">
        <f>VLOOKUP( $B141, T_Aop[], 5, 1)</f>
        <v>0</v>
      </c>
      <c r="D141" s="686" t="str">
        <f>VLOOKUP( $B141, T_Aop[], 6, 1)</f>
        <v>Obična zarada po akciji</v>
      </c>
      <c r="E141" s="687"/>
      <c r="F141" s="687"/>
      <c r="G141" s="687"/>
      <c r="H141" s="688"/>
      <c r="I141" s="63">
        <f>VLOOKUP( $B141, T_Aop[], 4, 1)</f>
        <v>321</v>
      </c>
      <c r="J141" s="454"/>
      <c r="K141" s="486"/>
      <c r="L141" s="487"/>
      <c r="N141" s="44"/>
      <c r="P141" s="183"/>
    </row>
    <row r="142" spans="2:16" ht="15.2" customHeight="1" x14ac:dyDescent="0.2">
      <c r="B142" s="15">
        <v>260</v>
      </c>
      <c r="C142" s="444">
        <f>VLOOKUP( $B142, T_Aop[], 5, 1)</f>
        <v>0</v>
      </c>
      <c r="D142" s="712" t="str">
        <f>VLOOKUP( $B142, T_Aop[], 6, 1)</f>
        <v>Razrijeđena zarada po akciji</v>
      </c>
      <c r="E142" s="713"/>
      <c r="F142" s="713"/>
      <c r="G142" s="713"/>
      <c r="H142" s="714"/>
      <c r="I142" s="59">
        <f>VLOOKUP( $B142, T_Aop[], 4, 1)</f>
        <v>322</v>
      </c>
      <c r="J142" s="456"/>
      <c r="K142" s="528"/>
      <c r="L142" s="529"/>
      <c r="N142" s="44"/>
      <c r="P142" s="183"/>
    </row>
    <row r="143" spans="2:16" ht="15.2" customHeight="1" x14ac:dyDescent="0.2">
      <c r="B143" s="15">
        <v>261</v>
      </c>
      <c r="C143" s="446">
        <f>VLOOKUP( $B143, T_Aop[], 5, 1)</f>
        <v>0</v>
      </c>
      <c r="D143" s="715" t="str">
        <f>VLOOKUP( $B143, T_Aop[], 6, 1)</f>
        <v>Prosječan broj zaposlenih po osnovu časova rada</v>
      </c>
      <c r="E143" s="716"/>
      <c r="F143" s="716"/>
      <c r="G143" s="716"/>
      <c r="H143" s="717"/>
      <c r="I143" s="63">
        <f>VLOOKUP( $B143, T_Aop[], 4, 1)</f>
        <v>323</v>
      </c>
      <c r="J143" s="454"/>
      <c r="K143" s="482">
        <v>1405</v>
      </c>
      <c r="L143" s="483">
        <v>1383</v>
      </c>
      <c r="N143" s="44"/>
      <c r="P143" s="183"/>
    </row>
    <row r="144" spans="2:16" ht="15.2" customHeight="1" x14ac:dyDescent="0.2">
      <c r="B144" s="15">
        <v>262</v>
      </c>
      <c r="C144" s="448">
        <f>VLOOKUP( $B144, T_Aop[], 5, 1)</f>
        <v>0</v>
      </c>
      <c r="D144" s="709" t="str">
        <f>VLOOKUP( $B144, T_Aop[], 6, 1)</f>
        <v>Prosječan broj zaposlenih po osnovu stanja na kraju mjeseca</v>
      </c>
      <c r="E144" s="710"/>
      <c r="F144" s="710"/>
      <c r="G144" s="710"/>
      <c r="H144" s="711"/>
      <c r="I144" s="186">
        <f>VLOOKUP( $B144, T_Aop[], 4, 1)</f>
        <v>324</v>
      </c>
      <c r="J144" s="497"/>
      <c r="K144" s="484">
        <v>1348</v>
      </c>
      <c r="L144" s="485">
        <v>1334</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Banja Luci</v>
      </c>
      <c r="E146"/>
      <c r="F146" s="56" t="str">
        <f>Podnozje_Lice_sa_licencom</f>
        <v>Lice sa licencom:</v>
      </c>
      <c r="G146" s="8" t="str">
        <f>Podatak_Lice_sa_licencom</f>
        <v>Nikola Pilipović</v>
      </c>
      <c r="I146" s="37" t="str">
        <f>Podnozje_MP</f>
        <v>(M.P.)</v>
      </c>
    </row>
    <row r="147" spans="2:12" ht="15.2" customHeight="1" x14ac:dyDescent="0.2">
      <c r="B147" s="15"/>
      <c r="C147" s="28"/>
      <c r="D147" s="127"/>
      <c r="E147" t="s">
        <v>786</v>
      </c>
      <c r="F147" s="678"/>
      <c r="G147" s="678"/>
      <c r="I147" s="78"/>
      <c r="J147" s="677" t="str">
        <f>Podnozje_Direktor</f>
        <v>Lice ovlašćeno za zastupanje:</v>
      </c>
      <c r="K147" s="677"/>
      <c r="L147" s="677"/>
    </row>
    <row r="148" spans="2:12" ht="15.2" customHeight="1" x14ac:dyDescent="0.2">
      <c r="B148" s="15"/>
      <c r="C148" s="180" t="str">
        <f>Podnozje_Dana</f>
        <v>Dana:</v>
      </c>
      <c r="D148" s="418" t="str">
        <f>Podatak_Dana</f>
        <v>30.10.2025.</v>
      </c>
      <c r="E148"/>
      <c r="F148" s="40" t="str">
        <f>Podnozje_Broj_licence</f>
        <v>Broj licence:</v>
      </c>
      <c r="G148" t="str">
        <f>Podatak_Broj_Licence</f>
        <v>SR-1401/25</v>
      </c>
      <c r="J148" s="9"/>
      <c r="K148" s="681" t="str">
        <f>Podatak_Direktor</f>
        <v>V.D. Direktor, Saša Popović, dipl.inž.el.</v>
      </c>
      <c r="L148" s="681"/>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80"/>
      <c r="H152" s="680"/>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4sXW48K0bdy2JmTChjVbvatoGlMIh2rSyDqkUn98RR+S9HwSJYcj11A++oneHpUVD5zWU/cEZGEGsOX2czQxXA==" saltValue="khSsNd2vs/CazUvQ1Urquw==" spinCount="100000" sheet="1" objects="1" scenarios="1"/>
  <mergeCells count="146">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 ref="D120:H120"/>
    <mergeCell ref="D121:H121"/>
    <mergeCell ref="D122:H122"/>
    <mergeCell ref="D114:H114"/>
    <mergeCell ref="D115:H115"/>
    <mergeCell ref="D116:H116"/>
    <mergeCell ref="D117:H117"/>
    <mergeCell ref="D118:H118"/>
    <mergeCell ref="D119:H119"/>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4"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7" t="str">
        <f>Zaglavlje_Naziv_preduzeca</f>
        <v xml:space="preserve">Naziv privrednog društva, zadruge, drugog pravnog lica ili preduzetnika: </v>
      </c>
      <c r="D5" s="637"/>
      <c r="E5" s="637"/>
      <c r="L5" s="392" t="str">
        <f>Podatak_MB</f>
        <v>1074440</v>
      </c>
    </row>
    <row r="6" spans="2:12" ht="12.75" customHeight="1" x14ac:dyDescent="0.2">
      <c r="B6" s="15"/>
      <c r="C6" s="637"/>
      <c r="D6" s="637"/>
      <c r="E6" s="637"/>
      <c r="F6" s="9"/>
      <c r="L6" s="421" t="str">
        <f>Zaglavlje_MB</f>
        <v>Matični broj</v>
      </c>
    </row>
    <row r="7" spans="2:12" ht="12.75" customHeight="1" x14ac:dyDescent="0.2">
      <c r="B7" s="15"/>
      <c r="C7" s="736" t="str">
        <f>Podatak_Naziv_preduzeca</f>
        <v>ODS Elektrokrajina a.d. Banja Luka</v>
      </c>
      <c r="D7" s="736"/>
      <c r="E7" s="736"/>
      <c r="F7" s="736"/>
      <c r="L7" s="392" t="str">
        <f>Podatak_Sifra_djelatnosti</f>
        <v>35.13</v>
      </c>
    </row>
    <row r="8" spans="2:12" ht="12.75" customHeight="1" x14ac:dyDescent="0.2">
      <c r="B8" s="15"/>
      <c r="C8" s="125" t="str">
        <f>Zaglavlje_Sjediste</f>
        <v>Sjedište:</v>
      </c>
      <c r="D8" s="738" t="str">
        <f>Podatak_Sjediste</f>
        <v>Kralja Petra I Karađorđevića 95 Banja Luka</v>
      </c>
      <c r="E8" s="738"/>
      <c r="F8" s="738"/>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4400855640000</v>
      </c>
    </row>
    <row r="10" spans="2:12" ht="12.75" customHeight="1" x14ac:dyDescent="0.2">
      <c r="B10" s="15"/>
      <c r="C10" s="737" t="str">
        <f>Podatak_Ziro_racun_1</f>
        <v>555-007-00046178-45</v>
      </c>
      <c r="D10" s="737"/>
      <c r="E10" s="737"/>
      <c r="F10" s="737"/>
      <c r="K10" s="735" t="str">
        <f>Zaglavlje_JIB</f>
        <v>JIB</v>
      </c>
      <c r="L10" s="735"/>
    </row>
    <row r="11" spans="2:12" ht="12.75" customHeight="1" x14ac:dyDescent="0.2">
      <c r="B11" s="15"/>
      <c r="C11" s="737" t="str">
        <f>Podatak_Ziro_racun_2</f>
        <v>571-010-00000582-64</v>
      </c>
      <c r="D11" s="737"/>
      <c r="E11" s="737"/>
      <c r="F11" s="737"/>
    </row>
    <row r="12" spans="2:12" ht="12.75" customHeight="1" x14ac:dyDescent="0.2">
      <c r="B12" s="15"/>
      <c r="C12" s="722" t="str">
        <f>Podatak_Ziro_racun_3</f>
        <v>562-099-00001349-36</v>
      </c>
      <c r="D12" s="722"/>
      <c r="E12" s="722"/>
      <c r="F12" s="722"/>
    </row>
    <row r="13" spans="2:12" ht="12.75" customHeight="1" x14ac:dyDescent="0.2">
      <c r="B13" s="15"/>
      <c r="C13" s="722" t="str">
        <f>Podatak_Ziro_racun_4</f>
        <v>552-000-20644796-78</v>
      </c>
      <c r="D13" s="722"/>
      <c r="E13" s="722"/>
      <c r="F13" s="722"/>
      <c r="G13" s="18"/>
      <c r="H13" s="18"/>
      <c r="I13" s="18"/>
      <c r="J13"/>
      <c r="K13"/>
    </row>
    <row r="14" spans="2:12" ht="15.75" customHeight="1" x14ac:dyDescent="0.2">
      <c r="B14" s="15"/>
      <c r="C14" s="615" t="str">
        <f>IF( Id_Konsolidovani, Nazivi_bilansa_Konsolidovani_naziv &amp; LOWER( Nazivi_bilansa_BUb), Nazivi_bilansa_BUb)</f>
        <v>Izvještaj</v>
      </c>
      <c r="D14" s="615"/>
      <c r="E14" s="615"/>
      <c r="F14" s="615"/>
      <c r="G14" s="615"/>
      <c r="H14" s="615"/>
      <c r="I14" s="615"/>
      <c r="J14" s="615"/>
      <c r="K14" s="615"/>
      <c r="L14" s="615"/>
    </row>
    <row r="15" spans="2:12" ht="14.25" x14ac:dyDescent="0.2">
      <c r="B15" s="15"/>
      <c r="C15" s="725" t="str">
        <f>Nazivi_bilansa_BUb1</f>
        <v>o ostalom rezultatu u periodu</v>
      </c>
      <c r="D15" s="725"/>
      <c r="E15" s="725"/>
      <c r="F15" s="725"/>
      <c r="G15" s="725"/>
      <c r="H15" s="725"/>
      <c r="I15" s="725"/>
      <c r="J15" s="725"/>
      <c r="K15" s="725"/>
      <c r="L15" s="725"/>
    </row>
    <row r="16" spans="2:12" ht="12.75" customHeight="1" x14ac:dyDescent="0.2">
      <c r="B16" s="15"/>
      <c r="C16" s="653" t="str">
        <f>Datumi_Datum_BU</f>
        <v>za period od 01.01. do 30.09.2025. godine</v>
      </c>
      <c r="D16" s="653"/>
      <c r="E16" s="653"/>
      <c r="F16" s="653"/>
      <c r="G16" s="653"/>
      <c r="H16" s="653"/>
      <c r="I16" s="653"/>
      <c r="J16" s="653"/>
      <c r="K16" s="653"/>
      <c r="L16" s="653"/>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9" t="str">
        <f>Tabele_zaglavlje_Grupa_racuna</f>
        <v>Grupa računa, račun</v>
      </c>
      <c r="D18" s="731" t="str">
        <f>Tabele_zaglavlje_Pozicija</f>
        <v>POZICIJA</v>
      </c>
      <c r="E18" s="731"/>
      <c r="F18" s="731"/>
      <c r="G18" s="731"/>
      <c r="H18" s="731"/>
      <c r="I18" s="726" t="str">
        <f>Tabele_zaglavlje_Oznaka_aop</f>
        <v>Oznaka za AOP</v>
      </c>
      <c r="J18" s="726" t="str">
        <f>Tabele_zaglavlje_Napomena_aop</f>
        <v>Napomena</v>
      </c>
      <c r="K18" s="720" t="str">
        <f>Tabele_zaglavlje_Iznos</f>
        <v>Iznos</v>
      </c>
      <c r="L18" s="728"/>
    </row>
    <row r="19" spans="2:16" ht="25.5" customHeight="1" x14ac:dyDescent="0.2">
      <c r="B19" s="15"/>
      <c r="C19" s="730"/>
      <c r="D19" s="732"/>
      <c r="E19" s="732"/>
      <c r="F19" s="732"/>
      <c r="G19" s="732"/>
      <c r="H19" s="732"/>
      <c r="I19" s="727"/>
      <c r="J19" s="727"/>
      <c r="K19" s="42" t="str">
        <f>Tabele_zaglavlje_Tekuca_godina</f>
        <v>Tekuća godina</v>
      </c>
      <c r="L19" s="43" t="str">
        <f>Tabele_zaglavlje_Prethodna_godina</f>
        <v>Prethodna godina</v>
      </c>
      <c r="P19" s="134" t="s">
        <v>490</v>
      </c>
    </row>
    <row r="20" spans="2:16" ht="12.75" customHeight="1" x14ac:dyDescent="0.2">
      <c r="B20" s="12" t="s">
        <v>123</v>
      </c>
      <c r="C20" s="69">
        <v>1</v>
      </c>
      <c r="D20" s="733">
        <v>2</v>
      </c>
      <c r="E20" s="733"/>
      <c r="F20" s="733"/>
      <c r="G20" s="733"/>
      <c r="H20" s="733"/>
      <c r="I20" s="70">
        <v>3</v>
      </c>
      <c r="J20" s="70">
        <v>4</v>
      </c>
      <c r="K20" s="70">
        <v>5</v>
      </c>
      <c r="L20" s="409">
        <v>6</v>
      </c>
    </row>
    <row r="21" spans="2:16" ht="12.75" customHeight="1" x14ac:dyDescent="0.2">
      <c r="B21" s="15">
        <v>263</v>
      </c>
      <c r="C21" s="72">
        <f>VLOOKUP( $B21, T_Aop[], 5, 1)</f>
        <v>0</v>
      </c>
      <c r="D21" s="734" t="str">
        <f>VLOOKUP( $B21, T_Aop[], 6, 1)</f>
        <v>A  NETO DOBIT ILI NETO GUBITAK PERIODA</v>
      </c>
      <c r="E21" s="734"/>
      <c r="F21" s="734"/>
      <c r="G21" s="734"/>
      <c r="H21" s="734"/>
      <c r="I21" s="504">
        <f>VLOOKUP( $B21, T_Aop[], 4, 1)</f>
        <v>400</v>
      </c>
      <c r="J21" s="512"/>
      <c r="K21" s="517">
        <f>'02a'!K136-'02a'!K137</f>
        <v>5639192</v>
      </c>
      <c r="L21" s="518">
        <f>'02a'!L136-'02a'!L137</f>
        <v>4468922</v>
      </c>
      <c r="P21" s="27"/>
    </row>
    <row r="22" spans="2:16" ht="27" customHeight="1" x14ac:dyDescent="0.2">
      <c r="B22" s="15">
        <v>264</v>
      </c>
      <c r="C22" s="66">
        <f>VLOOKUP( $B22, T_Aop[], 5, 1)</f>
        <v>0</v>
      </c>
      <c r="D22" s="723" t="str">
        <f>VLOOKUP( $B22, T_Aop[], 6, 1)</f>
        <v xml:space="preserve">    1. Stavke koje mogu biti reklasifikovane u bilans uspjeha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4" t="str">
        <f>VLOOKUP( $B23, T_Aop[], 6, 1)</f>
        <v xml:space="preserve">      1.1 Povećanje/(smanjenje) fer vrijednosti dužničkih instrumenata po fer vrijednosti kroz ostali ukupan rezultat</v>
      </c>
      <c r="E23" s="724"/>
      <c r="F23" s="724"/>
      <c r="G23" s="724"/>
      <c r="H23" s="724"/>
      <c r="I23" s="59">
        <f>VLOOKUP( $B23, T_Aop[], 4, 1)</f>
        <v>402</v>
      </c>
      <c r="J23" s="500"/>
      <c r="K23" s="515"/>
      <c r="L23" s="411"/>
      <c r="P23" s="133" t="s">
        <v>313</v>
      </c>
    </row>
    <row r="24" spans="2:16" ht="25.5" x14ac:dyDescent="0.2">
      <c r="B24" s="15">
        <v>266</v>
      </c>
      <c r="C24" s="66" t="str">
        <f>VLOOKUP( $B24, T_Aop[], 5, 1)</f>
        <v>Promjena na 331</v>
      </c>
      <c r="D24" s="723" t="str">
        <f>VLOOKUP( $B24, T_Aop[], 6, 1)</f>
        <v xml:space="preserve">      1.2 Efekti proistekli iz transakcija zaštite ("hedging")</v>
      </c>
      <c r="E24" s="723"/>
      <c r="F24" s="723"/>
      <c r="G24" s="723"/>
      <c r="H24" s="723"/>
      <c r="I24" s="63">
        <f>VLOOKUP( $B24, T_Aop[], 4, 1)</f>
        <v>403</v>
      </c>
      <c r="J24" s="513"/>
      <c r="K24" s="165"/>
      <c r="L24" s="166"/>
      <c r="P24"/>
    </row>
    <row r="25" spans="2:16" ht="23.65" customHeight="1" x14ac:dyDescent="0.2">
      <c r="B25" s="15">
        <v>267</v>
      </c>
      <c r="C25" s="58">
        <f>VLOOKUP( $B25, T_Aop[], 5, 1)</f>
        <v>0</v>
      </c>
      <c r="D25" s="724" t="str">
        <f>VLOOKUP( $B25, T_Aop[], 6, 1)</f>
        <v xml:space="preserve">      1.3 Udio u ostalom ukupnom rezultatu pridruženog društva i zajedničkog poduhvata primjenom metode udjela</v>
      </c>
      <c r="E25" s="724"/>
      <c r="F25" s="724"/>
      <c r="G25" s="724"/>
      <c r="H25" s="724"/>
      <c r="I25" s="59">
        <f>VLOOKUP( $B25, T_Aop[], 4, 1)</f>
        <v>404</v>
      </c>
      <c r="J25" s="500"/>
      <c r="K25" s="163"/>
      <c r="L25" s="164"/>
      <c r="P25"/>
    </row>
    <row r="26" spans="2:16" ht="25.5" customHeight="1" x14ac:dyDescent="0.2">
      <c r="B26" s="15">
        <v>268</v>
      </c>
      <c r="C26" s="66">
        <f>VLOOKUP( $B26, T_Aop[], 5, 1)</f>
        <v>0</v>
      </c>
      <c r="D26" s="723" t="str">
        <f>VLOOKUP( $B26, T_Aop[], 6, 1)</f>
        <v xml:space="preserve">      1.4 Dobici ili gubici po osnovu konverzije finansijskih izvještaja inostranog poslovanja</v>
      </c>
      <c r="E26" s="723"/>
      <c r="F26" s="723"/>
      <c r="G26" s="723"/>
      <c r="H26" s="723"/>
      <c r="I26" s="63">
        <f>VLOOKUP( $B26, T_Aop[], 4, 1)</f>
        <v>405</v>
      </c>
      <c r="J26" s="513"/>
      <c r="K26" s="412"/>
      <c r="L26" s="413"/>
      <c r="P26"/>
    </row>
    <row r="27" spans="2:16" ht="24.2" customHeight="1" x14ac:dyDescent="0.2">
      <c r="B27" s="15">
        <v>269</v>
      </c>
      <c r="C27" s="58" t="str">
        <f>VLOOKUP( $B27, T_Aop[], 5, 1)</f>
        <v>Promjena na 339, dio</v>
      </c>
      <c r="D27" s="724" t="str">
        <f>VLOOKUP( $B27, T_Aop[], 6, 1)</f>
        <v xml:space="preserve">      1.5 Ostale stavke koje mogu biti reklasifikovane u bilans uspjeha</v>
      </c>
      <c r="E27" s="724"/>
      <c r="F27" s="724"/>
      <c r="G27" s="724"/>
      <c r="H27" s="724"/>
      <c r="I27" s="59">
        <f>VLOOKUP( $B27, T_Aop[], 4, 1)</f>
        <v>406</v>
      </c>
      <c r="J27" s="500"/>
      <c r="K27" s="163"/>
      <c r="L27" s="164"/>
      <c r="P27"/>
    </row>
    <row r="28" spans="2:16" ht="12.75" customHeight="1" x14ac:dyDescent="0.2">
      <c r="B28" s="15">
        <v>270</v>
      </c>
      <c r="C28" s="66">
        <f>VLOOKUP( $B28, T_Aop[], 5, 1)</f>
        <v>0</v>
      </c>
      <c r="D28" s="723" t="str">
        <f>VLOOKUP( $B28, T_Aop[], 6, 1)</f>
        <v xml:space="preserve">      1.6  Odloženi porez na dobit koji se odnosi na ove stavke </v>
      </c>
      <c r="E28" s="723"/>
      <c r="F28" s="723"/>
      <c r="G28" s="723"/>
      <c r="H28" s="723"/>
      <c r="I28" s="63">
        <f>VLOOKUP( $B28, T_Aop[], 4, 1)</f>
        <v>407</v>
      </c>
      <c r="J28" s="513"/>
      <c r="K28" s="165"/>
      <c r="L28" s="166"/>
      <c r="P28"/>
    </row>
    <row r="29" spans="2:16" ht="20.25" customHeight="1" x14ac:dyDescent="0.2">
      <c r="B29" s="15">
        <v>271</v>
      </c>
      <c r="C29" s="58">
        <f>VLOOKUP( $B29, T_Aop[], 5, 1)</f>
        <v>0</v>
      </c>
      <c r="D29" s="739" t="str">
        <f>VLOOKUP( $B29, T_Aop[], 6, 1)</f>
        <v xml:space="preserve">    2.  Stavke koje neće biti reklasifikovane u bilans uspjeha (± 409± 410 ± 411 ± 412 ± 413 ± 414)</v>
      </c>
      <c r="E29" s="739"/>
      <c r="F29" s="739"/>
      <c r="G29" s="739"/>
      <c r="H29" s="739"/>
      <c r="I29" s="59">
        <f>VLOOKUP( $B29, T_Aop[], 4, 1)</f>
        <v>408</v>
      </c>
      <c r="J29" s="500"/>
      <c r="K29" s="451">
        <f>SUBTOTAL( 9, K30:K35)</f>
        <v>0</v>
      </c>
      <c r="L29" s="452">
        <f>SUBTOTAL( 9, L30:L35)</f>
        <v>0</v>
      </c>
      <c r="P29"/>
    </row>
    <row r="30" spans="2:16" ht="25.5" x14ac:dyDescent="0.2">
      <c r="B30" s="15">
        <v>272</v>
      </c>
      <c r="C30" s="66" t="str">
        <f>VLOOKUP( $B30, T_Aop[], 5, 1)</f>
        <v>Promjena na 330</v>
      </c>
      <c r="D30" s="723" t="str">
        <f>VLOOKUP( $B30, T_Aop[], 6, 1)</f>
        <v xml:space="preserve">      2.1 Revalorizacija nekretnina, postrojenja, opreme i nematerijalne imovine</v>
      </c>
      <c r="E30" s="723"/>
      <c r="F30" s="723"/>
      <c r="G30" s="723"/>
      <c r="H30" s="723"/>
      <c r="I30" s="63">
        <f>VLOOKUP( $B30, T_Aop[], 4, 1)</f>
        <v>409</v>
      </c>
      <c r="J30" s="513"/>
      <c r="K30" s="412"/>
      <c r="L30" s="413"/>
      <c r="P30"/>
    </row>
    <row r="31" spans="2:16" ht="25.5" x14ac:dyDescent="0.2">
      <c r="B31" s="15">
        <v>273</v>
      </c>
      <c r="C31" s="58" t="str">
        <f>VLOOKUP( $B31, T_Aop[], 5, 1)</f>
        <v>Promjena na 332 i 333</v>
      </c>
      <c r="D31" s="724" t="str">
        <f>VLOOKUP( $B31, T_Aop[], 6, 1)</f>
        <v xml:space="preserve">      2.2  Povećanje/(smanjenje) fer vrijednosti vlasničkih instrumenata po fer vrijednosti kroz ostali ukupan rezultat</v>
      </c>
      <c r="E31" s="724"/>
      <c r="F31" s="724"/>
      <c r="G31" s="724"/>
      <c r="H31" s="724"/>
      <c r="I31" s="59">
        <f>VLOOKUP( $B31, T_Aop[], 4, 1)</f>
        <v>410</v>
      </c>
      <c r="J31" s="500"/>
      <c r="K31" s="410"/>
      <c r="L31" s="411"/>
      <c r="P31"/>
    </row>
    <row r="32" spans="2:16" ht="23.65" customHeight="1" x14ac:dyDescent="0.2">
      <c r="B32" s="15">
        <v>274</v>
      </c>
      <c r="C32" s="66" t="str">
        <f>VLOOKUP( $B32, T_Aop[], 5, 1)</f>
        <v>Promjena na 339, dio</v>
      </c>
      <c r="D32" s="723" t="str">
        <f>VLOOKUP( $B32, T_Aop[], 6, 1)</f>
        <v xml:space="preserve">      2.3  Aktuarski dobici/(gubici) od planova definisanih primanja</v>
      </c>
      <c r="E32" s="723"/>
      <c r="F32" s="723"/>
      <c r="G32" s="723"/>
      <c r="H32" s="723"/>
      <c r="I32" s="63">
        <f>VLOOKUP( $B32, T_Aop[], 4, 1)</f>
        <v>411</v>
      </c>
      <c r="J32" s="513"/>
      <c r="K32" s="516"/>
      <c r="L32" s="573"/>
      <c r="P32"/>
    </row>
    <row r="33" spans="2:16" ht="24.2" customHeight="1" x14ac:dyDescent="0.2">
      <c r="B33" s="15">
        <v>275</v>
      </c>
      <c r="C33" s="58">
        <f>VLOOKUP( $B33, T_Aop[], 5, 1)</f>
        <v>0</v>
      </c>
      <c r="D33" s="724" t="str">
        <f>VLOOKUP( $B33, T_Aop[], 6, 1)</f>
        <v xml:space="preserve">      2.4 Udio u ostalom ukupnom rezultatu pridruženog društva i zajedničkog poduhvata primjenom metode udjela</v>
      </c>
      <c r="E33" s="724"/>
      <c r="F33" s="724"/>
      <c r="G33" s="724"/>
      <c r="H33" s="724"/>
      <c r="I33" s="59">
        <f>VLOOKUP( $B33, T_Aop[], 4, 1)</f>
        <v>412</v>
      </c>
      <c r="J33" s="500"/>
      <c r="K33" s="410"/>
      <c r="L33" s="411"/>
      <c r="P33"/>
    </row>
    <row r="34" spans="2:16" ht="25.5" customHeight="1" x14ac:dyDescent="0.2">
      <c r="B34" s="15">
        <v>276</v>
      </c>
      <c r="C34" s="66" t="str">
        <f>VLOOKUP( $B34, T_Aop[], 5, 1)</f>
        <v>Promjena na 339, dio</v>
      </c>
      <c r="D34" s="723" t="str">
        <f>VLOOKUP( $B34, T_Aop[], 6, 1)</f>
        <v xml:space="preserve">      2.5 Ostale stavke koje neće biti reklasifikovane u bilans uspjeha</v>
      </c>
      <c r="E34" s="723"/>
      <c r="F34" s="723"/>
      <c r="G34" s="723"/>
      <c r="H34" s="723"/>
      <c r="I34" s="63">
        <f>VLOOKUP( $B34, T_Aop[], 4, 1)</f>
        <v>413</v>
      </c>
      <c r="J34" s="513"/>
      <c r="K34" s="412"/>
      <c r="L34" s="413"/>
      <c r="P34"/>
    </row>
    <row r="35" spans="2:16" ht="12.75" customHeight="1" x14ac:dyDescent="0.2">
      <c r="B35" s="15">
        <v>277</v>
      </c>
      <c r="C35" s="58">
        <f>VLOOKUP( $B35, T_Aop[], 5, 1)</f>
        <v>0</v>
      </c>
      <c r="D35" s="724" t="str">
        <f>VLOOKUP( $B35, T_Aop[], 6, 1)</f>
        <v xml:space="preserve">      2.6 Odloženi porez na dobit koji se odnosi na ove stavke</v>
      </c>
      <c r="E35" s="724"/>
      <c r="F35" s="724"/>
      <c r="G35" s="724"/>
      <c r="H35" s="724"/>
      <c r="I35" s="59">
        <f>VLOOKUP( $B35, T_Aop[], 4, 1)</f>
        <v>414</v>
      </c>
      <c r="J35" s="500"/>
      <c r="K35" s="163"/>
      <c r="L35" s="164"/>
      <c r="P35"/>
    </row>
    <row r="36" spans="2:16" ht="12.75" customHeight="1" x14ac:dyDescent="0.2">
      <c r="B36" s="15">
        <v>278</v>
      </c>
      <c r="C36" s="66">
        <f>VLOOKUP( $B36, T_Aop[], 5, 1)</f>
        <v>0</v>
      </c>
      <c r="D36" s="743" t="str">
        <f>VLOOKUP( $B36, T_Aop[], 6, 1)</f>
        <v xml:space="preserve">  B. OSTALA DOBIT/GUBITAK U PERIODU (± 401 ± 408)</v>
      </c>
      <c r="E36" s="743"/>
      <c r="F36" s="743"/>
      <c r="G36" s="743"/>
      <c r="H36" s="743"/>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42" t="str">
        <f>VLOOKUP( $B37, T_Aop[], 6, 1)</f>
        <v/>
      </c>
      <c r="E37" s="742"/>
      <c r="F37" s="742"/>
      <c r="G37" s="742"/>
      <c r="H37" s="742"/>
      <c r="I37" s="59">
        <f>VLOOKUP( $B37, T_Aop[], 4, 1)</f>
        <v>0</v>
      </c>
      <c r="J37" s="500"/>
      <c r="K37" s="163"/>
      <c r="L37" s="164"/>
      <c r="P37"/>
    </row>
    <row r="38" spans="2:16" ht="16.5" customHeight="1" x14ac:dyDescent="0.2">
      <c r="B38" s="15">
        <v>280</v>
      </c>
      <c r="C38" s="66">
        <f>VLOOKUP( $B38, T_Aop[], 5, 1)</f>
        <v>0</v>
      </c>
      <c r="D38" s="743" t="str">
        <f>VLOOKUP( $B38, T_Aop[], 6, 1)</f>
        <v xml:space="preserve"> V. UKUPNA DOBIT / (GUBITAK) (400± 415)</v>
      </c>
      <c r="E38" s="743"/>
      <c r="F38" s="743"/>
      <c r="G38" s="743"/>
      <c r="H38" s="743"/>
      <c r="I38" s="179">
        <f>VLOOKUP( $B38, T_Aop[], 4, 1)</f>
        <v>416</v>
      </c>
      <c r="J38" s="513"/>
      <c r="K38" s="73">
        <f>SUBTOTAL( 9, K22:K26,K28,K21)-SUBTOTAL( 9, K27)+ SUBTOTAL( 9, K29:K35)</f>
        <v>5639192</v>
      </c>
      <c r="L38" s="74">
        <f>SUBTOTAL( 9, L22:L26,L28,L21)-SUBTOTAL( 9, L27)+ SUBTOTAL( 9, L29:L35)</f>
        <v>4468922</v>
      </c>
      <c r="P38" s="27"/>
    </row>
    <row r="39" spans="2:16" ht="12" customHeight="1" x14ac:dyDescent="0.2">
      <c r="B39" s="15">
        <v>281</v>
      </c>
      <c r="C39" s="58">
        <f>VLOOKUP( $B39, T_Aop[], 5, 1)</f>
        <v>0</v>
      </c>
      <c r="D39" s="742" t="str">
        <f>VLOOKUP( $B39, T_Aop[], 6, 1)</f>
        <v xml:space="preserve"> </v>
      </c>
      <c r="E39" s="742"/>
      <c r="F39" s="742"/>
      <c r="G39" s="742"/>
      <c r="H39" s="742"/>
      <c r="I39" s="59">
        <f>VLOOKUP( $B39, T_Aop[], 4, 1)</f>
        <v>0</v>
      </c>
      <c r="J39" s="500"/>
      <c r="K39" s="163"/>
      <c r="L39" s="164"/>
      <c r="P39" s="27"/>
    </row>
    <row r="40" spans="2:16" ht="17.25" customHeight="1" x14ac:dyDescent="0.2">
      <c r="B40" s="15">
        <v>282</v>
      </c>
      <c r="C40" s="66"/>
      <c r="D40" s="723" t="str">
        <f>VLOOKUP( $B40, T_Aop[], 6, 1)</f>
        <v>Dio ukupne dobiti/gubitka koji pripada većinskim vlasnicima</v>
      </c>
      <c r="E40" s="723"/>
      <c r="F40" s="723"/>
      <c r="G40" s="723"/>
      <c r="H40" s="723"/>
      <c r="I40" s="63">
        <f>VLOOKUP( $B40, T_Aop[], 4, 1)</f>
        <v>417</v>
      </c>
      <c r="J40" s="513"/>
      <c r="K40" s="412"/>
      <c r="L40" s="413"/>
      <c r="P40" s="27"/>
    </row>
    <row r="41" spans="2:16" ht="17.25" customHeight="1" x14ac:dyDescent="0.2">
      <c r="B41" s="15">
        <v>283</v>
      </c>
      <c r="C41" s="191">
        <f>VLOOKUP( $B41, T_Aop[], 5, 1)</f>
        <v>0</v>
      </c>
      <c r="D41" s="741" t="str">
        <f>VLOOKUP( $B41, T_Aop[], 6, 1)</f>
        <v>Dio ukupne dobiti/gubitka koji pripada manjinskim vlasnicima</v>
      </c>
      <c r="E41" s="741"/>
      <c r="F41" s="741"/>
      <c r="G41" s="741"/>
      <c r="H41" s="741"/>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Banja Luci</v>
      </c>
      <c r="E43"/>
      <c r="F43" s="1" t="str">
        <f>Podnozje_Lice_sa_licencom</f>
        <v>Lice sa licencom:</v>
      </c>
      <c r="G43" s="1" t="str">
        <f>Podatak_Lice_sa_licencom</f>
        <v>Nikola Pilipović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SR-1401/25</v>
      </c>
      <c r="H44" s="510"/>
      <c r="I44"/>
      <c r="K44" s="510" t="str">
        <f>Podatak_Direktor</f>
        <v>V.D. Direktor, Saša Popović, dipl.inž.el.</v>
      </c>
    </row>
    <row r="45" spans="2:16" ht="12.75" customHeight="1" x14ac:dyDescent="0.2">
      <c r="C45" s="180" t="str">
        <f>Podnozje_Dana</f>
        <v>Dana:</v>
      </c>
      <c r="D45" s="418" t="str">
        <f>Podatak_Dana</f>
        <v>30.10.2025.</v>
      </c>
      <c r="E45"/>
      <c r="F45" s="740"/>
      <c r="G45" s="740"/>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7" t="str">
        <f>Zaglavlje_Naziv_preduzeca</f>
        <v xml:space="preserve">Naziv privrednog društva, zadruge, drugog pravnog lica ili preduzetnika: </v>
      </c>
      <c r="D5" s="637"/>
      <c r="E5" s="637"/>
      <c r="K5" s="9"/>
      <c r="L5" s="392" t="str">
        <f>Podatak_MB</f>
        <v>1074440</v>
      </c>
    </row>
    <row r="6" spans="3:12" ht="10.5" customHeight="1" x14ac:dyDescent="0.2">
      <c r="C6" s="637"/>
      <c r="D6" s="637"/>
      <c r="E6" s="637"/>
      <c r="F6" s="9"/>
      <c r="K6" s="9"/>
      <c r="L6" s="421" t="str">
        <f>Zaglavlje_MB</f>
        <v>Matični broj</v>
      </c>
    </row>
    <row r="7" spans="3:12" ht="9" customHeight="1" x14ac:dyDescent="0.2">
      <c r="C7" s="744" t="str">
        <f>Podatak_Naziv_preduzeca</f>
        <v>ODS Elektrokrajina a.d. Banja Luka</v>
      </c>
      <c r="D7" s="744"/>
      <c r="E7" s="744"/>
      <c r="F7" s="744"/>
      <c r="K7" s="9"/>
      <c r="L7" s="392" t="str">
        <f>Podatak_Sifra_djelatnosti</f>
        <v>35.13</v>
      </c>
    </row>
    <row r="8" spans="3:12" x14ac:dyDescent="0.2">
      <c r="C8" s="125" t="str">
        <f>Zaglavlje_Sjediste</f>
        <v>Sjedište:</v>
      </c>
      <c r="D8" s="745" t="str">
        <f>Podatak_Sjediste</f>
        <v>Kralja Petra I Karađorđevića 95 Banja Luka</v>
      </c>
      <c r="E8" s="745"/>
      <c r="F8" s="745"/>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4400855640000</v>
      </c>
    </row>
    <row r="10" spans="3:12" x14ac:dyDescent="0.2">
      <c r="C10" s="737" t="str">
        <f>Podatak_Ziro_racun_1</f>
        <v>555-007-00046178-45</v>
      </c>
      <c r="D10" s="737"/>
      <c r="E10" s="737"/>
      <c r="F10" s="737"/>
      <c r="K10" s="682" t="str">
        <f>Zaglavlje_JIB</f>
        <v>JIB</v>
      </c>
      <c r="L10" s="682"/>
    </row>
    <row r="11" spans="3:12" ht="10.5" customHeight="1" x14ac:dyDescent="0.2">
      <c r="C11" s="722" t="str">
        <f>Podatak_Ziro_racun_2</f>
        <v>571-010-00000582-64</v>
      </c>
      <c r="D11" s="722"/>
      <c r="E11" s="722"/>
      <c r="F11" s="722"/>
    </row>
    <row r="12" spans="3:12" ht="10.5" customHeight="1" x14ac:dyDescent="0.2">
      <c r="C12" s="737" t="str">
        <f>Podatak_Ziro_racun_3</f>
        <v>562-099-00001349-36</v>
      </c>
      <c r="D12" s="737"/>
      <c r="E12" s="737"/>
      <c r="F12" s="737"/>
    </row>
    <row r="13" spans="3:12" ht="9.75" customHeight="1" x14ac:dyDescent="0.2">
      <c r="C13" s="722" t="str">
        <f>Podatak_Ziro_racun_4</f>
        <v>552-000-20644796-78</v>
      </c>
      <c r="D13" s="722"/>
      <c r="E13" s="722"/>
      <c r="F13" s="72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30.09.2025.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9" t="str">
        <f>Tabele_zaglavlje_Redni_broj</f>
        <v>Redni broj</v>
      </c>
      <c r="D18" s="731" t="str">
        <f>Tabele_zaglavlje_Pozicija</f>
        <v>POZICIJA</v>
      </c>
      <c r="E18" s="731"/>
      <c r="F18" s="731"/>
      <c r="G18" s="731"/>
      <c r="H18" s="731"/>
      <c r="I18" s="726" t="str">
        <f>Tabele_zaglavlje_Oznaka_aop</f>
        <v>Oznaka za AOP</v>
      </c>
      <c r="J18" s="726" t="str">
        <f>Tabele_zaglavlje_Napomena_aop</f>
        <v>Napomena</v>
      </c>
      <c r="K18" s="720" t="str">
        <f>Tabele_zaglavlje_Iznos</f>
        <v>Iznos</v>
      </c>
      <c r="L18" s="721"/>
    </row>
    <row r="19" spans="2:16" ht="25.5" x14ac:dyDescent="0.2">
      <c r="C19" s="730"/>
      <c r="D19" s="732"/>
      <c r="E19" s="732"/>
      <c r="F19" s="732"/>
      <c r="G19" s="732"/>
      <c r="H19" s="732"/>
      <c r="I19" s="727"/>
      <c r="J19" s="727"/>
      <c r="K19" s="42" t="str">
        <f>Tabele_zaglavlje_Tekuca_godina</f>
        <v>Tekuća godina</v>
      </c>
      <c r="L19" s="43" t="str">
        <f>Tabele_zaglavlje_Prethodna_godina</f>
        <v>Prethodna godina</v>
      </c>
      <c r="P19" s="134" t="s">
        <v>490</v>
      </c>
    </row>
    <row r="20" spans="2:16" x14ac:dyDescent="0.2">
      <c r="B20" s="44" t="s">
        <v>123</v>
      </c>
      <c r="C20" s="69">
        <v>1</v>
      </c>
      <c r="D20" s="733">
        <v>2</v>
      </c>
      <c r="E20" s="733"/>
      <c r="F20" s="733"/>
      <c r="G20" s="733"/>
      <c r="H20" s="733"/>
      <c r="I20" s="70">
        <v>3</v>
      </c>
      <c r="J20" s="70"/>
      <c r="K20" s="465">
        <v>4</v>
      </c>
      <c r="L20" s="466">
        <v>5</v>
      </c>
    </row>
    <row r="21" spans="2:16" ht="24.75" customHeight="1" x14ac:dyDescent="0.2">
      <c r="B21" s="47">
        <v>284</v>
      </c>
      <c r="C21" s="71" t="str">
        <f>VLOOKUP( $B21, T_Aop[], 5, 1)</f>
        <v>A_x000D_
I</v>
      </c>
      <c r="D21" s="754" t="str">
        <f>VLOOKUP( $B21, T_Aop[], 6, 1)</f>
        <v>TOKOVI GOTOVINE IZ POSLOVNIH AKTIVNOSTI 
Prilivi gotovine iz poslovne aktivnosti (502 do 505)</v>
      </c>
      <c r="E21" s="754"/>
      <c r="F21" s="754"/>
      <c r="G21" s="754"/>
      <c r="H21" s="754"/>
      <c r="I21" s="185">
        <f>VLOOKUP( $B21, T_Aop[], 4, 1)</f>
        <v>501</v>
      </c>
      <c r="J21" s="570"/>
      <c r="K21" s="406">
        <f>SUBTOTAL( 9, K22:K25)</f>
        <v>0</v>
      </c>
      <c r="L21" s="407">
        <f>SUBTOTAL( 9, L22:L25)</f>
        <v>0</v>
      </c>
      <c r="P21" s="27"/>
    </row>
    <row r="22" spans="2:16" ht="12" customHeight="1" x14ac:dyDescent="0.2">
      <c r="B22" s="47">
        <v>285</v>
      </c>
      <c r="C22" s="58" t="str">
        <f>VLOOKUP( $B22, T_Aop[], 5, 1)</f>
        <v>1</v>
      </c>
      <c r="D22" s="724" t="str">
        <f>VLOOKUP( $B22, T_Aop[], 6, 1)</f>
        <v xml:space="preserve">    Prilivi od kupaca i primljeni avansi u zemlji</v>
      </c>
      <c r="E22" s="724"/>
      <c r="F22" s="724"/>
      <c r="G22" s="724"/>
      <c r="H22" s="724"/>
      <c r="I22" s="59">
        <f>VLOOKUP( $B22, T_Aop[], 4, 1)</f>
        <v>502</v>
      </c>
      <c r="J22" s="571"/>
      <c r="K22" s="155"/>
      <c r="L22" s="156"/>
      <c r="P22" s="27"/>
    </row>
    <row r="23" spans="2:16" ht="12" customHeight="1" x14ac:dyDescent="0.2">
      <c r="B23" s="47">
        <v>286</v>
      </c>
      <c r="C23" s="62" t="str">
        <f>VLOOKUP( $B23, T_Aop[], 5, 1)</f>
        <v>2</v>
      </c>
      <c r="D23" s="747" t="str">
        <f>VLOOKUP( $B23, T_Aop[], 6, 1)</f>
        <v xml:space="preserve">    Prilivi od kupaca i primljeni avansi u inostranstvu</v>
      </c>
      <c r="E23" s="747"/>
      <c r="F23" s="747"/>
      <c r="G23" s="747"/>
      <c r="H23" s="747"/>
      <c r="I23" s="75">
        <f>VLOOKUP( $B23, T_Aop[], 4, 1)</f>
        <v>503</v>
      </c>
      <c r="J23" s="572"/>
      <c r="K23" s="157"/>
      <c r="L23" s="158"/>
      <c r="P23" s="27"/>
    </row>
    <row r="24" spans="2:16" ht="12" customHeight="1" x14ac:dyDescent="0.2">
      <c r="B24" s="47">
        <v>287</v>
      </c>
      <c r="C24" s="58" t="str">
        <f>VLOOKUP( $B24, T_Aop[], 5, 1)</f>
        <v>3</v>
      </c>
      <c r="D24" s="724" t="str">
        <f>VLOOKUP( $B24, T_Aop[], 6, 1)</f>
        <v xml:space="preserve">    Prilivi od premija, subvencija, dotacija i sl.</v>
      </c>
      <c r="E24" s="724"/>
      <c r="F24" s="724"/>
      <c r="G24" s="724"/>
      <c r="H24" s="724"/>
      <c r="I24" s="59">
        <f>VLOOKUP( $B24, T_Aop[], 4, 1)</f>
        <v>504</v>
      </c>
      <c r="J24" s="571"/>
      <c r="K24" s="155"/>
      <c r="L24" s="156"/>
      <c r="P24" s="27"/>
    </row>
    <row r="25" spans="2:16" ht="12" customHeight="1" x14ac:dyDescent="0.2">
      <c r="B25" s="47">
        <v>288</v>
      </c>
      <c r="C25" s="62" t="str">
        <f>VLOOKUP( $B25, T_Aop[], 5, 1)</f>
        <v>4</v>
      </c>
      <c r="D25" s="747" t="str">
        <f>VLOOKUP( $B25, T_Aop[], 6, 1)</f>
        <v xml:space="preserve">    Ostali prilivi iz poslovnih aktivnosti</v>
      </c>
      <c r="E25" s="747"/>
      <c r="F25" s="747"/>
      <c r="G25" s="747"/>
      <c r="H25" s="747"/>
      <c r="I25" s="75">
        <f>VLOOKUP( $B25, T_Aop[], 4, 1)</f>
        <v>505</v>
      </c>
      <c r="J25" s="572"/>
      <c r="K25" s="159"/>
      <c r="L25" s="160"/>
      <c r="P25" s="27"/>
    </row>
    <row r="26" spans="2:16" ht="12" customHeight="1" x14ac:dyDescent="0.2">
      <c r="B26" s="47">
        <v>289</v>
      </c>
      <c r="C26" s="58" t="str">
        <f>VLOOKUP( $B26, T_Aop[], 5, 1)</f>
        <v>II</v>
      </c>
      <c r="D26" s="742" t="str">
        <f>VLOOKUP( $B26, T_Aop[], 6, 1)</f>
        <v xml:space="preserve">    Odlivi gotovine iz poslovnih aktivnosti (507 do 512)</v>
      </c>
      <c r="E26" s="742"/>
      <c r="F26" s="742"/>
      <c r="G26" s="742"/>
      <c r="H26" s="742"/>
      <c r="I26" s="178">
        <f>VLOOKUP( $B26, T_Aop[], 4, 1)</f>
        <v>506</v>
      </c>
      <c r="J26" s="571"/>
      <c r="K26" s="60">
        <f>SUBTOTAL( 9, K27:K32)</f>
        <v>0</v>
      </c>
      <c r="L26" s="61">
        <f>SUBTOTAL( 9, L27:L32)</f>
        <v>0</v>
      </c>
      <c r="P26" s="27"/>
    </row>
    <row r="27" spans="2:16" ht="12" customHeight="1" x14ac:dyDescent="0.2">
      <c r="B27" s="47">
        <v>290</v>
      </c>
      <c r="C27" s="62" t="str">
        <f>VLOOKUP( $B27, T_Aop[], 5, 1)</f>
        <v>1</v>
      </c>
      <c r="D27" s="747" t="str">
        <f>VLOOKUP( $B27, T_Aop[], 6, 1)</f>
        <v xml:space="preserve">    Odlivi po osnovu isplata dobavljačima i dati avansi u zemlji</v>
      </c>
      <c r="E27" s="747"/>
      <c r="F27" s="747"/>
      <c r="G27" s="747"/>
      <c r="H27" s="747"/>
      <c r="I27" s="75">
        <f>VLOOKUP( $B27, T_Aop[], 4, 1)</f>
        <v>507</v>
      </c>
      <c r="J27" s="572"/>
      <c r="K27" s="157"/>
      <c r="L27" s="158"/>
      <c r="P27" s="27"/>
    </row>
    <row r="28" spans="2:16" ht="12" customHeight="1" x14ac:dyDescent="0.2">
      <c r="B28" s="47">
        <v>291</v>
      </c>
      <c r="C28" s="58" t="str">
        <f>VLOOKUP( $B28, T_Aop[], 5, 1)</f>
        <v>2</v>
      </c>
      <c r="D28" s="724" t="str">
        <f>VLOOKUP( $B28, T_Aop[], 6, 1)</f>
        <v xml:space="preserve">    Odlivi po osnovu isplata dobavljačima i dati avansi u inostranstvu</v>
      </c>
      <c r="E28" s="724"/>
      <c r="F28" s="724"/>
      <c r="G28" s="724"/>
      <c r="H28" s="724"/>
      <c r="I28" s="59">
        <f>VLOOKUP( $B28, T_Aop[], 4, 1)</f>
        <v>508</v>
      </c>
      <c r="J28" s="571"/>
      <c r="K28" s="155"/>
      <c r="L28" s="156"/>
      <c r="P28" s="27"/>
    </row>
    <row r="29" spans="2:16" ht="12" customHeight="1" x14ac:dyDescent="0.2">
      <c r="B29" s="47">
        <v>292</v>
      </c>
      <c r="C29" s="62" t="str">
        <f>VLOOKUP( $B29, T_Aop[], 5, 1)</f>
        <v>3</v>
      </c>
      <c r="D29" s="747" t="str">
        <f>VLOOKUP( $B29, T_Aop[], 6, 1)</f>
        <v xml:space="preserve">    Odlivi po osnovu plaćenih kamata</v>
      </c>
      <c r="E29" s="747"/>
      <c r="F29" s="747"/>
      <c r="G29" s="747"/>
      <c r="H29" s="747"/>
      <c r="I29" s="75">
        <f>VLOOKUP( $B29, T_Aop[], 4, 1)</f>
        <v>509</v>
      </c>
      <c r="J29" s="572"/>
      <c r="K29" s="157"/>
      <c r="L29" s="158"/>
      <c r="P29" s="27"/>
    </row>
    <row r="30" spans="2:16" ht="12" customHeight="1" x14ac:dyDescent="0.2">
      <c r="B30" s="47">
        <v>293</v>
      </c>
      <c r="C30" s="58" t="str">
        <f>VLOOKUP( $B30, T_Aop[], 5, 1)</f>
        <v>4</v>
      </c>
      <c r="D30" s="724" t="str">
        <f>VLOOKUP( $B30, T_Aop[], 6, 1)</f>
        <v xml:space="preserve">    Odlivi po osnovu isplata plata, naknada plata i ostalih ličnih rashoda</v>
      </c>
      <c r="E30" s="724"/>
      <c r="F30" s="724"/>
      <c r="G30" s="724"/>
      <c r="H30" s="724"/>
      <c r="I30" s="59">
        <f>VLOOKUP( $B30, T_Aop[], 4, 1)</f>
        <v>510</v>
      </c>
      <c r="J30" s="571"/>
      <c r="K30" s="155"/>
      <c r="L30" s="156"/>
      <c r="P30" s="27"/>
    </row>
    <row r="31" spans="2:16" ht="12" customHeight="1" x14ac:dyDescent="0.2">
      <c r="B31" s="47">
        <v>294</v>
      </c>
      <c r="C31" s="62" t="str">
        <f>VLOOKUP( $B31, T_Aop[], 5, 1)</f>
        <v>5</v>
      </c>
      <c r="D31" s="747" t="str">
        <f>VLOOKUP( $B31, T_Aop[], 6, 1)</f>
        <v xml:space="preserve">    Odlivi po osnovu poreza na dobit</v>
      </c>
      <c r="E31" s="747"/>
      <c r="F31" s="747"/>
      <c r="G31" s="747"/>
      <c r="H31" s="747"/>
      <c r="I31" s="75">
        <f>VLOOKUP( $B31, T_Aop[], 4, 1)</f>
        <v>511</v>
      </c>
      <c r="J31" s="572"/>
      <c r="K31" s="157"/>
      <c r="L31" s="158"/>
      <c r="P31" s="27"/>
    </row>
    <row r="32" spans="2:16" ht="12" customHeight="1" x14ac:dyDescent="0.2">
      <c r="B32" s="47">
        <v>295</v>
      </c>
      <c r="C32" s="58" t="str">
        <f>VLOOKUP( $B32, T_Aop[], 5, 1)</f>
        <v>6</v>
      </c>
      <c r="D32" s="724" t="str">
        <f>VLOOKUP( $B32, T_Aop[], 6, 1)</f>
        <v xml:space="preserve">    Ostali odlivi iz poslovnih aktivnosti</v>
      </c>
      <c r="E32" s="724"/>
      <c r="F32" s="724"/>
      <c r="G32" s="724"/>
      <c r="H32" s="724"/>
      <c r="I32" s="59">
        <f>VLOOKUP( $B32, T_Aop[], 4, 1)</f>
        <v>512</v>
      </c>
      <c r="J32" s="571"/>
      <c r="K32" s="155"/>
      <c r="L32" s="156"/>
      <c r="P32" s="27"/>
    </row>
    <row r="33" spans="2:16" x14ac:dyDescent="0.2">
      <c r="B33" s="47">
        <v>296</v>
      </c>
      <c r="C33" s="62" t="str">
        <f>VLOOKUP( $B33, T_Aop[], 5, 1)</f>
        <v>III</v>
      </c>
      <c r="D33" s="746" t="str">
        <f>VLOOKUP( $B33, T_Aop[], 6, 1)</f>
        <v xml:space="preserve">  Neto priliv gotovine iz poslovnih aktivnosti (501 – 506)</v>
      </c>
      <c r="E33" s="746"/>
      <c r="F33" s="746"/>
      <c r="G33" s="746"/>
      <c r="H33" s="746"/>
      <c r="I33" s="189">
        <f>VLOOKUP( $B33, T_Aop[], 4, 1)</f>
        <v>513</v>
      </c>
      <c r="J33" s="572"/>
      <c r="K33" s="67">
        <f>IF( SUBTOTAL( 9, K21:K25) - SUBTOTAL( 9, K26:K32) &lt;= 0, 0, ABS( SUBTOTAL( 9, K21:K25) - SUBTOTAL( 9, K26:K32)) )</f>
        <v>0</v>
      </c>
      <c r="L33" s="68">
        <f>IF( SUBTOTAL( 9, L21:L25) - SUBTOTAL( 9, L26:L32) &lt;= 0, 0, ABS( SUBTOTAL( 9, L21:L25) - SUBTOTAL( 9, L26:L32)) )</f>
        <v>0</v>
      </c>
      <c r="P33" s="27"/>
    </row>
    <row r="34" spans="2:16" x14ac:dyDescent="0.2">
      <c r="B34" s="47">
        <v>297</v>
      </c>
      <c r="C34" s="58" t="str">
        <f>VLOOKUP( $B34, T_Aop[], 5, 1)</f>
        <v>IV</v>
      </c>
      <c r="D34" s="742" t="str">
        <f>VLOOKUP( $B34, T_Aop[], 6, 1)</f>
        <v xml:space="preserve">  Neto odliv gotovine iz poslovnih aktivnosti (506 – 501)</v>
      </c>
      <c r="E34" s="742"/>
      <c r="F34" s="742"/>
      <c r="G34" s="742"/>
      <c r="H34" s="742"/>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65" customHeight="1" x14ac:dyDescent="0.2">
      <c r="B35" s="47">
        <v>298</v>
      </c>
      <c r="C35" s="62" t="str">
        <f>VLOOKUP( $B35, T_Aop[], 5, 1)</f>
        <v>B_x000D_
I</v>
      </c>
      <c r="D35" s="746" t="str">
        <f>VLOOKUP( $B35, T_Aop[], 6, 1)</f>
        <v>TOKOVI GOTOVINE IZ AKTIVNOSTI INVESTIRANJA
Prilivi gotovine iz aktivnosti investiranja (516 do 530)</v>
      </c>
      <c r="E35" s="746"/>
      <c r="F35" s="746"/>
      <c r="G35" s="746"/>
      <c r="H35" s="746"/>
      <c r="I35" s="189">
        <f>VLOOKUP( $B35, T_Aop[], 4, 1)</f>
        <v>515</v>
      </c>
      <c r="J35" s="572"/>
      <c r="K35" s="67">
        <f>SUBTOTAL( 9, K36:K50)</f>
        <v>0</v>
      </c>
      <c r="L35" s="68">
        <f>SUBTOTAL( 9, L36:L50)</f>
        <v>0</v>
      </c>
      <c r="P35" s="27"/>
    </row>
    <row r="36" spans="2:16" ht="21" customHeight="1" x14ac:dyDescent="0.2">
      <c r="B36" s="47">
        <v>299</v>
      </c>
      <c r="C36" s="58" t="str">
        <f>VLOOKUP( $B36, T_Aop[], 5, 1)</f>
        <v>1</v>
      </c>
      <c r="D36" s="724" t="str">
        <f>VLOOKUP( $B36, T_Aop[], 6, 1)</f>
        <v xml:space="preserve">    Prilivi gotovine po osnovu prodaje akcija i udjela zavisnih i pridruženih društava i zajedničkih poduhvata</v>
      </c>
      <c r="E36" s="724"/>
      <c r="F36" s="724"/>
      <c r="G36" s="724"/>
      <c r="H36" s="724"/>
      <c r="I36" s="59">
        <f>VLOOKUP( $B36, T_Aop[], 4, 1)</f>
        <v>516</v>
      </c>
      <c r="J36" s="571"/>
      <c r="K36" s="155"/>
      <c r="L36" s="156"/>
      <c r="P36" s="27"/>
    </row>
    <row r="37" spans="2:16" ht="12" customHeight="1" x14ac:dyDescent="0.2">
      <c r="B37" s="47">
        <v>300</v>
      </c>
      <c r="C37" s="62" t="str">
        <f>VLOOKUP( $B37, T_Aop[], 5, 1)</f>
        <v>2</v>
      </c>
      <c r="D37" s="747" t="str">
        <f>VLOOKUP( $B37, T_Aop[], 6, 1)</f>
        <v xml:space="preserve">    Prilivi po osnovu prodaje nekretnina, postrojenja i opreme</v>
      </c>
      <c r="E37" s="747"/>
      <c r="F37" s="747"/>
      <c r="G37" s="747"/>
      <c r="H37" s="747"/>
      <c r="I37" s="75">
        <f>VLOOKUP( $B37, T_Aop[], 4, 1)</f>
        <v>517</v>
      </c>
      <c r="J37" s="572"/>
      <c r="K37" s="159"/>
      <c r="L37" s="160"/>
      <c r="P37" s="27"/>
    </row>
    <row r="38" spans="2:16" ht="12" customHeight="1" x14ac:dyDescent="0.2">
      <c r="B38" s="47">
        <v>301</v>
      </c>
      <c r="C38" s="58" t="str">
        <f>VLOOKUP( $B38, T_Aop[], 5, 1)</f>
        <v>3</v>
      </c>
      <c r="D38" s="724" t="str">
        <f>VLOOKUP( $B38, T_Aop[], 6, 1)</f>
        <v xml:space="preserve">    Prilivi po osnovu prodaje investicionih nekretnina</v>
      </c>
      <c r="E38" s="724"/>
      <c r="F38" s="724"/>
      <c r="G38" s="724"/>
      <c r="H38" s="724"/>
      <c r="I38" s="59">
        <f>VLOOKUP( $B38, T_Aop[], 4, 1)</f>
        <v>518</v>
      </c>
      <c r="J38" s="571"/>
      <c r="K38" s="155"/>
      <c r="L38" s="156"/>
      <c r="P38" s="133" t="s">
        <v>313</v>
      </c>
    </row>
    <row r="39" spans="2:16" ht="12" customHeight="1" x14ac:dyDescent="0.2">
      <c r="B39" s="47">
        <v>302</v>
      </c>
      <c r="C39" s="62" t="str">
        <f>VLOOKUP( $B39, T_Aop[], 5, 1)</f>
        <v>4</v>
      </c>
      <c r="D39" s="747" t="str">
        <f>VLOOKUP( $B39, T_Aop[], 6, 1)</f>
        <v xml:space="preserve">    Prilivi po osnovu prodaje bioloških sredstava</v>
      </c>
      <c r="E39" s="747"/>
      <c r="F39" s="747"/>
      <c r="G39" s="747"/>
      <c r="H39" s="747"/>
      <c r="I39" s="75">
        <f>VLOOKUP( $B39, T_Aop[], 4, 1)</f>
        <v>519</v>
      </c>
      <c r="J39" s="572"/>
      <c r="K39" s="159"/>
      <c r="L39" s="160"/>
      <c r="P39" s="27"/>
    </row>
    <row r="40" spans="2:16" ht="12" customHeight="1" x14ac:dyDescent="0.2">
      <c r="B40" s="47">
        <v>303</v>
      </c>
      <c r="C40" s="58" t="str">
        <f>VLOOKUP( $B40, T_Aop[], 5, 1)</f>
        <v>5</v>
      </c>
      <c r="D40" s="724" t="str">
        <f>VLOOKUP( $B40, T_Aop[], 6, 1)</f>
        <v xml:space="preserve">    Prilivi po osnovu prodaje nematerijalnih sredstava</v>
      </c>
      <c r="E40" s="724"/>
      <c r="F40" s="724"/>
      <c r="G40" s="724"/>
      <c r="H40" s="724"/>
      <c r="I40" s="59">
        <f>VLOOKUP( $B40, T_Aop[], 4, 1)</f>
        <v>520</v>
      </c>
      <c r="J40" s="571"/>
      <c r="K40" s="155"/>
      <c r="L40" s="156"/>
      <c r="P40" s="27"/>
    </row>
    <row r="41" spans="2:16" ht="12" customHeight="1" x14ac:dyDescent="0.2">
      <c r="B41" s="47">
        <v>304</v>
      </c>
      <c r="C41" s="62" t="str">
        <f>VLOOKUP( $B41, T_Aop[], 5, 1)</f>
        <v>6</v>
      </c>
      <c r="D41" s="747" t="str">
        <f>VLOOKUP( $B41, T_Aop[], 6, 1)</f>
        <v xml:space="preserve">    Prilivi po osnovu prodaje stalnih sredstava namijenjenih prodaji</v>
      </c>
      <c r="E41" s="747"/>
      <c r="F41" s="747"/>
      <c r="G41" s="747"/>
      <c r="H41" s="747"/>
      <c r="I41" s="75">
        <f>VLOOKUP( $B41, T_Aop[], 4, 1)</f>
        <v>521</v>
      </c>
      <c r="J41" s="572"/>
      <c r="K41" s="159"/>
      <c r="L41" s="160"/>
      <c r="P41" s="27"/>
    </row>
    <row r="42" spans="2:16" ht="12" customHeight="1" x14ac:dyDescent="0.2">
      <c r="B42" s="47">
        <v>305</v>
      </c>
      <c r="C42" s="58" t="str">
        <f>VLOOKUP( $B42, T_Aop[], 5, 1)</f>
        <v>7</v>
      </c>
      <c r="D42" s="724" t="str">
        <f>VLOOKUP( $B42, T_Aop[], 6, 1)</f>
        <v xml:space="preserve">    Prilivi od finansijskih sredstava po fer vrijednosti kroz ostali ukupni rezultat</v>
      </c>
      <c r="E42" s="724"/>
      <c r="F42" s="724"/>
      <c r="G42" s="724"/>
      <c r="H42" s="724"/>
      <c r="I42" s="59">
        <f>VLOOKUP( $B42, T_Aop[], 4, 1)</f>
        <v>522</v>
      </c>
      <c r="J42" s="571"/>
      <c r="K42" s="155"/>
      <c r="L42" s="156"/>
      <c r="P42" s="27"/>
    </row>
    <row r="43" spans="2:16" ht="12" customHeight="1" x14ac:dyDescent="0.2">
      <c r="B43" s="47">
        <v>306</v>
      </c>
      <c r="C43" s="62" t="str">
        <f>VLOOKUP( $B43, T_Aop[], 5, 1)</f>
        <v>8</v>
      </c>
      <c r="D43" s="747" t="str">
        <f>VLOOKUP( $B43, T_Aop[], 6, 1)</f>
        <v xml:space="preserve">    Prilivi od finansijskih sredstva po fer vrijednosti kroz bilans uspjeha</v>
      </c>
      <c r="E43" s="747"/>
      <c r="F43" s="747"/>
      <c r="G43" s="747"/>
      <c r="H43" s="747"/>
      <c r="I43" s="75">
        <f>VLOOKUP( $B43, T_Aop[], 4, 1)</f>
        <v>523</v>
      </c>
      <c r="J43" s="572"/>
      <c r="K43" s="159"/>
      <c r="L43" s="160"/>
      <c r="P43" s="27"/>
    </row>
    <row r="44" spans="2:16" ht="12" customHeight="1" x14ac:dyDescent="0.2">
      <c r="B44" s="47">
        <v>307</v>
      </c>
      <c r="C44" s="58" t="str">
        <f>VLOOKUP( $B44, T_Aop[], 5, 1)</f>
        <v>9</v>
      </c>
      <c r="D44" s="724" t="str">
        <f>VLOOKUP( $B44, T_Aop[], 6, 1)</f>
        <v xml:space="preserve">    Prilivi od ostalih finansijskih sredstava po amortizovanoj vrijednosti</v>
      </c>
      <c r="E44" s="724"/>
      <c r="F44" s="724"/>
      <c r="G44" s="724"/>
      <c r="H44" s="724"/>
      <c r="I44" s="59">
        <f>VLOOKUP( $B44, T_Aop[], 4, 1)</f>
        <v>524</v>
      </c>
      <c r="J44" s="571"/>
      <c r="K44" s="155"/>
      <c r="L44" s="156"/>
      <c r="P44" s="27"/>
    </row>
    <row r="45" spans="2:16" ht="12" customHeight="1" x14ac:dyDescent="0.2">
      <c r="B45" s="47">
        <v>308</v>
      </c>
      <c r="C45" s="62" t="str">
        <f>VLOOKUP( $B45, T_Aop[], 5, 1)</f>
        <v>10</v>
      </c>
      <c r="D45" s="747" t="str">
        <f>VLOOKUP( $B45, T_Aop[], 6, 1)</f>
        <v xml:space="preserve">    Prilivi po osnovu lizinga (glavnica)</v>
      </c>
      <c r="E45" s="747"/>
      <c r="F45" s="747"/>
      <c r="G45" s="747"/>
      <c r="H45" s="747"/>
      <c r="I45" s="75">
        <f>VLOOKUP( $B45, T_Aop[], 4, 1)</f>
        <v>525</v>
      </c>
      <c r="J45" s="572"/>
      <c r="K45" s="159"/>
      <c r="L45" s="160"/>
      <c r="P45" s="133" t="s">
        <v>313</v>
      </c>
    </row>
    <row r="46" spans="2:16" ht="12" customHeight="1" x14ac:dyDescent="0.2">
      <c r="B46" s="47">
        <v>309</v>
      </c>
      <c r="C46" s="58" t="str">
        <f>VLOOKUP( $B46, T_Aop[], 5, 1)</f>
        <v>11</v>
      </c>
      <c r="D46" s="724" t="str">
        <f>VLOOKUP( $B46, T_Aop[], 6, 1)</f>
        <v xml:space="preserve">    Prilivi po osnovu lizinga (kamata)</v>
      </c>
      <c r="E46" s="724"/>
      <c r="F46" s="724"/>
      <c r="G46" s="724"/>
      <c r="H46" s="724"/>
      <c r="I46" s="59">
        <f>VLOOKUP( $B46, T_Aop[], 4, 1)</f>
        <v>526</v>
      </c>
      <c r="J46" s="571"/>
      <c r="K46" s="155"/>
      <c r="L46" s="156"/>
      <c r="P46" s="27"/>
    </row>
    <row r="47" spans="2:16" ht="12" customHeight="1" x14ac:dyDescent="0.2">
      <c r="B47" s="47">
        <v>310</v>
      </c>
      <c r="C47" s="62" t="str">
        <f>VLOOKUP( $B47, T_Aop[], 5, 1)</f>
        <v>12</v>
      </c>
      <c r="D47" s="747" t="str">
        <f>VLOOKUP( $B47, T_Aop[], 6, 1)</f>
        <v xml:space="preserve">    Prilivi po osnovu kamata</v>
      </c>
      <c r="E47" s="747"/>
      <c r="F47" s="747"/>
      <c r="G47" s="747"/>
      <c r="H47" s="747"/>
      <c r="I47" s="75">
        <f>VLOOKUP( $B47, T_Aop[], 4, 1)</f>
        <v>527</v>
      </c>
      <c r="J47" s="572"/>
      <c r="K47" s="159"/>
      <c r="L47" s="160"/>
      <c r="P47" s="27"/>
    </row>
    <row r="48" spans="2:16" ht="12" customHeight="1" x14ac:dyDescent="0.2">
      <c r="B48" s="47">
        <v>311</v>
      </c>
      <c r="C48" s="58" t="str">
        <f>VLOOKUP( $B48, T_Aop[], 5, 1)</f>
        <v>13</v>
      </c>
      <c r="D48" s="724" t="str">
        <f>VLOOKUP( $B48, T_Aop[], 6, 1)</f>
        <v xml:space="preserve">    Prilivi od dividendi i učešća u dobiti</v>
      </c>
      <c r="E48" s="724"/>
      <c r="F48" s="724"/>
      <c r="G48" s="724"/>
      <c r="H48" s="724"/>
      <c r="I48" s="59">
        <f>VLOOKUP( $B48, T_Aop[], 4, 1)</f>
        <v>528</v>
      </c>
      <c r="J48" s="571"/>
      <c r="K48" s="155"/>
      <c r="L48" s="156"/>
      <c r="P48" s="27"/>
    </row>
    <row r="49" spans="2:16" ht="12" customHeight="1" x14ac:dyDescent="0.2">
      <c r="B49" s="47">
        <v>312</v>
      </c>
      <c r="C49" s="62" t="str">
        <f>VLOOKUP( $B49, T_Aop[], 5, 1)</f>
        <v>14</v>
      </c>
      <c r="D49" s="747" t="str">
        <f>VLOOKUP( $B49, T_Aop[], 6, 1)</f>
        <v xml:space="preserve">    Prilivi po osnovu derivatnih finansijskih instrumenata</v>
      </c>
      <c r="E49" s="747"/>
      <c r="F49" s="747"/>
      <c r="G49" s="747"/>
      <c r="H49" s="747"/>
      <c r="I49" s="75">
        <f>VLOOKUP( $B49, T_Aop[], 4, 1)</f>
        <v>529</v>
      </c>
      <c r="J49" s="572"/>
      <c r="K49" s="159"/>
      <c r="L49" s="160"/>
      <c r="P49" s="27"/>
    </row>
    <row r="50" spans="2:16" ht="12" customHeight="1" x14ac:dyDescent="0.2">
      <c r="B50" s="47">
        <v>313</v>
      </c>
      <c r="C50" s="58" t="str">
        <f>VLOOKUP( $B50, T_Aop[], 5, 1)</f>
        <v>15</v>
      </c>
      <c r="D50" s="724" t="str">
        <f>VLOOKUP( $B50, T_Aop[], 6, 1)</f>
        <v xml:space="preserve">    Ostali prilivi iz aktivnosti investiranja</v>
      </c>
      <c r="E50" s="724"/>
      <c r="F50" s="724"/>
      <c r="G50" s="724"/>
      <c r="H50" s="724"/>
      <c r="I50" s="59">
        <f>VLOOKUP( $B50, T_Aop[], 4, 1)</f>
        <v>530</v>
      </c>
      <c r="J50" s="571"/>
      <c r="K50" s="155"/>
      <c r="L50" s="156"/>
      <c r="P50" s="27"/>
    </row>
    <row r="51" spans="2:16" ht="12" customHeight="1" x14ac:dyDescent="0.2">
      <c r="B51" s="47">
        <v>314</v>
      </c>
      <c r="C51" s="62" t="str">
        <f>VLOOKUP( $B51, T_Aop[], 5, 1)</f>
        <v>II</v>
      </c>
      <c r="D51" s="746" t="str">
        <f>VLOOKUP( $B51, T_Aop[], 6, 1)</f>
        <v xml:space="preserve">  Odlivi gotovine iz aktivnosti investiranja (532 do 541)</v>
      </c>
      <c r="E51" s="746"/>
      <c r="F51" s="746"/>
      <c r="G51" s="746"/>
      <c r="H51" s="746"/>
      <c r="I51" s="189">
        <f>VLOOKUP( $B51, T_Aop[], 4, 1)</f>
        <v>531</v>
      </c>
      <c r="J51" s="572"/>
      <c r="K51" s="64">
        <f>SUBTOTAL( 9, K52:K61)</f>
        <v>0</v>
      </c>
      <c r="L51" s="65">
        <f>SUBTOTAL( 9, L52:L61)</f>
        <v>0</v>
      </c>
      <c r="P51" s="27"/>
    </row>
    <row r="52" spans="2:16" ht="23.65" customHeight="1" x14ac:dyDescent="0.2">
      <c r="B52" s="47">
        <v>315</v>
      </c>
      <c r="C52" s="58" t="str">
        <f>VLOOKUP( $B52, T_Aop[], 5, 1)</f>
        <v>1</v>
      </c>
      <c r="D52" s="724" t="str">
        <f>VLOOKUP( $B52, T_Aop[], 6, 1)</f>
        <v xml:space="preserve">    Odlivi gotovine po osnovu kupovine akcija i udjela zavisnih i pridruženih društava i zajedničkih poduhvata</v>
      </c>
      <c r="E52" s="724"/>
      <c r="F52" s="724"/>
      <c r="G52" s="724"/>
      <c r="H52" s="724"/>
      <c r="I52" s="59">
        <f>VLOOKUP( $B52, T_Aop[], 4, 1)</f>
        <v>532</v>
      </c>
      <c r="J52" s="571"/>
      <c r="K52" s="155"/>
      <c r="L52" s="156"/>
      <c r="P52" s="27"/>
    </row>
    <row r="53" spans="2:16" ht="12" customHeight="1" x14ac:dyDescent="0.2">
      <c r="B53" s="47">
        <v>316</v>
      </c>
      <c r="C53" s="62" t="str">
        <f>VLOOKUP( $B53, T_Aop[], 5, 1)</f>
        <v>2</v>
      </c>
      <c r="D53" s="747" t="str">
        <f>VLOOKUP( $B53, T_Aop[], 6, 1)</f>
        <v xml:space="preserve">    Odlivi po osnovu kupovine nekretnina, postrojenja i opreme</v>
      </c>
      <c r="E53" s="747"/>
      <c r="F53" s="747"/>
      <c r="G53" s="747"/>
      <c r="H53" s="747"/>
      <c r="I53" s="75">
        <f>VLOOKUP( $B53, T_Aop[], 4, 1)</f>
        <v>533</v>
      </c>
      <c r="J53" s="572"/>
      <c r="K53" s="159"/>
      <c r="L53" s="160"/>
      <c r="P53" s="27"/>
    </row>
    <row r="54" spans="2:16" ht="12" customHeight="1" x14ac:dyDescent="0.2">
      <c r="B54" s="47">
        <v>317</v>
      </c>
      <c r="C54" s="58" t="str">
        <f>VLOOKUP( $B54, T_Aop[], 5, 1)</f>
        <v>3</v>
      </c>
      <c r="D54" s="724" t="str">
        <f>VLOOKUP( $B54, T_Aop[], 6, 1)</f>
        <v xml:space="preserve">    Odlivi po osnovu kupovine investicionih nekretnina</v>
      </c>
      <c r="E54" s="724"/>
      <c r="F54" s="724"/>
      <c r="G54" s="724"/>
      <c r="H54" s="724"/>
      <c r="I54" s="59">
        <f>VLOOKUP( $B54, T_Aop[], 4, 1)</f>
        <v>534</v>
      </c>
      <c r="J54" s="571"/>
      <c r="K54" s="155"/>
      <c r="L54" s="156"/>
      <c r="P54" s="27"/>
    </row>
    <row r="55" spans="2:16" ht="12" customHeight="1" x14ac:dyDescent="0.2">
      <c r="B55" s="47">
        <v>318</v>
      </c>
      <c r="C55" s="62" t="str">
        <f>VLOOKUP( $B55, T_Aop[], 5, 1)</f>
        <v>4</v>
      </c>
      <c r="D55" s="747" t="str">
        <f>VLOOKUP( $B55, T_Aop[], 6, 1)</f>
        <v xml:space="preserve">    Odlivi po osnovu kupovine bioloških sredstava</v>
      </c>
      <c r="E55" s="747"/>
      <c r="F55" s="747"/>
      <c r="G55" s="747"/>
      <c r="H55" s="747"/>
      <c r="I55" s="75">
        <f>VLOOKUP( $B55, T_Aop[], 4, 1)</f>
        <v>535</v>
      </c>
      <c r="J55" s="572"/>
      <c r="K55" s="159"/>
      <c r="L55" s="160"/>
      <c r="P55" s="27"/>
    </row>
    <row r="56" spans="2:16" ht="12" customHeight="1" x14ac:dyDescent="0.2">
      <c r="B56" s="47">
        <v>319</v>
      </c>
      <c r="C56" s="58" t="str">
        <f>VLOOKUP( $B56, T_Aop[], 5, 1)</f>
        <v>5</v>
      </c>
      <c r="D56" s="724" t="str">
        <f>VLOOKUP( $B56, T_Aop[], 6, 1)</f>
        <v xml:space="preserve">    Odlivi po osnovu kupovine nematerijalnih sredstava</v>
      </c>
      <c r="E56" s="724"/>
      <c r="F56" s="724"/>
      <c r="G56" s="724"/>
      <c r="H56" s="724"/>
      <c r="I56" s="59">
        <f>VLOOKUP( $B56, T_Aop[], 4, 1)</f>
        <v>536</v>
      </c>
      <c r="J56" s="571"/>
      <c r="K56" s="155"/>
      <c r="L56" s="156"/>
      <c r="P56" s="27"/>
    </row>
    <row r="57" spans="2:16" ht="12" customHeight="1" x14ac:dyDescent="0.2">
      <c r="B57" s="47">
        <v>320</v>
      </c>
      <c r="C57" s="62" t="str">
        <f>VLOOKUP( $B57, T_Aop[], 5, 1)</f>
        <v>6</v>
      </c>
      <c r="D57" s="747" t="str">
        <f>VLOOKUP( $B57, T_Aop[], 6, 1)</f>
        <v xml:space="preserve">    Odlivi po osnovu finansijskih sredstava po fer vrijednosti kroz ostali ukupni rezultat</v>
      </c>
      <c r="E57" s="747"/>
      <c r="F57" s="747"/>
      <c r="G57" s="747"/>
      <c r="H57" s="747"/>
      <c r="I57" s="75">
        <f>VLOOKUP( $B57, T_Aop[], 4, 1)</f>
        <v>537</v>
      </c>
      <c r="J57" s="572"/>
      <c r="K57" s="159"/>
      <c r="L57" s="160"/>
      <c r="P57" s="27"/>
    </row>
    <row r="58" spans="2:16" ht="12" customHeight="1" x14ac:dyDescent="0.2">
      <c r="B58" s="47">
        <v>321</v>
      </c>
      <c r="C58" s="58" t="str">
        <f>VLOOKUP( $B58, T_Aop[], 5, 1)</f>
        <v>7</v>
      </c>
      <c r="D58" s="724" t="str">
        <f>VLOOKUP( $B58, T_Aop[], 6, 1)</f>
        <v xml:space="preserve">    Odlivi po osnovu finansijskih sredstva po fer vrijednosti kroz bilans uspjeha</v>
      </c>
      <c r="E58" s="724"/>
      <c r="F58" s="724"/>
      <c r="G58" s="724"/>
      <c r="H58" s="724"/>
      <c r="I58" s="59">
        <f>VLOOKUP( $B58, T_Aop[], 4, 1)</f>
        <v>538</v>
      </c>
      <c r="J58" s="571"/>
      <c r="K58" s="155"/>
      <c r="L58" s="156"/>
      <c r="P58" s="27"/>
    </row>
    <row r="59" spans="2:16" ht="12" customHeight="1" x14ac:dyDescent="0.2">
      <c r="B59" s="47">
        <v>322</v>
      </c>
      <c r="C59" s="62" t="str">
        <f>VLOOKUP( $B59, T_Aop[], 5, 1)</f>
        <v>8</v>
      </c>
      <c r="D59" s="747" t="str">
        <f>VLOOKUP( $B59, T_Aop[], 6, 1)</f>
        <v xml:space="preserve">    Odlivi po osnovu ostalih finansijskih sredstava po amortizovanoj vrijednosti</v>
      </c>
      <c r="E59" s="747"/>
      <c r="F59" s="747"/>
      <c r="G59" s="747"/>
      <c r="H59" s="747"/>
      <c r="I59" s="75">
        <f>VLOOKUP( $B59, T_Aop[], 4, 1)</f>
        <v>539</v>
      </c>
      <c r="J59" s="572"/>
      <c r="K59" s="159"/>
      <c r="L59" s="160"/>
      <c r="P59" s="27"/>
    </row>
    <row r="60" spans="2:16" ht="12" customHeight="1" x14ac:dyDescent="0.2">
      <c r="B60" s="47">
        <v>323</v>
      </c>
      <c r="C60" s="58" t="str">
        <f>VLOOKUP( $B60, T_Aop[], 5, 1)</f>
        <v>9</v>
      </c>
      <c r="D60" s="724" t="str">
        <f>VLOOKUP( $B60, T_Aop[], 6, 1)</f>
        <v xml:space="preserve">    Odlivi po osnovu derivatnih finansijskih instrumenata</v>
      </c>
      <c r="E60" s="724"/>
      <c r="F60" s="724"/>
      <c r="G60" s="724"/>
      <c r="H60" s="724"/>
      <c r="I60" s="59">
        <f>VLOOKUP( $B60, T_Aop[], 4, 1)</f>
        <v>540</v>
      </c>
      <c r="J60" s="571"/>
      <c r="K60" s="155"/>
      <c r="L60" s="156"/>
      <c r="P60" s="27"/>
    </row>
    <row r="61" spans="2:16" ht="12" customHeight="1" x14ac:dyDescent="0.2">
      <c r="B61" s="47">
        <v>324</v>
      </c>
      <c r="C61" s="62" t="str">
        <f>VLOOKUP( $B61, T_Aop[], 5, 1)</f>
        <v>10</v>
      </c>
      <c r="D61" s="747" t="str">
        <f>VLOOKUP( $B61, T_Aop[], 6, 1)</f>
        <v xml:space="preserve">    Ostali odlivi iz aktivnosti investiranja</v>
      </c>
      <c r="E61" s="747"/>
      <c r="F61" s="747"/>
      <c r="G61" s="747"/>
      <c r="H61" s="747"/>
      <c r="I61" s="75">
        <f>VLOOKUP( $B61, T_Aop[], 4, 1)</f>
        <v>541</v>
      </c>
      <c r="J61" s="572"/>
      <c r="K61" s="159"/>
      <c r="L61" s="160"/>
      <c r="P61" s="27"/>
    </row>
    <row r="62" spans="2:16" x14ac:dyDescent="0.2">
      <c r="B62" s="47">
        <v>325</v>
      </c>
      <c r="C62" s="58" t="str">
        <f>VLOOKUP( $B62, T_Aop[], 5, 1)</f>
        <v>III</v>
      </c>
      <c r="D62" s="742" t="str">
        <f>VLOOKUP( $B62, T_Aop[], 6, 1)</f>
        <v xml:space="preserve">  Neto priliv gotovine iz aktivnosti investiranja (515-531)</v>
      </c>
      <c r="E62" s="742"/>
      <c r="F62" s="742"/>
      <c r="G62" s="742"/>
      <c r="H62" s="742"/>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6" t="str">
        <f>VLOOKUP( $B63, T_Aop[], 6, 1)</f>
        <v xml:space="preserve">  Neto odliv gotovine iz aktivnosti investiranja (531 – 515)</v>
      </c>
      <c r="E63" s="746"/>
      <c r="F63" s="746"/>
      <c r="G63" s="746"/>
      <c r="H63" s="746"/>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9" customHeight="1" x14ac:dyDescent="0.2">
      <c r="B64" s="47">
        <v>327</v>
      </c>
      <c r="C64" s="58" t="str">
        <f>VLOOKUP( $B64, T_Aop[], 5, 1)</f>
        <v>B_x000D_
I</v>
      </c>
      <c r="D64" s="742" t="str">
        <f>VLOOKUP( $B64, T_Aop[], 6, 1)</f>
        <v>TOKOVI GOTOVINE IZ AKTIVNOSTI FINANSIRANJA
Prilivi gotovine iz aktivnosti finansiranja (545 do 550)</v>
      </c>
      <c r="E64" s="742"/>
      <c r="F64" s="742"/>
      <c r="G64" s="742"/>
      <c r="H64" s="742"/>
      <c r="I64" s="178">
        <f>VLOOKUP( $B64, T_Aop[], 4, 1)</f>
        <v>544</v>
      </c>
      <c r="J64" s="571"/>
      <c r="K64" s="60">
        <f>SUBTOTAL( 9, K65:K70)</f>
        <v>0</v>
      </c>
      <c r="L64" s="61">
        <f>SUBTOTAL( 9, L65:L70)</f>
        <v>0</v>
      </c>
      <c r="P64" s="27"/>
    </row>
    <row r="65" spans="2:16" ht="12" customHeight="1" x14ac:dyDescent="0.2">
      <c r="B65" s="47">
        <v>328</v>
      </c>
      <c r="C65" s="62" t="str">
        <f>VLOOKUP( $B65, T_Aop[], 5, 1)</f>
        <v>1</v>
      </c>
      <c r="D65" s="747" t="str">
        <f>VLOOKUP( $B65, T_Aop[], 6, 1)</f>
        <v xml:space="preserve">    Prilivi po osnovu povećanja osnovnog kapitala</v>
      </c>
      <c r="E65" s="747"/>
      <c r="F65" s="747"/>
      <c r="G65" s="747"/>
      <c r="H65" s="747"/>
      <c r="I65" s="75">
        <f>VLOOKUP( $B65, T_Aop[], 4, 1)</f>
        <v>545</v>
      </c>
      <c r="J65" s="572"/>
      <c r="K65" s="159"/>
      <c r="L65" s="160"/>
      <c r="P65" s="27"/>
    </row>
    <row r="66" spans="2:16" ht="12" customHeight="1" x14ac:dyDescent="0.2">
      <c r="B66" s="47">
        <v>329</v>
      </c>
      <c r="C66" s="58" t="str">
        <f>VLOOKUP( $B66, T_Aop[], 5, 1)</f>
        <v>2</v>
      </c>
      <c r="D66" s="724" t="str">
        <f>VLOOKUP( $B66, T_Aop[], 6, 1)</f>
        <v xml:space="preserve">    Prilivi od prodaje otkupljenih sopstvenih akcija</v>
      </c>
      <c r="E66" s="724"/>
      <c r="F66" s="724"/>
      <c r="G66" s="724"/>
      <c r="H66" s="724"/>
      <c r="I66" s="59">
        <f>VLOOKUP( $B66, T_Aop[], 4, 1)</f>
        <v>546</v>
      </c>
      <c r="J66" s="571"/>
      <c r="K66" s="155"/>
      <c r="L66" s="156"/>
      <c r="P66" s="27"/>
    </row>
    <row r="67" spans="2:16" ht="12" customHeight="1" x14ac:dyDescent="0.2">
      <c r="B67" s="47">
        <v>330</v>
      </c>
      <c r="C67" s="62" t="str">
        <f>VLOOKUP( $B67, T_Aop[], 5, 1)</f>
        <v>3</v>
      </c>
      <c r="D67" s="747" t="str">
        <f>VLOOKUP( $B67, T_Aop[], 6, 1)</f>
        <v xml:space="preserve">    Prilivi po osnovu dugoročnih kredita</v>
      </c>
      <c r="E67" s="747"/>
      <c r="F67" s="747"/>
      <c r="G67" s="747"/>
      <c r="H67" s="747"/>
      <c r="I67" s="75">
        <f>VLOOKUP( $B67, T_Aop[], 4, 1)</f>
        <v>547</v>
      </c>
      <c r="J67" s="572"/>
      <c r="K67" s="159"/>
      <c r="L67" s="160"/>
      <c r="P67" s="27"/>
    </row>
    <row r="68" spans="2:16" ht="12" customHeight="1" x14ac:dyDescent="0.2">
      <c r="B68" s="47">
        <v>331</v>
      </c>
      <c r="C68" s="58" t="str">
        <f>VLOOKUP( $B68, T_Aop[], 5, 1)</f>
        <v>4</v>
      </c>
      <c r="D68" s="724" t="str">
        <f>VLOOKUP( $B68, T_Aop[], 6, 1)</f>
        <v xml:space="preserve">    Prilivi po osnovu kratkoročnih kredita</v>
      </c>
      <c r="E68" s="724"/>
      <c r="F68" s="724"/>
      <c r="G68" s="724"/>
      <c r="H68" s="724"/>
      <c r="I68" s="59">
        <f>VLOOKUP( $B68, T_Aop[], 4, 1)</f>
        <v>548</v>
      </c>
      <c r="J68" s="571"/>
      <c r="K68" s="155"/>
      <c r="L68" s="156"/>
      <c r="P68" s="27"/>
    </row>
    <row r="69" spans="2:16" ht="12" customHeight="1" x14ac:dyDescent="0.2">
      <c r="B69" s="47">
        <v>332</v>
      </c>
      <c r="C69" s="66" t="str">
        <f>VLOOKUP( $B69, T_Aop[], 5, 1)</f>
        <v>5</v>
      </c>
      <c r="D69" s="747" t="str">
        <f>VLOOKUP( $B69, T_Aop[], 6, 1)</f>
        <v xml:space="preserve">    Prilivi po osnovu izdatih dužničkih instrumenta</v>
      </c>
      <c r="E69" s="747"/>
      <c r="F69" s="747"/>
      <c r="G69" s="747"/>
      <c r="H69" s="747"/>
      <c r="I69" s="75">
        <f>VLOOKUP( $B69, T_Aop[], 4, 1)</f>
        <v>549</v>
      </c>
      <c r="J69" s="572"/>
      <c r="K69" s="159"/>
      <c r="L69" s="160"/>
      <c r="P69" s="27"/>
    </row>
    <row r="70" spans="2:16" ht="12" customHeight="1" x14ac:dyDescent="0.2">
      <c r="B70" s="47">
        <v>333</v>
      </c>
      <c r="C70" s="58" t="str">
        <f>VLOOKUP( $B70, T_Aop[], 5, 1)</f>
        <v>6</v>
      </c>
      <c r="D70" s="724" t="str">
        <f>VLOOKUP( $B70, T_Aop[], 6, 1)</f>
        <v xml:space="preserve">    Ostali prilivi iz aktivnosti finansiranja </v>
      </c>
      <c r="E70" s="724"/>
      <c r="F70" s="724"/>
      <c r="G70" s="724"/>
      <c r="H70" s="724"/>
      <c r="I70" s="59">
        <f>VLOOKUP( $B70, T_Aop[], 4, 1)</f>
        <v>550</v>
      </c>
      <c r="J70" s="571"/>
      <c r="K70" s="155"/>
      <c r="L70" s="156"/>
      <c r="P70" s="27"/>
    </row>
    <row r="71" spans="2:16" ht="12" customHeight="1" x14ac:dyDescent="0.2">
      <c r="B71" s="47">
        <v>334</v>
      </c>
      <c r="C71" s="66" t="str">
        <f>VLOOKUP( $B71, T_Aop[], 5, 1)</f>
        <v>II</v>
      </c>
      <c r="D71" s="747" t="str">
        <f>VLOOKUP( $B71, T_Aop[], 6, 1)</f>
        <v xml:space="preserve">    Odlivi gotovine iz aktivnosti finansiranja (552 do 558)</v>
      </c>
      <c r="E71" s="747"/>
      <c r="F71" s="747"/>
      <c r="G71" s="747"/>
      <c r="H71" s="747"/>
      <c r="I71" s="75">
        <f>VLOOKUP( $B71, T_Aop[], 4, 1)</f>
        <v>551</v>
      </c>
      <c r="J71" s="572"/>
      <c r="K71" s="496">
        <f>SUBTOTAL( 9, K72:K78)</f>
        <v>0</v>
      </c>
      <c r="L71" s="502">
        <f>SUBTOTAL( 9, L72:L78)</f>
        <v>0</v>
      </c>
      <c r="P71" s="27"/>
    </row>
    <row r="72" spans="2:16" ht="12" customHeight="1" x14ac:dyDescent="0.2">
      <c r="B72" s="47">
        <v>335</v>
      </c>
      <c r="C72" s="58" t="str">
        <f>VLOOKUP( $B72, T_Aop[], 5, 1)</f>
        <v>1</v>
      </c>
      <c r="D72" s="724" t="str">
        <f>VLOOKUP( $B72, T_Aop[], 6, 1)</f>
        <v xml:space="preserve">    Odlivi po osnovu otkupa sopstvenih akcija i udjela</v>
      </c>
      <c r="E72" s="724"/>
      <c r="F72" s="724"/>
      <c r="G72" s="724"/>
      <c r="H72" s="724"/>
      <c r="I72" s="59">
        <f>VLOOKUP( $B72, T_Aop[], 4, 1)</f>
        <v>552</v>
      </c>
      <c r="J72" s="571"/>
      <c r="K72" s="155"/>
      <c r="L72" s="156"/>
      <c r="P72" s="27"/>
    </row>
    <row r="73" spans="2:16" ht="12" customHeight="1" x14ac:dyDescent="0.2">
      <c r="B73" s="47">
        <v>336</v>
      </c>
      <c r="C73" s="66" t="str">
        <f>VLOOKUP( $B73, T_Aop[], 5, 1)</f>
        <v>2</v>
      </c>
      <c r="D73" s="747" t="str">
        <f>VLOOKUP( $B73, T_Aop[], 6, 1)</f>
        <v xml:space="preserve">    Odlivi po osnovu dugoročnih kredita </v>
      </c>
      <c r="E73" s="747"/>
      <c r="F73" s="747"/>
      <c r="G73" s="747"/>
      <c r="H73" s="747"/>
      <c r="I73" s="75">
        <f>VLOOKUP( $B73, T_Aop[], 4, 1)</f>
        <v>553</v>
      </c>
      <c r="J73" s="572"/>
      <c r="K73" s="159"/>
      <c r="L73" s="160"/>
      <c r="P73" s="27"/>
    </row>
    <row r="74" spans="2:16" ht="12" customHeight="1" x14ac:dyDescent="0.2">
      <c r="B74" s="47">
        <v>337</v>
      </c>
      <c r="C74" s="58" t="str">
        <f>VLOOKUP( $B74, T_Aop[], 5, 1)</f>
        <v>3</v>
      </c>
      <c r="D74" s="724" t="str">
        <f>VLOOKUP( $B74, T_Aop[], 6, 1)</f>
        <v xml:space="preserve">    Odlivi po osnovu kratkoročnih kredita </v>
      </c>
      <c r="E74" s="724"/>
      <c r="F74" s="724"/>
      <c r="G74" s="724"/>
      <c r="H74" s="724"/>
      <c r="I74" s="59">
        <f>VLOOKUP( $B74, T_Aop[], 4, 1)</f>
        <v>554</v>
      </c>
      <c r="J74" s="571"/>
      <c r="K74" s="155"/>
      <c r="L74" s="156"/>
      <c r="P74" s="27"/>
    </row>
    <row r="75" spans="2:16" ht="12" customHeight="1" x14ac:dyDescent="0.2">
      <c r="B75" s="47">
        <v>338</v>
      </c>
      <c r="C75" s="66" t="str">
        <f>VLOOKUP( $B75, T_Aop[], 5, 1)</f>
        <v>4</v>
      </c>
      <c r="D75" s="747" t="str">
        <f>VLOOKUP( $B75, T_Aop[], 6, 1)</f>
        <v xml:space="preserve">    Odlivi po osnovu lizinga </v>
      </c>
      <c r="E75" s="747"/>
      <c r="F75" s="747"/>
      <c r="G75" s="747"/>
      <c r="H75" s="747"/>
      <c r="I75" s="75">
        <f>VLOOKUP( $B75, T_Aop[], 4, 1)</f>
        <v>555</v>
      </c>
      <c r="J75" s="572"/>
      <c r="K75" s="159"/>
      <c r="L75" s="160"/>
      <c r="P75" s="27"/>
    </row>
    <row r="76" spans="2:16" ht="12" customHeight="1" x14ac:dyDescent="0.2">
      <c r="B76" s="47">
        <v>339</v>
      </c>
      <c r="C76" s="58" t="str">
        <f>VLOOKUP( $B76, T_Aop[], 5, 1)</f>
        <v>5</v>
      </c>
      <c r="D76" s="724" t="str">
        <f>VLOOKUP( $B76, T_Aop[], 6, 1)</f>
        <v xml:space="preserve">    Odlivi po osnovu dužničkih instrumenata</v>
      </c>
      <c r="E76" s="724"/>
      <c r="F76" s="724"/>
      <c r="G76" s="724"/>
      <c r="H76" s="724"/>
      <c r="I76" s="59">
        <f>VLOOKUP( $B76, T_Aop[], 4, 1)</f>
        <v>556</v>
      </c>
      <c r="J76" s="571"/>
      <c r="K76" s="155"/>
      <c r="L76" s="156"/>
      <c r="P76" s="27"/>
    </row>
    <row r="77" spans="2:16" ht="12" customHeight="1" x14ac:dyDescent="0.2">
      <c r="B77" s="47">
        <v>340</v>
      </c>
      <c r="C77" s="66" t="str">
        <f>VLOOKUP( $B77, T_Aop[], 5, 1)</f>
        <v>6</v>
      </c>
      <c r="D77" s="747" t="str">
        <f>VLOOKUP( $B77, T_Aop[], 6, 1)</f>
        <v xml:space="preserve">    Odlivi po osnovu isplaćenih dividendi</v>
      </c>
      <c r="E77" s="747"/>
      <c r="F77" s="747"/>
      <c r="G77" s="747"/>
      <c r="H77" s="747"/>
      <c r="I77" s="75">
        <f>VLOOKUP( $B77, T_Aop[], 4, 1)</f>
        <v>557</v>
      </c>
      <c r="J77" s="572"/>
      <c r="K77" s="159"/>
      <c r="L77" s="160"/>
      <c r="P77" s="27"/>
    </row>
    <row r="78" spans="2:16" ht="12" customHeight="1" x14ac:dyDescent="0.2">
      <c r="B78" s="47">
        <v>341</v>
      </c>
      <c r="C78" s="58" t="str">
        <f>VLOOKUP( $B78, T_Aop[], 5, 1)</f>
        <v>7</v>
      </c>
      <c r="D78" s="724" t="str">
        <f>VLOOKUP( $B78, T_Aop[], 6, 1)</f>
        <v xml:space="preserve">    Ostali odlivi iz aktivnosti finansiranja</v>
      </c>
      <c r="E78" s="724"/>
      <c r="F78" s="724"/>
      <c r="G78" s="724"/>
      <c r="H78" s="724"/>
      <c r="I78" s="59">
        <f>VLOOKUP( $B78, T_Aop[], 4, 1)</f>
        <v>558</v>
      </c>
      <c r="J78" s="571"/>
      <c r="K78" s="155"/>
      <c r="L78" s="156"/>
      <c r="P78" s="27"/>
    </row>
    <row r="79" spans="2:16" ht="12" customHeight="1" x14ac:dyDescent="0.2">
      <c r="B79" s="47">
        <v>342</v>
      </c>
      <c r="C79" s="66" t="str">
        <f>VLOOKUP( $B79, T_Aop[], 5, 1)</f>
        <v>III</v>
      </c>
      <c r="D79" s="746" t="str">
        <f>VLOOKUP( $B79, T_Aop[], 6, 1)</f>
        <v xml:space="preserve">  Neto priliv gotovine iz aktivnosti finansiranja (544 – 551)</v>
      </c>
      <c r="E79" s="746"/>
      <c r="F79" s="746"/>
      <c r="G79" s="746"/>
      <c r="H79" s="746"/>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42" t="str">
        <f>VLOOKUP( $B80, T_Aop[], 6, 1)</f>
        <v xml:space="preserve">  Neto odliv gotovine iz aktivnosti finansiranja (551 – 544) </v>
      </c>
      <c r="E80" s="742"/>
      <c r="F80" s="742"/>
      <c r="G80" s="742"/>
      <c r="H80" s="742"/>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46" t="str">
        <f>VLOOKUP( $B81, T_Aop[], 6, 1)</f>
        <v>UKUPNI PRILIVI GOTOVINE (501 + 515 + 544)</v>
      </c>
      <c r="E81" s="746"/>
      <c r="F81" s="746"/>
      <c r="G81" s="746"/>
      <c r="H81" s="746"/>
      <c r="I81" s="189">
        <f>VLOOKUP( $B81, T_Aop[], 4, 1)</f>
        <v>561</v>
      </c>
      <c r="J81" s="572"/>
      <c r="K81" s="67">
        <f>SUBTOTAL( 9, K21:K25, K35:K50, K64:K70)</f>
        <v>0</v>
      </c>
      <c r="L81" s="68">
        <f>SUBTOTAL( 9, L21:L25, L35:L50, L64:L70)</f>
        <v>0</v>
      </c>
      <c r="P81" s="27"/>
    </row>
    <row r="82" spans="2:16" ht="12.75" customHeight="1" x14ac:dyDescent="0.2">
      <c r="B82" s="47">
        <v>345</v>
      </c>
      <c r="C82" s="58" t="str">
        <f>VLOOKUP( $B82, T_Aop[], 5, 1)</f>
        <v>D</v>
      </c>
      <c r="D82" s="742" t="str">
        <f>VLOOKUP( $B82, T_Aop[], 6, 1)</f>
        <v>UKUPNI ODLIVI GOTOVINE (506 + 531 + 551)</v>
      </c>
      <c r="E82" s="742"/>
      <c r="F82" s="742"/>
      <c r="G82" s="742"/>
      <c r="H82" s="742"/>
      <c r="I82" s="178">
        <f>VLOOKUP( $B82, T_Aop[], 4, 1)</f>
        <v>562</v>
      </c>
      <c r="J82" s="571"/>
      <c r="K82" s="60">
        <f>SUBTOTAL( 9, K26:K32, K51:K61, K71:K78)</f>
        <v>0</v>
      </c>
      <c r="L82" s="61">
        <f>SUBTOTAL( 9, L26:L32, L51:L61, L71:L78)</f>
        <v>0</v>
      </c>
      <c r="P82" s="27"/>
    </row>
    <row r="83" spans="2:16" ht="12.75" customHeight="1" x14ac:dyDescent="0.2">
      <c r="B83" s="47">
        <v>346</v>
      </c>
      <c r="C83" s="66" t="str">
        <f>VLOOKUP( $B83, T_Aop[], 5, 1)</f>
        <v>Đ</v>
      </c>
      <c r="D83" s="743" t="str">
        <f>VLOOKUP( $B83, T_Aop[], 6, 1)</f>
        <v>NETO PRILIV GOTOVINE (561 – 562)</v>
      </c>
      <c r="E83" s="743"/>
      <c r="F83" s="743"/>
      <c r="G83" s="743"/>
      <c r="H83" s="743"/>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42" t="str">
        <f>VLOOKUP( $B84, T_Aop[], 6, 1)</f>
        <v>NETO ODLIV GOTOVINE (562 – 561)</v>
      </c>
      <c r="E84" s="742"/>
      <c r="F84" s="742"/>
      <c r="G84" s="742"/>
      <c r="H84" s="742"/>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43" t="str">
        <f>VLOOKUP( $B85, T_Aop[], 6, 1)</f>
        <v xml:space="preserve">GOTOVINA NA POČETKU OBRAČUNSKOG PERIODA </v>
      </c>
      <c r="E85" s="743"/>
      <c r="F85" s="743"/>
      <c r="G85" s="743"/>
      <c r="H85" s="743"/>
      <c r="I85" s="179">
        <f>VLOOKUP( $B85, T_Aop[], 4, 1)</f>
        <v>565</v>
      </c>
      <c r="J85" s="530"/>
      <c r="K85" s="161"/>
      <c r="L85" s="162"/>
      <c r="P85" s="27"/>
    </row>
    <row r="86" spans="2:16" ht="12.75" customHeight="1" x14ac:dyDescent="0.2">
      <c r="B86" s="47">
        <v>349</v>
      </c>
      <c r="C86" s="58" t="str">
        <f>VLOOKUP( $B86, T_Aop[], 5, 1)</f>
        <v>Z</v>
      </c>
      <c r="D86" s="742" t="str">
        <f>VLOOKUP( $B86, T_Aop[], 6, 1)</f>
        <v>POZITIVNE KURSNE RAZLIKE PO OSNOVU PRERAČUNA GOTOVINE</v>
      </c>
      <c r="E86" s="742"/>
      <c r="F86" s="742"/>
      <c r="G86" s="742"/>
      <c r="H86" s="742"/>
      <c r="I86" s="178">
        <f>VLOOKUP( $B86, T_Aop[], 4, 1)</f>
        <v>566</v>
      </c>
      <c r="J86" s="531"/>
      <c r="K86" s="81"/>
      <c r="L86" s="82"/>
      <c r="P86" s="27"/>
    </row>
    <row r="87" spans="2:16" ht="12.75" customHeight="1" x14ac:dyDescent="0.2">
      <c r="B87" s="47">
        <v>350</v>
      </c>
      <c r="C87" s="66" t="str">
        <f>VLOOKUP( $B87, T_Aop[], 5, 1)</f>
        <v>I</v>
      </c>
      <c r="D87" s="743" t="str">
        <f>VLOOKUP( $B87, T_Aop[], 6, 1)</f>
        <v>NEGATIVNE KURSNE RAZLIKE PO OSNOVU PRERAČUNA GOTOVINE</v>
      </c>
      <c r="E87" s="743"/>
      <c r="F87" s="743"/>
      <c r="G87" s="743"/>
      <c r="H87" s="743"/>
      <c r="I87" s="179">
        <f>VLOOKUP( $B87, T_Aop[], 4, 1)</f>
        <v>567</v>
      </c>
      <c r="J87" s="530"/>
      <c r="K87" s="161"/>
      <c r="L87" s="162"/>
      <c r="P87" s="27"/>
    </row>
    <row r="88" spans="2:16" ht="12.75" customHeight="1" x14ac:dyDescent="0.2">
      <c r="B88" s="47">
        <v>351</v>
      </c>
      <c r="C88" s="191" t="str">
        <f>VLOOKUP( $B88, T_Aop[], 5, 1)</f>
        <v>J</v>
      </c>
      <c r="D88" s="752" t="str">
        <f>VLOOKUP( $B88, T_Aop[], 6, 1)</f>
        <v>GOTOVINA NA KRAJU OBRAČUNSKOG PERIODA (565 + 563 – 564 + 566 – 567)</v>
      </c>
      <c r="E88" s="752"/>
      <c r="F88" s="752"/>
      <c r="G88" s="752"/>
      <c r="H88" s="752"/>
      <c r="I88" s="414">
        <f>VLOOKUP( $B88, T_Aop[], 4, 1)</f>
        <v>568</v>
      </c>
      <c r="J88" s="532"/>
      <c r="K88" s="415">
        <f>SUBTOTAL( 9, K21:K25, K35:K50, K64:K70,K85,K86) - SUBTOTAL( 9, K26:K32, K51:K61, K71:K78, K87)</f>
        <v>0</v>
      </c>
      <c r="L88" s="416">
        <f>SUBTOTAL( 9, L21:L25, L35:L50, L64:L70,L85,L86) - SUBTOTAL( 9, L26:L32, L51:L61, L71:L78, L87)</f>
        <v>0</v>
      </c>
      <c r="P88" s="27"/>
    </row>
    <row r="89" spans="2:16" ht="3" customHeight="1" x14ac:dyDescent="0.2"/>
    <row r="90" spans="2:16" ht="12" customHeight="1" x14ac:dyDescent="0.2">
      <c r="C90" s="180" t="str">
        <f>Podnozje_U</f>
        <v>U:</v>
      </c>
      <c r="D90" s="419" t="str">
        <f>Podatak_U</f>
        <v>Banja Luci</v>
      </c>
      <c r="E90"/>
      <c r="F90" s="1" t="str">
        <f>Podnozje_Lice_sa_licencom</f>
        <v>Lice sa licencom:</v>
      </c>
      <c r="G90" s="1" t="str">
        <f>Podatak_Lice_sa_licencom</f>
        <v>Nikola Pilipović</v>
      </c>
      <c r="I90" s="37" t="str">
        <f>Podnozje_MP</f>
        <v>(M.P.)</v>
      </c>
      <c r="J90" s="14"/>
      <c r="K90" s="750" t="str">
        <f>Podnozje_Direktor</f>
        <v>Lice ovlašćeno za zastupanje:</v>
      </c>
      <c r="L90" s="750"/>
    </row>
    <row r="91" spans="2:16" ht="21.75" customHeight="1" x14ac:dyDescent="0.2">
      <c r="C91" s="28"/>
      <c r="D91" s="127"/>
      <c r="E91"/>
      <c r="F91" s="13" t="str">
        <f>Podnozje_Broj_licence</f>
        <v>Broj licence:</v>
      </c>
      <c r="G91" s="13" t="str">
        <f>Podatak_Broj_Licence</f>
        <v>SR-1401/25</v>
      </c>
      <c r="H91" s="424"/>
      <c r="I91" s="424"/>
      <c r="J91" s="208"/>
      <c r="K91" s="751" t="str">
        <f>Podatak_Direktor</f>
        <v>V.D. Direktor, Saša Popović, dipl.inž.el.</v>
      </c>
      <c r="L91" s="751"/>
    </row>
    <row r="92" spans="2:16" ht="20.25" customHeight="1" x14ac:dyDescent="0.2">
      <c r="C92" s="180" t="str">
        <f>Podnozje_Dana</f>
        <v>Dana:</v>
      </c>
      <c r="D92" s="418" t="str">
        <f>Podatak_Dana</f>
        <v>30.10.2025.</v>
      </c>
      <c r="E92"/>
      <c r="F92" s="753"/>
      <c r="G92" s="753"/>
      <c r="K92" s="753"/>
      <c r="L92" s="753"/>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K31" sqref="K31"/>
      <selection pane="topRight" activeCell="K31" sqref="K31"/>
      <selection pane="bottomLeft" activeCell="K31" sqref="K31"/>
      <selection pane="bottomRight" activeCell="C14" sqref="C14:K14"/>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7" t="str">
        <f>Zaglavlje_Naziv_preduzeca</f>
        <v xml:space="preserve">Naziv privrednog društva, zadruge, drugog pravnog lica ili preduzetnika: </v>
      </c>
      <c r="D5" s="637"/>
      <c r="E5" s="637"/>
      <c r="J5" s="756" t="str">
        <f>Podatak_MB</f>
        <v>1074440</v>
      </c>
      <c r="K5" s="756"/>
    </row>
    <row r="6" spans="3:11" x14ac:dyDescent="0.2">
      <c r="C6" s="637"/>
      <c r="D6" s="637"/>
      <c r="E6" s="637"/>
      <c r="F6" s="9"/>
      <c r="K6" s="421" t="str">
        <f>Zaglavlje_MB</f>
        <v>Matični broj</v>
      </c>
    </row>
    <row r="7" spans="3:11" ht="12.75" customHeight="1" x14ac:dyDescent="0.2">
      <c r="C7" s="657" t="str">
        <f>Podatak_Naziv_preduzeca</f>
        <v>ODS Elektrokrajina a.d. Banja Luka</v>
      </c>
      <c r="D7" s="657"/>
      <c r="E7" s="657"/>
      <c r="F7" s="17"/>
      <c r="K7" s="392" t="str">
        <f>Podatak_Sifra_djelatnosti</f>
        <v>35.13</v>
      </c>
    </row>
    <row r="8" spans="3:11" x14ac:dyDescent="0.2">
      <c r="C8" s="125" t="str">
        <f>Zaglavlje_Sjediste</f>
        <v>Sjedište:</v>
      </c>
      <c r="D8" s="768" t="str">
        <f>Podatak_Sjediste</f>
        <v>Kralja Petra I Karađorđevića 95 Banja Luka</v>
      </c>
      <c r="E8" s="768"/>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4400855640000</v>
      </c>
    </row>
    <row r="10" spans="3:11" x14ac:dyDescent="0.2">
      <c r="C10" s="660" t="str">
        <f>Podatak_Ziro_racun_1</f>
        <v>555-007-00046178-45</v>
      </c>
      <c r="D10" s="660"/>
      <c r="E10" s="660"/>
      <c r="F10" s="244"/>
      <c r="K10" s="243" t="str">
        <f>Zaglavlje_JIB</f>
        <v>JIB</v>
      </c>
    </row>
    <row r="11" spans="3:11" x14ac:dyDescent="0.2">
      <c r="C11" s="660" t="str">
        <f>Podatak_Ziro_racun_2</f>
        <v>571-010-00000582-64</v>
      </c>
      <c r="D11" s="660"/>
      <c r="E11" s="660"/>
      <c r="F11" s="244"/>
      <c r="K11" s="246"/>
    </row>
    <row r="12" spans="3:11" x14ac:dyDescent="0.2">
      <c r="C12" s="722" t="str">
        <f>Podatak_Ziro_racun_3</f>
        <v>562-099-00001349-36</v>
      </c>
      <c r="D12" s="722"/>
      <c r="E12" s="722"/>
      <c r="F12" s="14"/>
    </row>
    <row r="13" spans="3:11" x14ac:dyDescent="0.2">
      <c r="C13" s="722" t="str">
        <f>Podatak_Ziro_racun_4</f>
        <v>552-000-20644796-78</v>
      </c>
      <c r="D13" s="722"/>
      <c r="E13" s="72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30.09.2025.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9" t="str">
        <f>Tabele_zaglavlje_Grupa_racuna</f>
        <v>Grupa računa, račun</v>
      </c>
      <c r="D18" s="731" t="str">
        <f>Tabele_zaglavlje_Pozicija</f>
        <v>POZICIJA</v>
      </c>
      <c r="E18" s="731"/>
      <c r="F18" s="731"/>
      <c r="G18" s="731"/>
      <c r="H18" s="731"/>
      <c r="I18" s="726" t="str">
        <f>Tabele_zaglavlje_Oznaka_aop</f>
        <v>Oznaka za AOP</v>
      </c>
      <c r="J18" s="731" t="str">
        <f>Tabele_zaglavlje_Iznos</f>
        <v>Iznos</v>
      </c>
      <c r="K18" s="763"/>
    </row>
    <row r="19" spans="2:15" ht="25.5" x14ac:dyDescent="0.2">
      <c r="C19" s="730"/>
      <c r="D19" s="732"/>
      <c r="E19" s="732"/>
      <c r="F19" s="732"/>
      <c r="G19" s="732"/>
      <c r="H19" s="732"/>
      <c r="I19" s="727"/>
      <c r="J19" s="42" t="str">
        <f>Tabele_zaglavlje_Tekuca_godina</f>
        <v>Tekuća godina</v>
      </c>
      <c r="K19" s="43" t="str">
        <f>Tabele_zaglavlje_Prethodna_godina</f>
        <v>Prethodna godina</v>
      </c>
      <c r="O19" s="134" t="s">
        <v>490</v>
      </c>
    </row>
    <row r="20" spans="2:15" x14ac:dyDescent="0.2">
      <c r="B20" s="44" t="s">
        <v>123</v>
      </c>
      <c r="C20" s="69">
        <v>1</v>
      </c>
      <c r="D20" s="733">
        <v>2</v>
      </c>
      <c r="E20" s="733"/>
      <c r="F20" s="733"/>
      <c r="G20" s="733"/>
      <c r="H20" s="733"/>
      <c r="I20" s="70">
        <v>3</v>
      </c>
      <c r="J20" s="76">
        <v>4</v>
      </c>
      <c r="K20" s="77">
        <v>5</v>
      </c>
    </row>
    <row r="21" spans="2:15" x14ac:dyDescent="0.2">
      <c r="B21" s="47">
        <v>352</v>
      </c>
      <c r="C21" s="71" t="str">
        <f>VLOOKUP( $B21, T_Aop[], 5, 1)</f>
        <v>010</v>
      </c>
      <c r="D21" s="764" t="str">
        <f>VLOOKUP( $B21, T_Aop[], 6, 1)</f>
        <v>Ulaganja u istraživanje i razvoj (dugovni promet bez početnog stanja)</v>
      </c>
      <c r="E21" s="764"/>
      <c r="F21" s="764"/>
      <c r="G21" s="764"/>
      <c r="H21" s="764"/>
      <c r="I21" s="190">
        <f>VLOOKUP( $B21, T_Aop[], 4, 1)</f>
        <v>601</v>
      </c>
      <c r="J21" s="205"/>
      <c r="K21" s="206"/>
      <c r="O21" s="27"/>
    </row>
    <row r="22" spans="2:15" ht="25.5" x14ac:dyDescent="0.2">
      <c r="B22" s="47">
        <v>353</v>
      </c>
      <c r="C22" s="58" t="str">
        <f>VLOOKUP( $B22, T_Aop[], 5, 1)</f>
        <v>201, dio 200</v>
      </c>
      <c r="D22" s="724" t="str">
        <f>VLOOKUP( $B22, T_Aop[], 6, 1)</f>
        <v>Kupci iz Republike Srpske i kupci - povezana pravna lica iz RS (dugovni promet bez početnog stanja)</v>
      </c>
      <c r="E22" s="724"/>
      <c r="F22" s="724"/>
      <c r="G22" s="724"/>
      <c r="H22" s="724"/>
      <c r="I22" s="59">
        <f>VLOOKUP( $B22, T_Aop[], 4, 1)</f>
        <v>602</v>
      </c>
      <c r="J22" s="155"/>
      <c r="K22" s="156"/>
      <c r="O22" s="133" t="s">
        <v>313</v>
      </c>
    </row>
    <row r="23" spans="2:15" ht="25.5" customHeight="1" x14ac:dyDescent="0.2">
      <c r="B23" s="47">
        <v>354</v>
      </c>
      <c r="C23" s="62" t="str">
        <f>VLOOKUP( $B23, T_Aop[], 5, 1)</f>
        <v>202, dio 200</v>
      </c>
      <c r="D23" s="757" t="str">
        <f>VLOOKUP( $B23, T_Aop[], 6, 1)</f>
        <v>Kupci iz Federacije BiH i kupci - povezana pravna lica iz FBiH (dugovni promet bez početnog stanja)</v>
      </c>
      <c r="E23" s="758"/>
      <c r="F23" s="758"/>
      <c r="G23" s="758"/>
      <c r="H23" s="759"/>
      <c r="I23" s="75">
        <f>VLOOKUP( $B23, T_Aop[], 4, 1)</f>
        <v>603</v>
      </c>
      <c r="J23" s="157"/>
      <c r="K23" s="158"/>
      <c r="O23" s="133" t="s">
        <v>313</v>
      </c>
    </row>
    <row r="24" spans="2:15" ht="25.5" customHeight="1" x14ac:dyDescent="0.2">
      <c r="B24" s="47">
        <v>355</v>
      </c>
      <c r="C24" s="58" t="str">
        <f>VLOOKUP( $B24, T_Aop[], 5, 1)</f>
        <v>203, dio 200</v>
      </c>
      <c r="D24" s="760" t="str">
        <f>VLOOKUP( $B24, T_Aop[], 6, 1)</f>
        <v>Kupci iz Brčko Distrikta BiH i kupci - povezana pravna lica iz BD (dugovni promet bez početnog stanja)</v>
      </c>
      <c r="E24" s="761"/>
      <c r="F24" s="761"/>
      <c r="G24" s="761"/>
      <c r="H24" s="762"/>
      <c r="I24" s="59">
        <f>VLOOKUP( $B24, T_Aop[], 4, 1)</f>
        <v>604</v>
      </c>
      <c r="J24" s="155"/>
      <c r="K24" s="156"/>
      <c r="O24" s="133" t="s">
        <v>313</v>
      </c>
    </row>
    <row r="25" spans="2:15" ht="25.5" x14ac:dyDescent="0.2">
      <c r="B25" s="47">
        <v>356</v>
      </c>
      <c r="C25" s="62" t="str">
        <f>VLOOKUP( $B25, T_Aop[], 5, 1)</f>
        <v>432, dio 431</v>
      </c>
      <c r="D25" s="757" t="str">
        <f>VLOOKUP( $B25, T_Aop[], 6, 1)</f>
        <v>Dobavljači iz Republike Srpske i dobavljači - povezana pravna lica iz RS (potražni promet bez početnog stanja)</v>
      </c>
      <c r="E25" s="758"/>
      <c r="F25" s="758"/>
      <c r="G25" s="758"/>
      <c r="H25" s="759"/>
      <c r="I25" s="75">
        <f>VLOOKUP( $B25, T_Aop[], 4, 1)</f>
        <v>605</v>
      </c>
      <c r="J25" s="157"/>
      <c r="K25" s="158"/>
      <c r="O25" s="133" t="s">
        <v>313</v>
      </c>
    </row>
    <row r="26" spans="2:15" ht="25.5" x14ac:dyDescent="0.2">
      <c r="B26" s="47">
        <v>357</v>
      </c>
      <c r="C26" s="58" t="str">
        <f>VLOOKUP( $B26, T_Aop[], 5, 1)</f>
        <v>433, dio 431</v>
      </c>
      <c r="D26" s="760" t="str">
        <f>VLOOKUP( $B26, T_Aop[], 6, 1)</f>
        <v>Dobavljači iz Federacije BiH i dobavljači - povezana pravna lica iz FBiH (potražni promet bez početnog stanja)</v>
      </c>
      <c r="E26" s="761"/>
      <c r="F26" s="761"/>
      <c r="G26" s="761"/>
      <c r="H26" s="762"/>
      <c r="I26" s="59">
        <f>VLOOKUP( $B26, T_Aop[], 4, 1)</f>
        <v>606</v>
      </c>
      <c r="J26" s="155"/>
      <c r="K26" s="156"/>
      <c r="O26" s="133" t="s">
        <v>313</v>
      </c>
    </row>
    <row r="27" spans="2:15" ht="25.5" x14ac:dyDescent="0.2">
      <c r="B27" s="47">
        <v>358</v>
      </c>
      <c r="C27" s="62" t="str">
        <f>VLOOKUP( $B27, T_Aop[], 5, 1)</f>
        <v>434, dio 431</v>
      </c>
      <c r="D27" s="757" t="str">
        <f>VLOOKUP( $B27, T_Aop[], 6, 1)</f>
        <v>Dobavljači iz Brčko Distrikta BiH i dobavljači - povezana pravna lica iz DB (potražni promet bez početnog stanja)</v>
      </c>
      <c r="E27" s="758"/>
      <c r="F27" s="758"/>
      <c r="G27" s="758"/>
      <c r="H27" s="759"/>
      <c r="I27" s="75">
        <f>VLOOKUP( $B27, T_Aop[], 4, 1)</f>
        <v>607</v>
      </c>
      <c r="J27" s="157"/>
      <c r="K27" s="158"/>
      <c r="O27" s="133" t="s">
        <v>313</v>
      </c>
    </row>
    <row r="28" spans="2:15" ht="25.5" customHeight="1" x14ac:dyDescent="0.2">
      <c r="B28" s="47">
        <v>359</v>
      </c>
      <c r="C28" s="58" t="str">
        <f>VLOOKUP( $B28, T_Aop[], 5, 1)</f>
        <v>601, dio 600, dio 605</v>
      </c>
      <c r="D28" s="760" t="str">
        <f>VLOOKUP( $B28, T_Aop[], 6, 1)</f>
        <v>Prihodi od prodaje robe u Republici Srpskoj i prihodi od prodaje robe povezanim pravnim licima u RS</v>
      </c>
      <c r="E28" s="761"/>
      <c r="F28" s="761"/>
      <c r="G28" s="761"/>
      <c r="H28" s="762"/>
      <c r="I28" s="59">
        <f>VLOOKUP( $B28, T_Aop[], 4, 1)</f>
        <v>608</v>
      </c>
      <c r="J28" s="155"/>
      <c r="K28" s="156"/>
      <c r="O28" s="133" t="s">
        <v>313</v>
      </c>
    </row>
    <row r="29" spans="2:15" ht="25.5" customHeight="1" x14ac:dyDescent="0.2">
      <c r="B29" s="47">
        <v>360</v>
      </c>
      <c r="C29" s="62" t="str">
        <f>VLOOKUP( $B29, T_Aop[], 5, 1)</f>
        <v>602, dio 600, dio 605</v>
      </c>
      <c r="D29" s="757" t="str">
        <f>VLOOKUP( $B29, T_Aop[], 6, 1)</f>
        <v>Prihodi od prodaje robe u Federaciji BiH i prihodi od prodaje robe povezanim pravnim licima u FBiH</v>
      </c>
      <c r="E29" s="758"/>
      <c r="F29" s="758"/>
      <c r="G29" s="758"/>
      <c r="H29" s="759"/>
      <c r="I29" s="75">
        <f>VLOOKUP( $B29, T_Aop[], 4, 1)</f>
        <v>609</v>
      </c>
      <c r="J29" s="157"/>
      <c r="K29" s="158"/>
      <c r="O29" s="133" t="s">
        <v>313</v>
      </c>
    </row>
    <row r="30" spans="2:15" ht="25.5" customHeight="1" x14ac:dyDescent="0.2">
      <c r="B30" s="47">
        <v>361</v>
      </c>
      <c r="C30" s="58" t="str">
        <f>VLOOKUP( $B30, T_Aop[], 5, 1)</f>
        <v>603, dio 600, dio 605</v>
      </c>
      <c r="D30" s="760" t="str">
        <f>VLOOKUP( $B30, T_Aop[], 6, 1)</f>
        <v>Prihodi od prodaje robe u Brčko Distriktu BiH i prihodi od prodaje robe povezanim pravnim licima u BD</v>
      </c>
      <c r="E30" s="761"/>
      <c r="F30" s="761"/>
      <c r="G30" s="761"/>
      <c r="H30" s="762"/>
      <c r="I30" s="59">
        <f>VLOOKUP( $B30, T_Aop[], 4, 1)</f>
        <v>610</v>
      </c>
      <c r="J30" s="155"/>
      <c r="K30" s="156"/>
      <c r="O30" s="133" t="s">
        <v>313</v>
      </c>
    </row>
    <row r="31" spans="2:15" ht="25.5" customHeight="1" x14ac:dyDescent="0.2">
      <c r="B31" s="47">
        <v>362</v>
      </c>
      <c r="C31" s="62" t="str">
        <f>VLOOKUP( $B31, T_Aop[], 5, 1)</f>
        <v>611, dio 610, dio 615</v>
      </c>
      <c r="D31" s="757" t="str">
        <f>VLOOKUP( $B31, T_Aop[], 6, 1)</f>
        <v>Prihodi od prodaje proizvoda u Republici Srpskoj i prihodi od prodaje proizvoda povezanim pravnim licima u Republici Srpskoj</v>
      </c>
      <c r="E31" s="758"/>
      <c r="F31" s="758"/>
      <c r="G31" s="758"/>
      <c r="H31" s="759"/>
      <c r="I31" s="75">
        <f>VLOOKUP( $B31, T_Aop[], 4, 1)</f>
        <v>611</v>
      </c>
      <c r="J31" s="157"/>
      <c r="K31" s="158"/>
      <c r="O31"/>
    </row>
    <row r="32" spans="2:15" ht="25.5" customHeight="1" x14ac:dyDescent="0.2">
      <c r="B32" s="47">
        <v>363</v>
      </c>
      <c r="C32" s="58" t="str">
        <f>VLOOKUP( $B32, T_Aop[], 5, 1)</f>
        <v>612, dio 610, dio 615</v>
      </c>
      <c r="D32" s="760" t="str">
        <f>VLOOKUP( $B32, T_Aop[], 6, 1)</f>
        <v>Prihodi od prodaje proizvoda u Federaciji BiH i prihodi od prodaje proizvoda povezanim pravnim licima u Federaciji BiH</v>
      </c>
      <c r="E32" s="761"/>
      <c r="F32" s="761"/>
      <c r="G32" s="761"/>
      <c r="H32" s="762"/>
      <c r="I32" s="59">
        <f>VLOOKUP( $B32, T_Aop[], 4, 1)</f>
        <v>612</v>
      </c>
      <c r="J32" s="155"/>
      <c r="K32" s="156"/>
      <c r="O32"/>
    </row>
    <row r="33" spans="2:15" ht="25.5" customHeight="1" x14ac:dyDescent="0.2">
      <c r="B33" s="47">
        <v>364</v>
      </c>
      <c r="C33" s="62" t="str">
        <f>VLOOKUP( $B33, T_Aop[], 5, 1)</f>
        <v>613, dio 610, dio 615</v>
      </c>
      <c r="D33" s="757" t="str">
        <f>VLOOKUP( $B33, T_Aop[], 6, 1)</f>
        <v>Prihodi od prodaje proizvoda u Brčko Distriktu BiH i prihodi od prodaje učinaka povezanim pravnim licima u Brčko Distriktu BiH</v>
      </c>
      <c r="E33" s="758"/>
      <c r="F33" s="758"/>
      <c r="G33" s="758"/>
      <c r="H33" s="759"/>
      <c r="I33" s="75">
        <f>VLOOKUP( $B33, T_Aop[], 4, 1)</f>
        <v>613</v>
      </c>
      <c r="J33" s="157"/>
      <c r="K33" s="158"/>
      <c r="O33" s="133" t="s">
        <v>313</v>
      </c>
    </row>
    <row r="34" spans="2:15" ht="25.5" customHeight="1" x14ac:dyDescent="0.2">
      <c r="B34" s="47">
        <v>365</v>
      </c>
      <c r="C34" s="58" t="str">
        <f>VLOOKUP( $B34, T_Aop[], 5, 1)</f>
        <v>621, dio 620, dio 625</v>
      </c>
      <c r="D34" s="760" t="str">
        <f>VLOOKUP( $B34, T_Aop[], 6, 1)</f>
        <v xml:space="preserve">Prihodi od pruženih usluga u Republici Srpskoj i prihodi od pruženih usluga povezanim pravnim licima u Republici Srpskoj  </v>
      </c>
      <c r="E34" s="761"/>
      <c r="F34" s="761"/>
      <c r="G34" s="761"/>
      <c r="H34" s="762"/>
      <c r="I34" s="59">
        <f>VLOOKUP( $B34, T_Aop[], 4, 1)</f>
        <v>614</v>
      </c>
      <c r="J34" s="155"/>
      <c r="K34" s="156"/>
      <c r="O34" s="133" t="s">
        <v>313</v>
      </c>
    </row>
    <row r="35" spans="2:15" ht="25.5" customHeight="1" x14ac:dyDescent="0.2">
      <c r="B35" s="47">
        <v>366</v>
      </c>
      <c r="C35" s="62" t="str">
        <f>VLOOKUP( $B35, T_Aop[], 5, 1)</f>
        <v>622, dio 620, dio 625</v>
      </c>
      <c r="D35" s="757" t="str">
        <f>VLOOKUP( $B35, T_Aop[], 6, 1)</f>
        <v>Prihodi od pruženih usluga u Federaciji BiH i prihodi od pruženih usluga povezanim pravnim licima u Federaciji BiH</v>
      </c>
      <c r="E35" s="758"/>
      <c r="F35" s="758"/>
      <c r="G35" s="758"/>
      <c r="H35" s="759"/>
      <c r="I35" s="75">
        <f>VLOOKUP( $B35, T_Aop[], 4, 1)</f>
        <v>615</v>
      </c>
      <c r="J35" s="157"/>
      <c r="K35" s="158"/>
      <c r="O35" s="133" t="s">
        <v>313</v>
      </c>
    </row>
    <row r="36" spans="2:15" ht="25.5" customHeight="1" x14ac:dyDescent="0.2">
      <c r="B36" s="47">
        <v>367</v>
      </c>
      <c r="C36" s="58" t="str">
        <f>VLOOKUP( $B36, T_Aop[], 5, 1)</f>
        <v>623, dio 620, dio 625</v>
      </c>
      <c r="D36" s="760" t="str">
        <f>VLOOKUP( $B36, T_Aop[], 6, 1)</f>
        <v>Prihodi od pruženih usluga u Brčko Distriktu BiH i prihodi od pruženih usluga povezanim pravnim licima u Brčko Distriktu BiH</v>
      </c>
      <c r="E36" s="761"/>
      <c r="F36" s="761"/>
      <c r="G36" s="761"/>
      <c r="H36" s="762"/>
      <c r="I36" s="59">
        <f>VLOOKUP( $B36, T_Aop[], 4, 1)</f>
        <v>616</v>
      </c>
      <c r="J36" s="155"/>
      <c r="K36" s="156"/>
      <c r="O36" s="27"/>
    </row>
    <row r="37" spans="2:15" ht="12.75" customHeight="1" x14ac:dyDescent="0.2">
      <c r="B37" s="47">
        <v>368</v>
      </c>
      <c r="C37" s="188">
        <f>VLOOKUP( $B37, T_Aop[], 5, 1)</f>
        <v>65</v>
      </c>
      <c r="D37" s="703" t="str">
        <f>VLOOKUP( $B37, T_Aop[], 6, 1)</f>
        <v>OSTALI POSLOVNI PRIHODI (618 + 621 + 622 + 623 + 624 + 625 + 626 + 627 + 628)</v>
      </c>
      <c r="E37" s="704"/>
      <c r="F37" s="704"/>
      <c r="G37" s="704"/>
      <c r="H37" s="705"/>
      <c r="I37" s="189">
        <f>VLOOKUP( $B37, T_Aop[], 4, 1)</f>
        <v>617</v>
      </c>
      <c r="J37" s="64">
        <f>SUBTOTAL( 9, J38, J41:J48)</f>
        <v>0</v>
      </c>
      <c r="K37" s="65">
        <f>SUBTOTAL( 9, K38, K41:K48)</f>
        <v>0</v>
      </c>
      <c r="O37" s="27"/>
    </row>
    <row r="38" spans="2:15" ht="12.75" customHeight="1" x14ac:dyDescent="0.2">
      <c r="B38" s="47">
        <v>369</v>
      </c>
      <c r="C38" s="58">
        <f>VLOOKUP( $B38, T_Aop[], 5, 1)</f>
        <v>650</v>
      </c>
      <c r="D38" s="760" t="str">
        <f>VLOOKUP( $B38, T_Aop[], 6, 1)</f>
        <v xml:space="preserve">  a) Prihodi od premija, subvencija, dotacija, regresa, podsticaja i slično</v>
      </c>
      <c r="E38" s="761"/>
      <c r="F38" s="761"/>
      <c r="G38" s="761"/>
      <c r="H38" s="762"/>
      <c r="I38" s="59">
        <f>VLOOKUP( $B38, T_Aop[], 4, 1)</f>
        <v>618</v>
      </c>
      <c r="J38" s="155"/>
      <c r="K38" s="156"/>
      <c r="O38" s="27"/>
    </row>
    <row r="39" spans="2:15" ht="25.5" customHeight="1" x14ac:dyDescent="0.2">
      <c r="B39" s="47">
        <v>370</v>
      </c>
      <c r="C39" s="62" t="str">
        <f>VLOOKUP( $B39, T_Aop[], 5, 1)</f>
        <v>dio 650</v>
      </c>
      <c r="D39" s="757" t="str">
        <f>VLOOKUP( $B39, T_Aop[], 6, 1)</f>
        <v xml:space="preserve">    Od toga: prihodi po osnovu subvencija na proizvode1 (subvencije koje se mogu prikazati po jedinici proizvoda, npr. vozna karta, brašno, hljeb, mlijeko i dr.)</v>
      </c>
      <c r="E39" s="758"/>
      <c r="F39" s="758"/>
      <c r="G39" s="758"/>
      <c r="H39" s="759"/>
      <c r="I39" s="75">
        <f>VLOOKUP( $B39, T_Aop[], 4, 1)</f>
        <v>619</v>
      </c>
      <c r="J39" s="157"/>
      <c r="K39" s="158"/>
      <c r="O39" s="27"/>
    </row>
    <row r="40" spans="2:15" ht="25.5" customHeight="1" x14ac:dyDescent="0.2">
      <c r="B40" s="47">
        <v>371</v>
      </c>
      <c r="C40" s="58" t="str">
        <f>VLOOKUP( $B40, T_Aop[], 5, 1)</f>
        <v>dio 650</v>
      </c>
      <c r="D40" s="760" t="str">
        <f>VLOOKUP( $B40, T_Aop[], 6, 1)</f>
        <v xml:space="preserve">    Od toga: prihodi po osnovu subvencija na proizvodnju2 (na zapošljavanje, platu, kamatnu stopu, za smanjenje zagađenja i dr.)</v>
      </c>
      <c r="E40" s="761"/>
      <c r="F40" s="761"/>
      <c r="G40" s="761"/>
      <c r="H40" s="762"/>
      <c r="I40" s="59">
        <f>VLOOKUP( $B40, T_Aop[], 4, 1)</f>
        <v>620</v>
      </c>
      <c r="J40" s="155"/>
      <c r="K40" s="156"/>
      <c r="O40" s="27"/>
    </row>
    <row r="41" spans="2:15" ht="12.75" customHeight="1" x14ac:dyDescent="0.2">
      <c r="B41" s="47">
        <v>372</v>
      </c>
      <c r="C41" s="62">
        <f>VLOOKUP( $B41, T_Aop[], 5, 1)</f>
        <v>651</v>
      </c>
      <c r="D41" s="757" t="str">
        <f>VLOOKUP( $B41, T_Aop[], 6, 1)</f>
        <v xml:space="preserve">  b) Prihod od zakupnina</v>
      </c>
      <c r="E41" s="758"/>
      <c r="F41" s="758"/>
      <c r="G41" s="758"/>
      <c r="H41" s="759"/>
      <c r="I41" s="75">
        <f>VLOOKUP( $B41, T_Aop[], 4, 1)</f>
        <v>621</v>
      </c>
      <c r="J41" s="157"/>
      <c r="K41" s="158"/>
      <c r="O41" s="133" t="s">
        <v>313</v>
      </c>
    </row>
    <row r="42" spans="2:15" ht="12.75" customHeight="1" x14ac:dyDescent="0.2">
      <c r="B42" s="47">
        <v>373</v>
      </c>
      <c r="C42" s="58">
        <f>VLOOKUP( $B42, T_Aop[], 5, 1)</f>
        <v>652</v>
      </c>
      <c r="D42" s="760" t="str">
        <f>VLOOKUP( $B42, T_Aop[], 6, 1)</f>
        <v xml:space="preserve">  v) Prihod od donacija</v>
      </c>
      <c r="E42" s="761"/>
      <c r="F42" s="761"/>
      <c r="G42" s="761"/>
      <c r="H42" s="762"/>
      <c r="I42" s="59">
        <f>VLOOKUP( $B42, T_Aop[], 4, 1)</f>
        <v>622</v>
      </c>
      <c r="J42" s="155"/>
      <c r="K42" s="156"/>
      <c r="O42" s="133" t="s">
        <v>313</v>
      </c>
    </row>
    <row r="43" spans="2:15" ht="12.75" customHeight="1" x14ac:dyDescent="0.2">
      <c r="B43" s="47">
        <v>374</v>
      </c>
      <c r="C43" s="62">
        <f>VLOOKUP( $B43, T_Aop[], 5, 1)</f>
        <v>653</v>
      </c>
      <c r="D43" s="757" t="str">
        <f>VLOOKUP( $B43, T_Aop[], 6, 1)</f>
        <v xml:space="preserve">  g) Prihod od članarina</v>
      </c>
      <c r="E43" s="758"/>
      <c r="F43" s="758"/>
      <c r="G43" s="758"/>
      <c r="H43" s="759"/>
      <c r="I43" s="75">
        <f>VLOOKUP( $B43, T_Aop[], 4, 1)</f>
        <v>623</v>
      </c>
      <c r="J43" s="157"/>
      <c r="K43" s="158"/>
      <c r="O43" s="27"/>
    </row>
    <row r="44" spans="2:15" ht="12.75" customHeight="1" x14ac:dyDescent="0.2">
      <c r="B44" s="47">
        <v>375</v>
      </c>
      <c r="C44" s="58">
        <f>VLOOKUP( $B44, T_Aop[], 5, 1)</f>
        <v>654</v>
      </c>
      <c r="D44" s="760" t="str">
        <f>VLOOKUP( $B44, T_Aop[], 6, 1)</f>
        <v xml:space="preserve">  d) Prihod od tantijema i licencnih prava</v>
      </c>
      <c r="E44" s="761"/>
      <c r="F44" s="761"/>
      <c r="G44" s="761"/>
      <c r="H44" s="762"/>
      <c r="I44" s="59">
        <f>VLOOKUP( $B44, T_Aop[], 4, 1)</f>
        <v>624</v>
      </c>
      <c r="J44" s="155"/>
      <c r="K44" s="156"/>
      <c r="O44" s="27"/>
    </row>
    <row r="45" spans="2:15" ht="12.75" customHeight="1" x14ac:dyDescent="0.2">
      <c r="B45" s="47">
        <v>376</v>
      </c>
      <c r="C45" s="62">
        <f>VLOOKUP( $B45, T_Aop[], 5, 1)</f>
        <v>655</v>
      </c>
      <c r="D45" s="757" t="str">
        <f>VLOOKUP( $B45, T_Aop[], 6, 1)</f>
        <v xml:space="preserve">  đ) Prihod iz namjenskih izvora finansiranja (iz budžeta, fondova i dr.)</v>
      </c>
      <c r="E45" s="758"/>
      <c r="F45" s="758"/>
      <c r="G45" s="758"/>
      <c r="H45" s="759"/>
      <c r="I45" s="75">
        <f>VLOOKUP( $B45, T_Aop[], 4, 1)</f>
        <v>625</v>
      </c>
      <c r="J45" s="157"/>
      <c r="K45" s="158"/>
      <c r="O45" s="27"/>
    </row>
    <row r="46" spans="2:15" ht="12.75" customHeight="1" x14ac:dyDescent="0.2">
      <c r="B46" s="47">
        <v>377</v>
      </c>
      <c r="C46" s="58" t="str">
        <f>VLOOKUP( $B46, T_Aop[], 5, 1)</f>
        <v>656</v>
      </c>
      <c r="D46" s="760" t="str">
        <f>VLOOKUP( $B46, T_Aop[], 6, 1)</f>
        <v xml:space="preserve">  e) Prihodi od dividendi</v>
      </c>
      <c r="E46" s="761"/>
      <c r="F46" s="761"/>
      <c r="G46" s="761"/>
      <c r="H46" s="762"/>
      <c r="I46" s="59">
        <f>VLOOKUP( $B46, T_Aop[], 4, 1)</f>
        <v>626</v>
      </c>
      <c r="J46" s="155"/>
      <c r="K46" s="156"/>
      <c r="O46" s="27"/>
    </row>
    <row r="47" spans="2:15" ht="12.75" customHeight="1" x14ac:dyDescent="0.2">
      <c r="B47" s="47">
        <v>378</v>
      </c>
      <c r="C47" s="62" t="str">
        <f>VLOOKUP( $B47, T_Aop[], 5, 1)</f>
        <v>657</v>
      </c>
      <c r="D47" s="757" t="str">
        <f>VLOOKUP( $B47, T_Aop[], 6, 1)</f>
        <v xml:space="preserve">  ž) Prihodi od aktiviranja ili potrošnje robe, gotovih proizvoda ili usluga</v>
      </c>
      <c r="E47" s="758"/>
      <c r="F47" s="758"/>
      <c r="G47" s="758"/>
      <c r="H47" s="759"/>
      <c r="I47" s="75">
        <f>VLOOKUP( $B47, T_Aop[], 4, 1)</f>
        <v>627</v>
      </c>
      <c r="J47" s="157"/>
      <c r="K47" s="158"/>
      <c r="O47" s="27"/>
    </row>
    <row r="48" spans="2:15" ht="12.75" customHeight="1" x14ac:dyDescent="0.2">
      <c r="B48" s="47">
        <v>379</v>
      </c>
      <c r="C48" s="58">
        <f>VLOOKUP( $B48, T_Aop[], 5, 1)</f>
        <v>659</v>
      </c>
      <c r="D48" s="760" t="str">
        <f>VLOOKUP( $B48, T_Aop[], 6, 1)</f>
        <v xml:space="preserve">  z) Ostali poslovni prihodi po drugim osnovima</v>
      </c>
      <c r="E48" s="761"/>
      <c r="F48" s="761"/>
      <c r="G48" s="761"/>
      <c r="H48" s="762"/>
      <c r="I48" s="59">
        <f>VLOOKUP( $B48, T_Aop[], 4, 1)</f>
        <v>628</v>
      </c>
      <c r="J48" s="155"/>
      <c r="K48" s="156"/>
      <c r="O48" s="27"/>
    </row>
    <row r="49" spans="2:15" ht="12.75" customHeight="1" x14ac:dyDescent="0.2">
      <c r="B49" s="47">
        <v>380</v>
      </c>
      <c r="C49" s="188" t="str">
        <f>VLOOKUP( $B49, T_Aop[], 5, 1)</f>
        <v>66 + 67</v>
      </c>
      <c r="D49" s="703" t="str">
        <f>VLOOKUP( $B49, T_Aop[], 6, 1)</f>
        <v>FINANSIJSKI I OSTALI PRIHODI</v>
      </c>
      <c r="E49" s="704"/>
      <c r="F49" s="704"/>
      <c r="G49" s="704"/>
      <c r="H49" s="705"/>
      <c r="I49" s="189">
        <f>VLOOKUP( $B49, T_Aop[], 4, 1)</f>
        <v>629</v>
      </c>
      <c r="J49" s="203"/>
      <c r="K49" s="204"/>
      <c r="O49" s="27"/>
    </row>
    <row r="50" spans="2:15" ht="12.75" customHeight="1" x14ac:dyDescent="0.2">
      <c r="B50" s="47">
        <v>381</v>
      </c>
      <c r="C50" s="58" t="str">
        <f>VLOOKUP( $B50, T_Aop[], 5, 1)</f>
        <v>dio 670</v>
      </c>
      <c r="D50" s="760" t="str">
        <f>VLOOKUP( $B50, T_Aop[], 6, 1)</f>
        <v xml:space="preserve">    Od toga: dobici po osnovu prodaje nekretnina, postrojenja i opreme </v>
      </c>
      <c r="E50" s="761"/>
      <c r="F50" s="761"/>
      <c r="G50" s="761"/>
      <c r="H50" s="762"/>
      <c r="I50" s="59">
        <f>VLOOKUP( $B50, T_Aop[], 4, 1)</f>
        <v>630</v>
      </c>
      <c r="J50" s="155"/>
      <c r="K50" s="156"/>
      <c r="O50" s="27"/>
    </row>
    <row r="51" spans="2:15" ht="12.75" customHeight="1" x14ac:dyDescent="0.2">
      <c r="B51" s="47">
        <v>382</v>
      </c>
      <c r="C51" s="62" t="str">
        <f>VLOOKUP( $B51, T_Aop[], 5, 1)</f>
        <v>678</v>
      </c>
      <c r="D51" s="757" t="str">
        <f>VLOOKUP( $B51, T_Aop[], 6, 1)</f>
        <v xml:space="preserve">  Dobici od derivatnih finansijskih instrumenata</v>
      </c>
      <c r="E51" s="758"/>
      <c r="F51" s="758"/>
      <c r="G51" s="758"/>
      <c r="H51" s="759"/>
      <c r="I51" s="75">
        <f>VLOOKUP( $B51, T_Aop[], 4, 1)</f>
        <v>631</v>
      </c>
      <c r="J51" s="157"/>
      <c r="K51" s="158"/>
      <c r="O51" s="54"/>
    </row>
    <row r="52" spans="2:15" ht="12.75" customHeight="1" x14ac:dyDescent="0.2">
      <c r="B52" s="47">
        <v>383</v>
      </c>
      <c r="C52" s="187">
        <f>VLOOKUP( $B52, T_Aop[], 5, 1)</f>
        <v>52</v>
      </c>
      <c r="D52" s="706" t="str">
        <f>VLOOKUP( $B52, T_Aop[], 6, 1)</f>
        <v>TROŠKOVI PLATA, NAKNADA PLATA I OSTALIH LIČNIH PRIMANJA</v>
      </c>
      <c r="E52" s="707"/>
      <c r="F52" s="707"/>
      <c r="G52" s="707"/>
      <c r="H52" s="708"/>
      <c r="I52" s="178">
        <f>VLOOKUP( $B52, T_Aop[], 4, 1)</f>
        <v>632</v>
      </c>
      <c r="J52" s="81"/>
      <c r="K52" s="82"/>
      <c r="O52" s="27"/>
    </row>
    <row r="53" spans="2:15" ht="12.75" customHeight="1" x14ac:dyDescent="0.2">
      <c r="B53" s="47">
        <v>384</v>
      </c>
      <c r="C53" s="62" t="str">
        <f>VLOOKUP( $B53, T_Aop[], 5, 1)</f>
        <v>522 + 523</v>
      </c>
      <c r="D53" s="757" t="str">
        <f>VLOOKUP( $B53, T_Aop[], 6, 1)</f>
        <v xml:space="preserve">  Troškovi bruto naknada članovima upravnog, nadzornog, odbora za reviziju i dr.</v>
      </c>
      <c r="E53" s="758"/>
      <c r="F53" s="758"/>
      <c r="G53" s="758"/>
      <c r="H53" s="759"/>
      <c r="I53" s="75">
        <f>VLOOKUP( $B53, T_Aop[], 4, 1)</f>
        <v>633</v>
      </c>
      <c r="J53" s="157"/>
      <c r="K53" s="204"/>
      <c r="O53" s="27"/>
    </row>
    <row r="54" spans="2:15" ht="12.75" customHeight="1" x14ac:dyDescent="0.2">
      <c r="B54" s="47">
        <v>385</v>
      </c>
      <c r="C54" s="58">
        <f>VLOOKUP( $B54, T_Aop[], 5, 1)</f>
        <v>525</v>
      </c>
      <c r="D54" s="760" t="str">
        <f>VLOOKUP( $B54, T_Aop[], 6, 1)</f>
        <v xml:space="preserve">  Troškovi zaposlenih na službenom putu</v>
      </c>
      <c r="E54" s="761"/>
      <c r="F54" s="761"/>
      <c r="G54" s="761"/>
      <c r="H54" s="762"/>
      <c r="I54" s="59">
        <f>VLOOKUP( $B54, T_Aop[], 4, 1)</f>
        <v>634</v>
      </c>
      <c r="J54" s="155"/>
      <c r="K54" s="156"/>
      <c r="O54" s="27"/>
    </row>
    <row r="55" spans="2:15" ht="12.75" customHeight="1" x14ac:dyDescent="0.2">
      <c r="B55" s="47">
        <v>386</v>
      </c>
      <c r="C55" s="62" t="str">
        <f>VLOOKUP( $B55, T_Aop[], 5, 1)</f>
        <v>dio 525</v>
      </c>
      <c r="D55" s="757" t="str">
        <f>VLOOKUP( $B55, T_Aop[], 6, 1)</f>
        <v xml:space="preserve">    Od toga: dnevnice</v>
      </c>
      <c r="E55" s="758"/>
      <c r="F55" s="758"/>
      <c r="G55" s="758"/>
      <c r="H55" s="759"/>
      <c r="I55" s="75">
        <f>VLOOKUP( $B55, T_Aop[], 4, 1)</f>
        <v>635</v>
      </c>
      <c r="J55" s="157"/>
      <c r="K55" s="158"/>
      <c r="O55" s="27"/>
    </row>
    <row r="56" spans="2:15" ht="12.75" customHeight="1" x14ac:dyDescent="0.2">
      <c r="B56" s="47">
        <v>387</v>
      </c>
      <c r="C56" s="187">
        <f>VLOOKUP( $B56, T_Aop[], 5, 1)</f>
        <v>53</v>
      </c>
      <c r="D56" s="706" t="str">
        <f>VLOOKUP( $B56, T_Aop[], 6, 1)</f>
        <v>TROŠKOVI PROIZVODNIH USLUGA (637 + 638 + 639 + 640 + 641 + 642 + 643 + 644)</v>
      </c>
      <c r="E56" s="707"/>
      <c r="F56" s="707"/>
      <c r="G56" s="707"/>
      <c r="H56" s="708"/>
      <c r="I56" s="178">
        <f>VLOOKUP( $B56, T_Aop[], 4, 1)</f>
        <v>636</v>
      </c>
      <c r="J56" s="560">
        <f>SUBTOTAL( 9, J57:J64)</f>
        <v>0</v>
      </c>
      <c r="K56" s="493">
        <f>SUBTOTAL( 9, K57:K64)</f>
        <v>0</v>
      </c>
      <c r="O56" s="27"/>
    </row>
    <row r="57" spans="2:15" ht="12.75" customHeight="1" x14ac:dyDescent="0.2">
      <c r="B57" s="47">
        <v>388</v>
      </c>
      <c r="C57" s="62">
        <f>VLOOKUP( $B57, T_Aop[], 5, 1)</f>
        <v>530</v>
      </c>
      <c r="D57" s="757" t="str">
        <f>VLOOKUP( $B57, T_Aop[], 6, 1)</f>
        <v xml:space="preserve">  a) Troškovi usluga na izradi učinaka</v>
      </c>
      <c r="E57" s="758"/>
      <c r="F57" s="758"/>
      <c r="G57" s="758"/>
      <c r="H57" s="759"/>
      <c r="I57" s="75">
        <f>VLOOKUP( $B57, T_Aop[], 4, 1)</f>
        <v>637</v>
      </c>
      <c r="J57" s="157"/>
      <c r="K57" s="158"/>
      <c r="O57" s="27"/>
    </row>
    <row r="58" spans="2:15" x14ac:dyDescent="0.2">
      <c r="B58" s="47">
        <v>389</v>
      </c>
      <c r="C58" s="58">
        <f>VLOOKUP( $B58, T_Aop[], 5, 1)</f>
        <v>531</v>
      </c>
      <c r="D58" s="760" t="str">
        <f>VLOOKUP( $B58, T_Aop[], 6, 1)</f>
        <v xml:space="preserve">  b) Troškovi transportnih usluga</v>
      </c>
      <c r="E58" s="761"/>
      <c r="F58" s="761"/>
      <c r="G58" s="761"/>
      <c r="H58" s="762"/>
      <c r="I58" s="59">
        <f>VLOOKUP( $B58, T_Aop[], 4, 1)</f>
        <v>638</v>
      </c>
      <c r="J58" s="155"/>
      <c r="K58" s="156"/>
      <c r="O58" s="27"/>
    </row>
    <row r="59" spans="2:15" ht="12.75" customHeight="1" x14ac:dyDescent="0.2">
      <c r="B59" s="47">
        <v>390</v>
      </c>
      <c r="C59" s="62" t="str">
        <f>VLOOKUP( $B59, T_Aop[], 5, 1)</f>
        <v>dio 532</v>
      </c>
      <c r="D59" s="757" t="str">
        <f>VLOOKUP( $B59, T_Aop[], 6, 1)</f>
        <v xml:space="preserve">  v) Troškovi za usluge tekućeg održavanja osnovnih sredstava</v>
      </c>
      <c r="E59" s="758"/>
      <c r="F59" s="758"/>
      <c r="G59" s="758"/>
      <c r="H59" s="759"/>
      <c r="I59" s="75">
        <f>VLOOKUP( $B59, T_Aop[], 4, 1)</f>
        <v>639</v>
      </c>
      <c r="J59" s="157"/>
      <c r="K59" s="158"/>
      <c r="O59" s="27"/>
    </row>
    <row r="60" spans="2:15" ht="12.75" customHeight="1" x14ac:dyDescent="0.2">
      <c r="B60" s="47">
        <v>391</v>
      </c>
      <c r="C60" s="58" t="str">
        <f>VLOOKUP( $B60, T_Aop[], 5, 1)</f>
        <v>dio 532</v>
      </c>
      <c r="D60" s="760" t="str">
        <f>VLOOKUP( $B60, T_Aop[], 6, 1)</f>
        <v xml:space="preserve">  g) Troškovi za usluge investicionog održavanja osnovnih sredstava</v>
      </c>
      <c r="E60" s="761"/>
      <c r="F60" s="761"/>
      <c r="G60" s="761"/>
      <c r="H60" s="762"/>
      <c r="I60" s="59">
        <f>VLOOKUP( $B60, T_Aop[], 4, 1)</f>
        <v>640</v>
      </c>
      <c r="J60" s="155"/>
      <c r="K60" s="156"/>
      <c r="O60" s="27"/>
    </row>
    <row r="61" spans="2:15" ht="12.75" customHeight="1" x14ac:dyDescent="0.2">
      <c r="B61" s="47">
        <v>392</v>
      </c>
      <c r="C61" s="62">
        <f>VLOOKUP( $B61, T_Aop[], 5, 1)</f>
        <v>533</v>
      </c>
      <c r="D61" s="757" t="str">
        <f>VLOOKUP( $B61, T_Aop[], 6, 1)</f>
        <v xml:space="preserve">  d) Troškovi zakupa</v>
      </c>
      <c r="E61" s="758"/>
      <c r="F61" s="758"/>
      <c r="G61" s="758"/>
      <c r="H61" s="759"/>
      <c r="I61" s="75">
        <f>VLOOKUP( $B61, T_Aop[], 4, 1)</f>
        <v>641</v>
      </c>
      <c r="J61" s="157"/>
      <c r="K61" s="158"/>
      <c r="O61" s="27"/>
    </row>
    <row r="62" spans="2:15" ht="12.75" customHeight="1" x14ac:dyDescent="0.2">
      <c r="B62" s="47">
        <v>393</v>
      </c>
      <c r="C62" s="58" t="str">
        <f>VLOOKUP( $B62, T_Aop[], 5, 1)</f>
        <v>534 + 535</v>
      </c>
      <c r="D62" s="760" t="str">
        <f>VLOOKUP( $B62, T_Aop[], 6, 1)</f>
        <v xml:space="preserve">  đ) Troškovi sajmova, reklame i propagande</v>
      </c>
      <c r="E62" s="761"/>
      <c r="F62" s="761"/>
      <c r="G62" s="761"/>
      <c r="H62" s="762"/>
      <c r="I62" s="59">
        <f>VLOOKUP( $B62, T_Aop[], 4, 1)</f>
        <v>642</v>
      </c>
      <c r="J62" s="155"/>
      <c r="K62" s="156"/>
      <c r="O62" s="27"/>
    </row>
    <row r="63" spans="2:15" ht="12.75" customHeight="1" x14ac:dyDescent="0.2">
      <c r="B63" s="47">
        <v>394</v>
      </c>
      <c r="C63" s="62" t="str">
        <f>VLOOKUP( $B63, T_Aop[], 5, 1)</f>
        <v>536 + 537</v>
      </c>
      <c r="D63" s="757" t="str">
        <f>VLOOKUP( $B63, T_Aop[], 6, 1)</f>
        <v xml:space="preserve">  e) Troškovi istraživanja i razvoja koji se ne kapitalizuju</v>
      </c>
      <c r="E63" s="758"/>
      <c r="F63" s="758"/>
      <c r="G63" s="758"/>
      <c r="H63" s="759"/>
      <c r="I63" s="75">
        <f>VLOOKUP( $B63, T_Aop[], 4, 1)</f>
        <v>643</v>
      </c>
      <c r="J63" s="157"/>
      <c r="K63" s="158"/>
      <c r="O63" s="27"/>
    </row>
    <row r="64" spans="2:15" x14ac:dyDescent="0.2">
      <c r="B64" s="47">
        <v>395</v>
      </c>
      <c r="C64" s="58">
        <f>VLOOKUP( $B64, T_Aop[], 5, 1)</f>
        <v>539</v>
      </c>
      <c r="D64" s="760" t="str">
        <f>VLOOKUP( $B64, T_Aop[], 6, 1)</f>
        <v xml:space="preserve">  ž) Troškovi ostalih usluga</v>
      </c>
      <c r="E64" s="761"/>
      <c r="F64" s="761"/>
      <c r="G64" s="761"/>
      <c r="H64" s="762"/>
      <c r="I64" s="59">
        <f>VLOOKUP( $B64, T_Aop[], 4, 1)</f>
        <v>644</v>
      </c>
      <c r="J64" s="155"/>
      <c r="K64" s="156"/>
      <c r="O64" s="27"/>
    </row>
    <row r="65" spans="2:15" ht="12.75" customHeight="1" x14ac:dyDescent="0.2">
      <c r="B65" s="47">
        <v>396</v>
      </c>
      <c r="C65" s="62" t="str">
        <f>VLOOKUP( $B65, T_Aop[], 5, 1)</f>
        <v>dio 539</v>
      </c>
      <c r="D65" s="757" t="str">
        <f>VLOOKUP( $B65, T_Aop[], 6, 1)</f>
        <v xml:space="preserve">    Od toga: bruto iznosi naknada po ugovorima sa fizičkim licima van radnog odnosa</v>
      </c>
      <c r="E65" s="758"/>
      <c r="F65" s="758"/>
      <c r="G65" s="758"/>
      <c r="H65" s="759"/>
      <c r="I65" s="75">
        <f>VLOOKUP( $B65, T_Aop[], 4, 1)</f>
        <v>645</v>
      </c>
      <c r="J65" s="157"/>
      <c r="K65" s="158"/>
      <c r="O65" s="27"/>
    </row>
    <row r="66" spans="2:15" ht="12.75" customHeight="1" x14ac:dyDescent="0.2">
      <c r="B66" s="47">
        <v>397</v>
      </c>
      <c r="C66" s="187">
        <f>VLOOKUP( $B66, T_Aop[], 5, 1)</f>
        <v>55</v>
      </c>
      <c r="D66" s="706" t="str">
        <f>VLOOKUP( $B66, T_Aop[], 6, 1)</f>
        <v>NEMATERIJALNI TROŠKOVI (647 + 650 + 651 + 652 + 653 + 654 + 655 + 656)</v>
      </c>
      <c r="E66" s="707"/>
      <c r="F66" s="707"/>
      <c r="G66" s="707"/>
      <c r="H66" s="708"/>
      <c r="I66" s="178">
        <f>VLOOKUP( $B66, T_Aop[], 4, 1)</f>
        <v>646</v>
      </c>
      <c r="J66" s="560">
        <f>SUBTOTAL( 9, J67, J70:J76)</f>
        <v>0</v>
      </c>
      <c r="K66" s="493">
        <f>SUBTOTAL( 9, K67, K70:K76)</f>
        <v>0</v>
      </c>
      <c r="O66" s="27"/>
    </row>
    <row r="67" spans="2:15" ht="12.75" customHeight="1" x14ac:dyDescent="0.2">
      <c r="B67" s="47">
        <v>398</v>
      </c>
      <c r="C67" s="62">
        <f>VLOOKUP( $B67, T_Aop[], 5, 1)</f>
        <v>550</v>
      </c>
      <c r="D67" s="757" t="str">
        <f>VLOOKUP( $B67, T_Aop[], 6, 1)</f>
        <v xml:space="preserve">  a) Troškovi ostalih usluga</v>
      </c>
      <c r="E67" s="758"/>
      <c r="F67" s="758"/>
      <c r="G67" s="758"/>
      <c r="H67" s="759"/>
      <c r="I67" s="75">
        <f>VLOOKUP( $B67, T_Aop[], 4, 1)</f>
        <v>647</v>
      </c>
      <c r="J67" s="157"/>
      <c r="K67" s="158"/>
      <c r="O67" s="27"/>
    </row>
    <row r="68" spans="2:15" ht="12.75" customHeight="1" x14ac:dyDescent="0.2">
      <c r="B68" s="47">
        <v>399</v>
      </c>
      <c r="C68" s="58" t="str">
        <f>VLOOKUP( $B68, T_Aop[], 5, 1)</f>
        <v>dio 550</v>
      </c>
      <c r="D68" s="760" t="str">
        <f>VLOOKUP( $B68, T_Aop[], 6, 1)</f>
        <v xml:space="preserve">    Od toga: troškovi stručnog obrazovanja i usavršavanja zaposlenih</v>
      </c>
      <c r="E68" s="761"/>
      <c r="F68" s="761"/>
      <c r="G68" s="761"/>
      <c r="H68" s="762"/>
      <c r="I68" s="59">
        <f>VLOOKUP( $B68, T_Aop[], 4, 1)</f>
        <v>648</v>
      </c>
      <c r="J68" s="155"/>
      <c r="K68" s="156"/>
      <c r="O68" s="27"/>
    </row>
    <row r="69" spans="2:15" ht="12.75" customHeight="1" x14ac:dyDescent="0.2">
      <c r="B69" s="47">
        <v>400</v>
      </c>
      <c r="C69" s="62" t="str">
        <f>VLOOKUP( $B69, T_Aop[], 5, 1)</f>
        <v>dio 550</v>
      </c>
      <c r="D69" s="757" t="str">
        <f>VLOOKUP( $B69, T_Aop[], 6, 1)</f>
        <v xml:space="preserve">    Od toga: bruto iznosi naknada po ugovorima sa fizičkim licima van radnog odnosa</v>
      </c>
      <c r="E69" s="758"/>
      <c r="F69" s="758"/>
      <c r="G69" s="758"/>
      <c r="H69" s="759"/>
      <c r="I69" s="75">
        <f>VLOOKUP( $B69, T_Aop[], 4, 1)</f>
        <v>649</v>
      </c>
      <c r="J69" s="157"/>
      <c r="K69" s="158"/>
      <c r="O69" s="27"/>
    </row>
    <row r="70" spans="2:15" ht="12.75" customHeight="1" x14ac:dyDescent="0.2">
      <c r="B70" s="47">
        <v>401</v>
      </c>
      <c r="C70" s="58">
        <f>VLOOKUP( $B70, T_Aop[], 5, 1)</f>
        <v>551</v>
      </c>
      <c r="D70" s="760" t="str">
        <f>VLOOKUP( $B70, T_Aop[], 6, 1)</f>
        <v xml:space="preserve">  b) Troškovi reprezentacije</v>
      </c>
      <c r="E70" s="761"/>
      <c r="F70" s="761"/>
      <c r="G70" s="761"/>
      <c r="H70" s="762"/>
      <c r="I70" s="59">
        <f>VLOOKUP( $B70, T_Aop[], 4, 1)</f>
        <v>650</v>
      </c>
      <c r="J70" s="155"/>
      <c r="K70" s="156"/>
      <c r="O70" s="27"/>
    </row>
    <row r="71" spans="2:15" ht="12.75" customHeight="1" x14ac:dyDescent="0.2">
      <c r="B71" s="47">
        <v>402</v>
      </c>
      <c r="C71" s="62">
        <f>VLOOKUP( $B71, T_Aop[], 5, 1)</f>
        <v>552</v>
      </c>
      <c r="D71" s="757" t="str">
        <f>VLOOKUP( $B71, T_Aop[], 6, 1)</f>
        <v xml:space="preserve">  v) Troškovi premije osiguranja</v>
      </c>
      <c r="E71" s="758"/>
      <c r="F71" s="758"/>
      <c r="G71" s="758"/>
      <c r="H71" s="759"/>
      <c r="I71" s="75">
        <f>VLOOKUP( $B71, T_Aop[], 4, 1)</f>
        <v>651</v>
      </c>
      <c r="J71" s="157"/>
      <c r="K71" s="158"/>
      <c r="O71"/>
    </row>
    <row r="72" spans="2:15" ht="12.75" customHeight="1" x14ac:dyDescent="0.2">
      <c r="B72" s="47">
        <v>403</v>
      </c>
      <c r="C72" s="58">
        <f>VLOOKUP( $B72, T_Aop[], 5, 1)</f>
        <v>553</v>
      </c>
      <c r="D72" s="760" t="str">
        <f>VLOOKUP( $B72, T_Aop[], 6, 1)</f>
        <v xml:space="preserve">  g) Troškovi platnog prometa</v>
      </c>
      <c r="E72" s="761"/>
      <c r="F72" s="761"/>
      <c r="G72" s="761"/>
      <c r="H72" s="762"/>
      <c r="I72" s="59">
        <f>VLOOKUP( $B72, T_Aop[], 4, 1)</f>
        <v>652</v>
      </c>
      <c r="J72" s="155"/>
      <c r="K72" s="156"/>
      <c r="O72"/>
    </row>
    <row r="73" spans="2:15" ht="12.75" customHeight="1" x14ac:dyDescent="0.2">
      <c r="B73" s="47">
        <v>404</v>
      </c>
      <c r="C73" s="62">
        <f>VLOOKUP( $B73, T_Aop[], 5, 1)</f>
        <v>554</v>
      </c>
      <c r="D73" s="757" t="str">
        <f>VLOOKUP( $B73, T_Aop[], 6, 1)</f>
        <v xml:space="preserve">  d) Troškovi članarina</v>
      </c>
      <c r="E73" s="758"/>
      <c r="F73" s="758"/>
      <c r="G73" s="758"/>
      <c r="H73" s="759"/>
      <c r="I73" s="75">
        <f>VLOOKUP( $B73, T_Aop[], 4, 1)</f>
        <v>653</v>
      </c>
      <c r="J73" s="157"/>
      <c r="K73" s="158"/>
      <c r="O73"/>
    </row>
    <row r="74" spans="2:15" ht="12.75" customHeight="1" x14ac:dyDescent="0.2">
      <c r="B74" s="47">
        <v>405</v>
      </c>
      <c r="C74" s="58" t="str">
        <f>VLOOKUP( $B74, T_Aop[], 5, 1)</f>
        <v>dio 555</v>
      </c>
      <c r="D74" s="760" t="str">
        <f>VLOOKUP( $B74, T_Aop[], 6, 1)</f>
        <v xml:space="preserve">  đ) Troškovi poreza na proizvode3, carine, boravišne takse, porez na igre na sreću i sl.</v>
      </c>
      <c r="E74" s="761"/>
      <c r="F74" s="761"/>
      <c r="G74" s="761"/>
      <c r="H74" s="762"/>
      <c r="I74" s="59">
        <f>VLOOKUP( $B74, T_Aop[], 4, 1)</f>
        <v>654</v>
      </c>
      <c r="J74" s="155"/>
      <c r="K74" s="156"/>
      <c r="O74" s="27"/>
    </row>
    <row r="75" spans="2:15" ht="25.5" customHeight="1" x14ac:dyDescent="0.2">
      <c r="B75" s="47">
        <v>406</v>
      </c>
      <c r="C75" s="62" t="str">
        <f>VLOOKUP( $B75, T_Aop[], 5, 1)</f>
        <v>dio 555</v>
      </c>
      <c r="D75" s="757" t="str">
        <f>VLOOKUP( $B75, T_Aop[], 6, 1)</f>
        <v xml:space="preserve">  e) Troškovi poreza na proizvodnju4: na imovinu, na zemljište, za korišćenje voda i šuma, za protivpožarnu zaštitu i sl.</v>
      </c>
      <c r="E75" s="758"/>
      <c r="F75" s="758"/>
      <c r="G75" s="758"/>
      <c r="H75" s="759"/>
      <c r="I75" s="75">
        <f>VLOOKUP( $B75, T_Aop[], 4, 1)</f>
        <v>655</v>
      </c>
      <c r="J75" s="157"/>
      <c r="K75" s="158"/>
      <c r="O75" s="27"/>
    </row>
    <row r="76" spans="2:15" ht="12.75" customHeight="1" x14ac:dyDescent="0.2">
      <c r="B76" s="47">
        <v>407</v>
      </c>
      <c r="C76" s="58">
        <f>VLOOKUP( $B76, T_Aop[], 5, 1)</f>
        <v>559</v>
      </c>
      <c r="D76" s="760" t="str">
        <f>VLOOKUP( $B76, T_Aop[], 6, 1)</f>
        <v xml:space="preserve">  ž) Ostali nematerijalni troškovi</v>
      </c>
      <c r="E76" s="761"/>
      <c r="F76" s="761"/>
      <c r="G76" s="761"/>
      <c r="H76" s="762"/>
      <c r="I76" s="59">
        <f>VLOOKUP( $B76, T_Aop[], 4, 1)</f>
        <v>656</v>
      </c>
      <c r="J76" s="155"/>
      <c r="K76" s="156"/>
      <c r="O76" s="27"/>
    </row>
    <row r="77" spans="2:15" ht="12.75" customHeight="1" x14ac:dyDescent="0.2">
      <c r="B77" s="47">
        <v>408</v>
      </c>
      <c r="C77" s="62">
        <f>VLOOKUP( $B77, T_Aop[], 5, 1)</f>
        <v>0</v>
      </c>
      <c r="D77" s="757" t="str">
        <f>VLOOKUP( $B77, T_Aop[], 6, 1)</f>
        <v>OBAVEZE I POTRAŽIVANJA</v>
      </c>
      <c r="E77" s="758"/>
      <c r="F77" s="758"/>
      <c r="G77" s="758"/>
      <c r="H77" s="759"/>
      <c r="I77" s="75">
        <f>VLOOKUP( $B77, T_Aop[], 4, 1)</f>
        <v>657</v>
      </c>
      <c r="J77" s="157"/>
      <c r="K77" s="158"/>
      <c r="O77" s="27"/>
    </row>
    <row r="78" spans="2:15" ht="12.75" customHeight="1" x14ac:dyDescent="0.2">
      <c r="B78" s="47">
        <v>409</v>
      </c>
      <c r="C78" s="58" t="str">
        <f>VLOOKUP( $B78, T_Aop[], 5, 1)</f>
        <v>47, osim 479</v>
      </c>
      <c r="D78" s="760" t="str">
        <f>VLOOKUP( $B78, T_Aop[], 6, 1)</f>
        <v xml:space="preserve">  Obračunati (fakturisani) porez na dodatu vrijednost (kumulativan promet konta)</v>
      </c>
      <c r="E78" s="761"/>
      <c r="F78" s="761"/>
      <c r="G78" s="761"/>
      <c r="H78" s="762"/>
      <c r="I78" s="59">
        <f>VLOOKUP( $B78, T_Aop[], 4, 1)</f>
        <v>658</v>
      </c>
      <c r="J78" s="155"/>
      <c r="K78" s="156"/>
      <c r="O78" s="133" t="s">
        <v>313</v>
      </c>
    </row>
    <row r="79" spans="2:15" ht="12.75" customHeight="1" x14ac:dyDescent="0.2">
      <c r="B79" s="47">
        <v>410</v>
      </c>
      <c r="C79" s="62" t="str">
        <f>VLOOKUP( $B79, T_Aop[], 5, 1)</f>
        <v>27, osim 279</v>
      </c>
      <c r="D79" s="757" t="str">
        <f>VLOOKUP( $B79, T_Aop[], 6, 1)</f>
        <v xml:space="preserve">  Ulazni porez na dodatu vrijednost (kumulativan promet konta)</v>
      </c>
      <c r="E79" s="758"/>
      <c r="F79" s="758"/>
      <c r="G79" s="758"/>
      <c r="H79" s="759"/>
      <c r="I79" s="75">
        <f>VLOOKUP( $B79, T_Aop[], 4, 1)</f>
        <v>659</v>
      </c>
      <c r="J79" s="157"/>
      <c r="K79" s="158"/>
      <c r="O79" s="27"/>
    </row>
    <row r="80" spans="2:15" ht="12.75" customHeight="1" x14ac:dyDescent="0.2">
      <c r="B80" s="47">
        <v>411</v>
      </c>
      <c r="C80" s="58">
        <f>VLOOKUP( $B80, T_Aop[], 5, 1)</f>
        <v>479</v>
      </c>
      <c r="D80" s="760" t="str">
        <f>VLOOKUP( $B80, T_Aop[], 6, 1)</f>
        <v xml:space="preserve">  Obaveze za PDV po osnovu razlike između obračunatog i akontacionog PDV-a (saldo konta)</v>
      </c>
      <c r="E80" s="761"/>
      <c r="F80" s="761"/>
      <c r="G80" s="761"/>
      <c r="H80" s="762"/>
      <c r="I80" s="59">
        <f>VLOOKUP( $B80, T_Aop[], 4, 1)</f>
        <v>660</v>
      </c>
      <c r="J80" s="155"/>
      <c r="K80" s="156"/>
      <c r="O80" s="27"/>
    </row>
    <row r="81" spans="2:15" ht="12.75" customHeight="1" x14ac:dyDescent="0.2">
      <c r="B81" s="47">
        <v>412</v>
      </c>
      <c r="C81" s="62">
        <f>VLOOKUP( $B81, T_Aop[], 5, 1)</f>
        <v>279</v>
      </c>
      <c r="D81" s="757" t="str">
        <f>VLOOKUP( $B81, T_Aop[], 6, 1)</f>
        <v xml:space="preserve">  Potraživanja po osnovu razlike između akontacionog i obračunatog PDV-a (saldo konta)</v>
      </c>
      <c r="E81" s="758"/>
      <c r="F81" s="758"/>
      <c r="G81" s="758"/>
      <c r="H81" s="759"/>
      <c r="I81" s="75">
        <f>VLOOKUP( $B81, T_Aop[], 4, 1)</f>
        <v>661</v>
      </c>
      <c r="J81" s="157"/>
      <c r="K81" s="158"/>
      <c r="O81" s="27"/>
    </row>
    <row r="82" spans="2:15" ht="12.75" customHeight="1" x14ac:dyDescent="0.2">
      <c r="B82" s="47">
        <v>413</v>
      </c>
      <c r="C82" s="58">
        <f>VLOOKUP( $B82, T_Aop[], 5, 1)</f>
        <v>271</v>
      </c>
      <c r="D82" s="760" t="str">
        <f>VLOOKUP( $B82, T_Aop[], 6, 1)</f>
        <v xml:space="preserve">  PDV plaćen pri uvozu (kumulativan promet konta)</v>
      </c>
      <c r="E82" s="761"/>
      <c r="F82" s="761"/>
      <c r="G82" s="761"/>
      <c r="H82" s="762"/>
      <c r="I82" s="59">
        <f>VLOOKUP( $B82, T_Aop[], 4, 1)</f>
        <v>662</v>
      </c>
      <c r="J82" s="155"/>
      <c r="K82" s="156"/>
      <c r="O82" s="27"/>
    </row>
    <row r="83" spans="2:15" ht="12.75" customHeight="1" x14ac:dyDescent="0.2">
      <c r="B83" s="47">
        <v>414</v>
      </c>
      <c r="C83" s="62">
        <f>VLOOKUP( $B83, T_Aop[], 5, 1)</f>
        <v>484</v>
      </c>
      <c r="D83" s="757" t="str">
        <f>VLOOKUP( $B83, T_Aop[], 6, 1)</f>
        <v xml:space="preserve">  Obaveze za PDV plaćen pri uvozu (kumulativan promet konta)</v>
      </c>
      <c r="E83" s="758"/>
      <c r="F83" s="758"/>
      <c r="G83" s="758"/>
      <c r="H83" s="759"/>
      <c r="I83" s="75">
        <f>VLOOKUP( $B83, T_Aop[], 4, 1)</f>
        <v>663</v>
      </c>
      <c r="J83" s="157"/>
      <c r="K83" s="158"/>
      <c r="O83" s="27"/>
    </row>
    <row r="84" spans="2:15" ht="12.75" customHeight="1" x14ac:dyDescent="0.2">
      <c r="B84" s="47">
        <v>415</v>
      </c>
      <c r="C84" s="58">
        <f>VLOOKUP( $B84, T_Aop[], 5, 1)</f>
        <v>480</v>
      </c>
      <c r="D84" s="760" t="str">
        <f>VLOOKUP( $B84, T_Aop[], 6, 1)</f>
        <v xml:space="preserve">  Obaveze za akcize (kumulativan promet konta)</v>
      </c>
      <c r="E84" s="761"/>
      <c r="F84" s="761"/>
      <c r="G84" s="761"/>
      <c r="H84" s="762"/>
      <c r="I84" s="59">
        <f>VLOOKUP( $B84, T_Aop[], 4, 1)</f>
        <v>664</v>
      </c>
      <c r="J84" s="155"/>
      <c r="K84" s="156"/>
      <c r="O84" s="27"/>
    </row>
    <row r="85" spans="2:15" ht="12.75" customHeight="1" x14ac:dyDescent="0.2">
      <c r="B85" s="47">
        <v>416</v>
      </c>
      <c r="C85" s="62" t="str">
        <f>VLOOKUP( $B85, T_Aop[], 5, 1)</f>
        <v>nema konta</v>
      </c>
      <c r="D85" s="757" t="str">
        <f>VLOOKUP( $B85, T_Aop[], 6, 1)</f>
        <v xml:space="preserve">  Prihodi ostvareni na bazi podugovaranja</v>
      </c>
      <c r="E85" s="758"/>
      <c r="F85" s="758"/>
      <c r="G85" s="758"/>
      <c r="H85" s="759"/>
      <c r="I85" s="75">
        <f>VLOOKUP( $B85, T_Aop[], 4, 1)</f>
        <v>665</v>
      </c>
      <c r="J85" s="157"/>
      <c r="K85" s="158"/>
      <c r="O85" s="27"/>
    </row>
    <row r="86" spans="2:15" ht="12.75" customHeight="1" x14ac:dyDescent="0.2">
      <c r="B86" s="47">
        <v>417</v>
      </c>
      <c r="C86" s="58" t="str">
        <f>VLOOKUP( $B86, T_Aop[], 5, 1)</f>
        <v>nema konta</v>
      </c>
      <c r="D86" s="760" t="str">
        <f>VLOOKUP( $B86, T_Aop[], 6, 1)</f>
        <v xml:space="preserve">  Plaćanja podugovaračima za rad, isporučene proizvode i usluge</v>
      </c>
      <c r="E86" s="761"/>
      <c r="F86" s="761"/>
      <c r="G86" s="761"/>
      <c r="H86" s="762"/>
      <c r="I86" s="59">
        <f>VLOOKUP( $B86, T_Aop[], 4, 1)</f>
        <v>666</v>
      </c>
      <c r="J86" s="155"/>
      <c r="K86" s="156"/>
      <c r="O86" s="27"/>
    </row>
    <row r="87" spans="2:15" ht="12.75" customHeight="1" x14ac:dyDescent="0.2">
      <c r="B87" s="47">
        <v>418</v>
      </c>
      <c r="C87" s="547" t="str">
        <f>VLOOKUP( $B87, T_Aop[], 5, 1)</f>
        <v>nema konta</v>
      </c>
      <c r="D87" s="765" t="str">
        <f>VLOOKUP( $B87, T_Aop[], 6, 1)</f>
        <v xml:space="preserve">  Ukupan broj odrađenih časova rada (efektivni časovi rada bez bolovanja, godišnjih odmora, državnih praznika i sl.)</v>
      </c>
      <c r="E87" s="766"/>
      <c r="F87" s="766"/>
      <c r="G87" s="766"/>
      <c r="H87" s="767"/>
      <c r="I87" s="548">
        <f>VLOOKUP( $B87, T_Aop[], 4, 1)</f>
        <v>667</v>
      </c>
      <c r="J87" s="549"/>
      <c r="K87" s="550"/>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5" t="str">
        <f>Prevod!G107</f>
        <v>1 Subvencije na proizvode obuhvataju subvencije koje se mogu iskazati po jedinici proizvoda, tj. iznos ovih subvencija zavisi od obima proizvodnje (npr. vozna karta, brašno, hljeb, mlijeko i sl.).</v>
      </c>
      <c r="D89" s="755"/>
      <c r="E89" s="755"/>
      <c r="F89" s="755"/>
      <c r="G89" s="755"/>
      <c r="H89" s="755"/>
      <c r="I89" s="755"/>
      <c r="J89" s="755"/>
      <c r="K89" s="755"/>
      <c r="O89" s="27"/>
    </row>
    <row r="90" spans="2:15" ht="21.75" customHeight="1" x14ac:dyDescent="0.2">
      <c r="B90" s="47">
        <v>420</v>
      </c>
      <c r="C90" s="755" t="str">
        <f>Prevod!G108</f>
        <v>2 Subvencije na proizvodnju obuhvataju subvencije koje se ne mogu iskazati po jedinici proizvoda ili usluge  (npr. zapošljavanje, platu, kamatnu stopu, za smanjenje zagađenja i sl.).</v>
      </c>
      <c r="D90" s="755"/>
      <c r="E90" s="755"/>
      <c r="F90" s="755"/>
      <c r="G90" s="755"/>
      <c r="H90" s="755"/>
      <c r="I90" s="755"/>
      <c r="J90" s="755"/>
      <c r="K90" s="755"/>
      <c r="O90" s="27"/>
    </row>
    <row r="91" spans="2:15" ht="23.65" customHeight="1" x14ac:dyDescent="0.2">
      <c r="B91" s="47">
        <v>421</v>
      </c>
      <c r="C91" s="755" t="str">
        <f>Prevod!G109</f>
        <v>3 Porezi na proizvode zavise od količine ili vrijednosti proizvedenih dobara i usluga (npr. carine, boravišne takse, porez na igre na sreću i sl.).</v>
      </c>
      <c r="D91" s="755"/>
      <c r="E91" s="755"/>
      <c r="F91" s="755"/>
      <c r="G91" s="755"/>
      <c r="H91" s="755"/>
      <c r="I91" s="755"/>
      <c r="J91" s="755"/>
      <c r="K91" s="755"/>
      <c r="O91" s="27"/>
    </row>
    <row r="92" spans="2:15" ht="21.75" customHeight="1" x14ac:dyDescent="0.2">
      <c r="B92" s="47">
        <v>422</v>
      </c>
      <c r="C92" s="755"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5"/>
      <c r="E92" s="755"/>
      <c r="F92" s="755"/>
      <c r="G92" s="755"/>
      <c r="H92" s="755"/>
      <c r="I92" s="755"/>
      <c r="J92" s="755"/>
      <c r="K92" s="755"/>
      <c r="O92" s="27"/>
    </row>
    <row r="93" spans="2:15" ht="23.65" customHeight="1" x14ac:dyDescent="0.2">
      <c r="C93" s="37"/>
      <c r="D93" s="40"/>
      <c r="E93" s="40"/>
      <c r="F93" s="40"/>
      <c r="G93" s="40"/>
      <c r="H93" s="40"/>
      <c r="I93" s="233"/>
      <c r="J93" s="37"/>
      <c r="K93" s="37"/>
    </row>
    <row r="94" spans="2:15" x14ac:dyDescent="0.2">
      <c r="C94" s="180" t="str">
        <f>Podnozje_U</f>
        <v>U:</v>
      </c>
      <c r="D94" s="419" t="str">
        <f>Podatak_U</f>
        <v>Banja Luci</v>
      </c>
      <c r="E94"/>
      <c r="F94" s="1" t="str">
        <f>Podnozje_Lice_sa_licencom</f>
        <v>Lice sa licencom:</v>
      </c>
      <c r="G94" s="1" t="str">
        <f>Podatak_Lice_sa_licencom</f>
        <v>Nikola Pilipović</v>
      </c>
      <c r="H94" s="37" t="str">
        <f>Podnozje_MP</f>
        <v>(M.P.)</v>
      </c>
      <c r="J94" s="750" t="str">
        <f>Podnozje_Direktor</f>
        <v>Lice ovlašćeno za zastupanje:</v>
      </c>
      <c r="K94" s="750"/>
      <c r="L94" s="750"/>
    </row>
    <row r="95" spans="2:15" x14ac:dyDescent="0.2">
      <c r="C95" s="28"/>
      <c r="D95" s="127"/>
      <c r="E95"/>
      <c r="F95" s="13" t="str">
        <f>Podnozje_Broj_licence</f>
        <v>Broj licence:</v>
      </c>
      <c r="G95" s="13" t="str">
        <f>Podatak_Broj_Licence</f>
        <v>SR-1401/25</v>
      </c>
      <c r="H95" s="78"/>
      <c r="I95" s="78"/>
      <c r="J95" s="751" t="str">
        <f>Podatak_Direktor</f>
        <v>V.D. Direktor, Saša Popović, dipl.inž.el.</v>
      </c>
      <c r="K95" s="751"/>
      <c r="L95" s="9"/>
    </row>
    <row r="96" spans="2:15" x14ac:dyDescent="0.2">
      <c r="C96" s="180" t="str">
        <f>Podnozje_Dana</f>
        <v>Dana:</v>
      </c>
      <c r="D96" s="418" t="str">
        <f>Podatak_Dana</f>
        <v>30.10.2025.</v>
      </c>
      <c r="E96"/>
      <c r="F96" s="680"/>
      <c r="G96" s="680"/>
      <c r="J96" s="680"/>
      <c r="K96" s="680"/>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30.09.2025. godine</v>
      </c>
      <c r="D57" s="53" t="str">
        <f>CONCATENATE("нa дaн ",Datum_Format," гoдинe")</f>
        <v>нa дaн 30.09.2025. гoдинe</v>
      </c>
      <c r="E57" s="53" t="str">
        <f>CONCATENATE("date ",Datum_Format)</f>
        <v>date 30.09.2025.</v>
      </c>
      <c r="F57" s="53" t="str">
        <f>CONCATENATE("на дату ",Datum_Format," года")</f>
        <v>на дату 30.09.2025. года</v>
      </c>
      <c r="G57" s="3" t="str">
        <f t="shared" si="5"/>
        <v>na dan 30.09.2025. godine</v>
      </c>
      <c r="H57" s="3" t="str">
        <f t="shared" si="6"/>
        <v>Datumi_Datum_BS</v>
      </c>
      <c r="I57" s="3">
        <f t="shared" si="4"/>
        <v>1</v>
      </c>
    </row>
    <row r="58" spans="1:9" x14ac:dyDescent="0.2">
      <c r="A58" t="s">
        <v>260</v>
      </c>
      <c r="B58" t="s">
        <v>148</v>
      </c>
      <c r="C58" s="53" t="str">
        <f>CONCATENATE("za period od 01.01. do ",Datum_Format," godine")</f>
        <v>za period od 01.01. do 30.09.2025. godine</v>
      </c>
      <c r="D58" s="53" t="str">
        <f>CONCATENATE("зa пeриoд oд 01.01. дo ",Datum_Format," гoдинe")</f>
        <v>зa пeриoд oд 01.01. дo 30.09.2025. гoдинe</v>
      </c>
      <c r="E58" s="53" t="str">
        <f>CONCATENATE("from 01.01. to ",Datum_Format)</f>
        <v>from 01.01. to 30.09.2025.</v>
      </c>
      <c r="F58" s="53" t="str">
        <f>CONCATENATE("за период с 01.01. to ",Datum_Format," года")</f>
        <v>за период с 01.01. to 30.09.2025. года</v>
      </c>
      <c r="G58" s="3" t="str">
        <f t="shared" si="5"/>
        <v>za period od 01.01. do 30.09.2025. godine</v>
      </c>
      <c r="H58" s="3" t="str">
        <f t="shared" si="6"/>
        <v>Datumi_Datum_BU</v>
      </c>
      <c r="I58" s="3">
        <f t="shared" si="4"/>
        <v>1</v>
      </c>
    </row>
    <row r="59" spans="1:9" x14ac:dyDescent="0.2">
      <c r="A59" t="s">
        <v>260</v>
      </c>
      <c r="B59" t="s">
        <v>149</v>
      </c>
      <c r="C59" s="53" t="str">
        <f>CONCATENATE("za period od 01.01. do ",Datum_Format," godine")</f>
        <v>za period od 01.01. do 30.09.2025. godine</v>
      </c>
      <c r="D59" s="53" t="str">
        <f>CONCATENATE("зa пeриoд oд 01.01. дo ",Datum_Format," гoдинe")</f>
        <v>зa пeриoд oд 01.01. дo 30.09.2025. гoдинe</v>
      </c>
      <c r="E59" s="53" t="str">
        <f>CONCATENATE("from 01.01. to ",Datum_Format)</f>
        <v>from 01.01. to 30.09.2025.</v>
      </c>
      <c r="F59" s="53" t="str">
        <f>CONCATENATE("за период с 01.01. to ",Datum_Format," года")</f>
        <v>за период с 01.01. to 30.09.2025. года</v>
      </c>
      <c r="G59" s="3" t="str">
        <f t="shared" si="5"/>
        <v>za period od 01.01. do 30.09.2025. godine</v>
      </c>
      <c r="H59" s="3" t="str">
        <f t="shared" si="6"/>
        <v>Datumi_Datum_BTG</v>
      </c>
      <c r="I59" s="3">
        <f t="shared" si="4"/>
        <v>1</v>
      </c>
    </row>
    <row r="60" spans="1:9" x14ac:dyDescent="0.2">
      <c r="A60" t="s">
        <v>260</v>
      </c>
      <c r="B60" t="s">
        <v>159</v>
      </c>
      <c r="C60" s="53" t="str">
        <f>CONCATENATE("od 01.01. do ",Datum_Format," godine")</f>
        <v>od 01.01. do 30.09.2025. godine</v>
      </c>
      <c r="D60" s="53" t="str">
        <f>CONCATENATE("oд 01.01. дo ",Datum_Format," гoдинe")</f>
        <v>oд 01.01. дo 30.09.2025. гoдинe</v>
      </c>
      <c r="E60" s="53" t="str">
        <f>CONCATENATE("from 01.01. to ",Datum_Format)</f>
        <v>from 01.01. to 30.09.2025.</v>
      </c>
      <c r="F60" s="53" t="str">
        <f>CONCATENATE("с 01.01. to ",Datum_Format," года")</f>
        <v>с 01.01. to 30.09.2025. года</v>
      </c>
      <c r="G60" s="3" t="str">
        <f t="shared" si="5"/>
        <v>od 01.01. do 30.09.2025. godine</v>
      </c>
      <c r="H60" s="3" t="str">
        <f t="shared" si="6"/>
        <v>Datumi_Datum_ODGP</v>
      </c>
      <c r="I60" s="3">
        <f t="shared" si="4"/>
        <v>1</v>
      </c>
    </row>
    <row r="61" spans="1:9" x14ac:dyDescent="0.2">
      <c r="A61" t="s">
        <v>260</v>
      </c>
      <c r="B61" t="s">
        <v>160</v>
      </c>
      <c r="C61" s="53" t="str">
        <f>CONCATENATE("za period od 01.01. do ",Datum_Format," godine")</f>
        <v>za period od 01.01. do 30.09.2025. godine</v>
      </c>
      <c r="D61" s="53" t="str">
        <f>CONCATENATE("зa пeриoд oд 01.01. дo ",Datum_Format," гoдинe")</f>
        <v>зa пeриoд oд 01.01. дo 30.09.2025. гoдинe</v>
      </c>
      <c r="E61" s="53" t="str">
        <f>CONCATENATE("from 01.01. to ",Datum_Format)</f>
        <v>from 01.01. to 30.09.2025.</v>
      </c>
      <c r="F61" s="53" t="str">
        <f>CONCATENATE("за период с 01.01. to ",Datum_Format," года")</f>
        <v>за период с 01.01. to 30.09.2025. года</v>
      </c>
      <c r="G61" s="3" t="str">
        <f t="shared" si="5"/>
        <v>za period od 01.01. do 30.09.2025.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30.09.2025. godine</v>
      </c>
      <c r="D62" s="53" t="str">
        <f>CONCATENATE("зa пeриoд кojи сe зaвршaвa нa дaн ",Datum_Format," гoдинe")</f>
        <v>зa пeриoд кojи сe зaвршaвa нa дaн 30.09.2025. гoдинe</v>
      </c>
      <c r="E62" s="53" t="str">
        <f>CONCATENATE("for period ending ",Datum_Format)</f>
        <v>for period ending 30.09.2025.</v>
      </c>
      <c r="F62" s="53" t="str">
        <f>CONCATENATE("за период, закончившийся на дату ",Datum_Format," года")</f>
        <v>за период, закончившийся на дату 30.09.2025. года</v>
      </c>
      <c r="G62" s="3" t="str">
        <f t="shared" si="5"/>
        <v>za period koji se završava na dan 30.09.2025.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8"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30.09.2025. godine (916 ± 919 ± 920  - 921 - 922± 923 ± 924)</v>
      </c>
      <c r="G453" s="306" t="str">
        <f>CONCATENATE("25. Stanje na dan ",Datum_Format," godine (916 ± 919 ± 920  - 921 - 922± 923 ± 924)")</f>
        <v>25. Stanje na dan 30.09.2025. godine (916 ± 919 ± 920  - 921 - 922± 923 ± 924)</v>
      </c>
      <c r="H453" s="306" t="str">
        <f>CONCATENATE("25. Стање на дан ",Datum_Format," године (916 ± 919 ± 920  - 921 - 922± 923 ± 924)")</f>
        <v>25. Стање на дан 30.09.2025. године (916 ± 919 ± 920  - 921 - 922± 923 ± 924)</v>
      </c>
      <c r="I453" s="306" t="str">
        <f>CONCATENATE("25. Value on day ",  Podesavanja!$Y$3,"(916 ± 919 ± 920  - 921 - 922± 923 ± 924)")</f>
        <v>25. Value on day 30.09.2025(916 ± 919 ± 920  - 921 - 922± 923 ± 924)</v>
      </c>
      <c r="J453" s="306" t="str">
        <f>CONCATENATE("25. Состояние на дату ",  ,Datum_Format," года (916 ± 919 ± 920  - 921 - 922± 923 ± 924)")</f>
        <v>25. Состояние на дату 30.09.2025.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8"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Sanja Vasilic</cp:lastModifiedBy>
  <cp:lastPrinted>2023-01-12T14:40:06Z</cp:lastPrinted>
  <dcterms:created xsi:type="dcterms:W3CDTF">2007-02-19T09:55:19Z</dcterms:created>
  <dcterms:modified xsi:type="dcterms:W3CDTF">2025-10-30T11:03:22Z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