
<file path=[Content_Types].xml><?xml version="1.0" encoding="utf-8"?>
<Types xmlns="http://schemas.openxmlformats.org/package/2006/content-types">
  <Override PartName="/xl/tables/table4.xml" ContentType="application/vnd.openxmlformats-officedocument.spreadsheetml.table+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Override PartName="/xl/tables/table11.xml" ContentType="application/vnd.openxmlformats-officedocument.spreadsheetml.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tables/table10.xml" ContentType="application/vnd.openxmlformats-officedocument.spreadsheetml.table+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tables/table9.xml" ContentType="application/vnd.openxmlformats-officedocument.spreadsheetml.table+xml"/>
  <Override PartName="/xl/calcChain.xml" ContentType="application/vnd.openxmlformats-officedocument.spreadsheetml.calcChain+xml"/>
  <Override PartName="/xl/sharedStrings.xml" ContentType="application/vnd.openxmlformats-officedocument.spreadsheetml.sharedStrings+xml"/>
  <Override PartName="/xl/tables/table7.xml" ContentType="application/vnd.openxmlformats-officedocument.spreadsheetml.table+xml"/>
  <Override PartName="/xl/tables/table8.xml" ContentType="application/vnd.openxmlformats-officedocument.spreadsheetml.table+xml"/>
  <Override PartName="/xl/metadata.xml" ContentType="application/vnd.openxmlformats-officedocument.spreadsheetml.sheetMetadata+xml"/>
  <Override PartName="/xl/tables/table5.xml" ContentType="application/vnd.openxmlformats-officedocument.spreadsheetml.table+xml"/>
  <Override PartName="/xl/tables/table6.xml" ContentType="application/vnd.openxmlformats-officedocument.spreadsheetml.table+xml"/>
  <Override PartName="/docProps/core.xml" ContentType="application/vnd.openxmlformats-package.core-properties+xml"/>
  <Default Extension="bin" ContentType="application/vnd.openxmlformats-officedocument.spreadsheetml.printerSettings"/>
  <Override PartName="/xl/tables/table3.xml" ContentType="application/vnd.openxmlformats-officedocument.spreadsheetml.table+xml"/>
  <Override PartName="/xl/drawings/drawing9.xml" ContentType="application/vnd.openxmlformats-officedocument.drawing+xml"/>
  <Default Extension="png" ContentType="image/png"/>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defaultThemeVersion="124226"/>
  <workbookProtection lockStructure="1"/>
  <bookViews>
    <workbookView xWindow="-120" yWindow="-120" windowWidth="20730" windowHeight="11760" tabRatio="674" activeTab="9"/>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78" i="14"/>
  <c r="J67"/>
  <c r="J76"/>
  <c r="J52"/>
  <c r="J22"/>
  <c r="K30" i="8"/>
  <c r="K29"/>
  <c r="K27"/>
  <c r="K54" i="2"/>
  <c r="K46"/>
  <c r="C85" i="38"/>
  <c r="C84"/>
  <c r="C83"/>
  <c r="C82"/>
  <c r="C81"/>
  <c r="C80"/>
  <c r="C79"/>
  <c r="C78"/>
  <c r="C77"/>
  <c r="C76"/>
  <c r="C75"/>
  <c r="C74"/>
  <c r="C73"/>
  <c r="C72"/>
  <c r="C71"/>
  <c r="C70"/>
  <c r="C69"/>
  <c r="C68"/>
  <c r="C67"/>
  <c r="C66"/>
  <c r="C65"/>
  <c r="C64"/>
  <c r="C63"/>
  <c r="C62"/>
  <c r="C61"/>
  <c r="C60"/>
  <c r="C59"/>
  <c r="C58"/>
  <c r="C57"/>
  <c r="C56"/>
  <c r="C55"/>
  <c r="C54"/>
  <c r="C53"/>
  <c r="C52"/>
  <c r="C51"/>
  <c r="C50"/>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L133" i="2"/>
  <c r="L130"/>
  <c r="L114"/>
  <c r="L107"/>
  <c r="L101"/>
  <c r="L94"/>
  <c r="L81"/>
  <c r="L71"/>
  <c r="L91" s="1"/>
  <c r="L64"/>
  <c r="L59"/>
  <c r="L48"/>
  <c r="L47" s="1"/>
  <c r="L43"/>
  <c r="L30"/>
  <c r="L26"/>
  <c r="L22"/>
  <c r="K133"/>
  <c r="K130"/>
  <c r="K114"/>
  <c r="K107"/>
  <c r="K101"/>
  <c r="K94"/>
  <c r="K81"/>
  <c r="K71"/>
  <c r="K91" s="1"/>
  <c r="K64"/>
  <c r="K59"/>
  <c r="K48"/>
  <c r="K47" s="1"/>
  <c r="K43"/>
  <c r="K30"/>
  <c r="K26"/>
  <c r="K22"/>
  <c r="N73" i="1"/>
  <c r="N72" s="1"/>
  <c r="N65"/>
  <c r="N57"/>
  <c r="N50"/>
  <c r="N45"/>
  <c r="M80"/>
  <c r="M79"/>
  <c r="M78"/>
  <c r="M77"/>
  <c r="M76"/>
  <c r="M75"/>
  <c r="M74"/>
  <c r="M71"/>
  <c r="M70"/>
  <c r="M69"/>
  <c r="M68"/>
  <c r="M67"/>
  <c r="M66"/>
  <c r="M63"/>
  <c r="M62"/>
  <c r="M61"/>
  <c r="M60"/>
  <c r="M59"/>
  <c r="M58"/>
  <c r="M55"/>
  <c r="M54"/>
  <c r="M53"/>
  <c r="M52"/>
  <c r="M51"/>
  <c r="M49"/>
  <c r="M48"/>
  <c r="M47"/>
  <c r="M46"/>
  <c r="M44"/>
  <c r="M43"/>
  <c r="M41"/>
  <c r="M40"/>
  <c r="M39"/>
  <c r="M38"/>
  <c r="M36"/>
  <c r="M35"/>
  <c r="M34"/>
  <c r="M33"/>
  <c r="M32"/>
  <c r="M31"/>
  <c r="M30"/>
  <c r="M29"/>
  <c r="M27"/>
  <c r="M26"/>
  <c r="M25"/>
  <c r="M24"/>
  <c r="M23"/>
  <c r="L81"/>
  <c r="K81"/>
  <c r="K73"/>
  <c r="K72" s="1"/>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07"/>
  <c r="I106"/>
  <c r="I105"/>
  <c r="I104"/>
  <c r="I103"/>
  <c r="I102"/>
  <c r="I101"/>
  <c r="I100"/>
  <c r="AA15" i="32"/>
  <c r="Y15" s="1"/>
  <c r="L92" i="2" l="1"/>
  <c r="K92"/>
  <c r="L106"/>
  <c r="L119" s="1"/>
  <c r="L93"/>
  <c r="L39"/>
  <c r="L126" s="1"/>
  <c r="L21"/>
  <c r="K106"/>
  <c r="K119" s="1"/>
  <c r="K93"/>
  <c r="K127" s="1"/>
  <c r="K39"/>
  <c r="K126" s="1"/>
  <c r="K21"/>
  <c r="N42" i="1"/>
  <c r="N92"/>
  <c r="M92"/>
  <c r="AA8" i="33"/>
  <c r="AA14"/>
  <c r="B67" i="35"/>
  <c r="F67"/>
  <c r="I67"/>
  <c r="L137" i="2" l="1"/>
  <c r="L128"/>
  <c r="K69"/>
  <c r="K57"/>
  <c r="K70"/>
  <c r="K58"/>
  <c r="L69"/>
  <c r="L57"/>
  <c r="L70"/>
  <c r="L58"/>
  <c r="K136"/>
  <c r="L127"/>
  <c r="K120"/>
  <c r="L136"/>
  <c r="K128"/>
  <c r="K125"/>
  <c r="K137"/>
  <c r="L120"/>
  <c r="L125"/>
  <c r="AA17" i="33"/>
  <c r="AA11"/>
  <c r="AA3"/>
  <c r="L73" i="1"/>
  <c r="M73" s="1"/>
  <c r="J37" i="14"/>
  <c r="G109" i="31"/>
  <c r="C91" i="14" s="1"/>
  <c r="G110" i="31"/>
  <c r="C92" i="14" s="1"/>
  <c r="H109" i="31"/>
  <c r="H110"/>
  <c r="I109"/>
  <c r="I110"/>
  <c r="G108"/>
  <c r="C90" i="14" s="1"/>
  <c r="H108" i="31"/>
  <c r="I108"/>
  <c r="G107"/>
  <c r="C89" i="14" s="1"/>
  <c r="H107" i="31"/>
  <c r="I107"/>
  <c r="G40" l="1"/>
  <c r="G41"/>
  <c r="G42"/>
  <c r="G43"/>
  <c r="H40"/>
  <c r="I40"/>
  <c r="H41"/>
  <c r="I41"/>
  <c r="H42"/>
  <c r="I42"/>
  <c r="H43"/>
  <c r="I43"/>
  <c r="J66" i="14"/>
  <c r="J56"/>
  <c r="K56"/>
  <c r="K66"/>
  <c r="K37"/>
  <c r="B417" i="38"/>
  <c r="O23" i="10"/>
  <c r="Q23" s="1"/>
  <c r="O24"/>
  <c r="Q24" s="1"/>
  <c r="H25"/>
  <c r="I25"/>
  <c r="J25"/>
  <c r="K25"/>
  <c r="L25"/>
  <c r="M25"/>
  <c r="N25"/>
  <c r="P25"/>
  <c r="O25" l="1"/>
  <c r="Q25" s="1"/>
  <c r="A378" i="34"/>
  <c r="A379"/>
  <c r="M101" i="1" l="1"/>
  <c r="M106"/>
  <c r="K65" l="1"/>
  <c r="M65" s="1"/>
  <c r="L65"/>
  <c r="L72"/>
  <c r="M72" s="1"/>
  <c r="N124"/>
  <c r="M124"/>
  <c r="K22" i="36"/>
  <c r="L22"/>
  <c r="H170" i="1"/>
  <c r="L64" l="1"/>
  <c r="M64" s="1"/>
  <c r="K64"/>
  <c r="G89" i="31"/>
  <c r="G88"/>
  <c r="L57" i="1"/>
  <c r="G93" i="31"/>
  <c r="G92"/>
  <c r="G91"/>
  <c r="G90"/>
  <c r="I6"/>
  <c r="G6"/>
  <c r="B51" i="32" s="1" a="1"/>
  <c r="B51" s="1"/>
  <c r="H6" i="31"/>
  <c r="M139" i="1" l="1"/>
  <c r="M146"/>
  <c r="N146"/>
  <c r="K37" l="1"/>
  <c r="N37"/>
  <c r="L37"/>
  <c r="M37" s="1"/>
  <c r="L29" i="36"/>
  <c r="L36" s="1"/>
  <c r="K29"/>
  <c r="K36" s="1"/>
  <c r="P29" i="10" l="1"/>
  <c r="K45"/>
  <c r="K45" i="1"/>
  <c r="L45"/>
  <c r="M45" s="1"/>
  <c r="K50"/>
  <c r="N81"/>
  <c r="N64" s="1"/>
  <c r="N56" s="1"/>
  <c r="K57"/>
  <c r="M57" s="1"/>
  <c r="K42" l="1"/>
  <c r="G73" i="31" l="1"/>
  <c r="J89" i="1" s="1"/>
  <c r="K56" l="1"/>
  <c r="A135" i="34" l="1"/>
  <c r="A136"/>
  <c r="A137"/>
  <c r="A138"/>
  <c r="A139"/>
  <c r="B2" i="38"/>
  <c r="B3"/>
  <c r="B4"/>
  <c r="B5"/>
  <c r="B6"/>
  <c r="B7"/>
  <c r="B8"/>
  <c r="B9"/>
  <c r="B10"/>
  <c r="B11"/>
  <c r="B12"/>
  <c r="B13"/>
  <c r="B14"/>
  <c r="B15"/>
  <c r="B16"/>
  <c r="B17"/>
  <c r="B18"/>
  <c r="B19"/>
  <c r="B2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287"/>
  <c r="B288"/>
  <c r="B289"/>
  <c r="B290"/>
  <c r="B291"/>
  <c r="B292"/>
  <c r="B293"/>
  <c r="B294"/>
  <c r="B295"/>
  <c r="B296"/>
  <c r="B297"/>
  <c r="B298"/>
  <c r="B299"/>
  <c r="B300"/>
  <c r="B301"/>
  <c r="B302"/>
  <c r="B303"/>
  <c r="B304"/>
  <c r="B305"/>
  <c r="B306"/>
  <c r="B307"/>
  <c r="B308"/>
  <c r="B309"/>
  <c r="B310"/>
  <c r="B311"/>
  <c r="B312"/>
  <c r="B313"/>
  <c r="B314"/>
  <c r="B315"/>
  <c r="B316"/>
  <c r="B317"/>
  <c r="B318"/>
  <c r="B319"/>
  <c r="B320"/>
  <c r="B321"/>
  <c r="B322"/>
  <c r="B323"/>
  <c r="B324"/>
  <c r="B325"/>
  <c r="B326"/>
  <c r="B327"/>
  <c r="B328"/>
  <c r="B329"/>
  <c r="B330"/>
  <c r="B331"/>
  <c r="B332"/>
  <c r="B333"/>
  <c r="B334"/>
  <c r="B335"/>
  <c r="B336"/>
  <c r="B337"/>
  <c r="B338"/>
  <c r="B339"/>
  <c r="B340"/>
  <c r="B341"/>
  <c r="B342"/>
  <c r="B343"/>
  <c r="B344"/>
  <c r="B345"/>
  <c r="B346"/>
  <c r="B347"/>
  <c r="B348"/>
  <c r="B349"/>
  <c r="B350"/>
  <c r="B351"/>
  <c r="B352"/>
  <c r="B353"/>
  <c r="B354"/>
  <c r="B355"/>
  <c r="B356"/>
  <c r="B357"/>
  <c r="B358"/>
  <c r="B359"/>
  <c r="B360"/>
  <c r="B361"/>
  <c r="B362"/>
  <c r="B363"/>
  <c r="B364"/>
  <c r="B365"/>
  <c r="B366"/>
  <c r="B367"/>
  <c r="B368"/>
  <c r="B369"/>
  <c r="B370"/>
  <c r="B371"/>
  <c r="B372"/>
  <c r="B373"/>
  <c r="B374"/>
  <c r="B375"/>
  <c r="B376"/>
  <c r="B377"/>
  <c r="B378"/>
  <c r="B379"/>
  <c r="B380"/>
  <c r="B381"/>
  <c r="B382"/>
  <c r="B383"/>
  <c r="B384"/>
  <c r="B385"/>
  <c r="B386"/>
  <c r="B387"/>
  <c r="B388"/>
  <c r="B389"/>
  <c r="B390"/>
  <c r="B391"/>
  <c r="B392"/>
  <c r="B393"/>
  <c r="B394"/>
  <c r="B395"/>
  <c r="B396"/>
  <c r="B397"/>
  <c r="B398"/>
  <c r="B399"/>
  <c r="B400"/>
  <c r="B401"/>
  <c r="B402"/>
  <c r="B403"/>
  <c r="B404"/>
  <c r="B405"/>
  <c r="B406"/>
  <c r="B407"/>
  <c r="B408"/>
  <c r="B409"/>
  <c r="B410"/>
  <c r="B411"/>
  <c r="B412"/>
  <c r="B413"/>
  <c r="B414"/>
  <c r="B415"/>
  <c r="B416"/>
  <c r="B424"/>
  <c r="B425"/>
  <c r="B426"/>
  <c r="B427"/>
  <c r="B428"/>
  <c r="B429"/>
  <c r="B430"/>
  <c r="B431"/>
  <c r="B432"/>
  <c r="B433"/>
  <c r="B434"/>
  <c r="B435"/>
  <c r="B436"/>
  <c r="B437"/>
  <c r="B438"/>
  <c r="B439"/>
  <c r="B440"/>
  <c r="B441"/>
  <c r="B418"/>
  <c r="B419"/>
  <c r="B420"/>
  <c r="B421"/>
  <c r="B422"/>
  <c r="B423"/>
  <c r="C1" i="33"/>
  <c r="F400" i="35"/>
  <c r="F401"/>
  <c r="F402"/>
  <c r="F403"/>
  <c r="F404"/>
  <c r="F405"/>
  <c r="F406"/>
  <c r="F407"/>
  <c r="F408"/>
  <c r="I400"/>
  <c r="I401"/>
  <c r="I402"/>
  <c r="I403"/>
  <c r="I404"/>
  <c r="I405"/>
  <c r="I406"/>
  <c r="I407"/>
  <c r="I408"/>
  <c r="F382"/>
  <c r="F383"/>
  <c r="F384"/>
  <c r="F385"/>
  <c r="F386"/>
  <c r="F387"/>
  <c r="F388"/>
  <c r="F389"/>
  <c r="F390"/>
  <c r="F391"/>
  <c r="F392"/>
  <c r="F393"/>
  <c r="F394"/>
  <c r="F395"/>
  <c r="F396"/>
  <c r="F397"/>
  <c r="F398"/>
  <c r="F399"/>
  <c r="I382"/>
  <c r="I383"/>
  <c r="I384"/>
  <c r="I385"/>
  <c r="I386"/>
  <c r="I387"/>
  <c r="I388"/>
  <c r="I389"/>
  <c r="I390"/>
  <c r="I391"/>
  <c r="I392"/>
  <c r="I393"/>
  <c r="I394"/>
  <c r="I395"/>
  <c r="I396"/>
  <c r="I397"/>
  <c r="I398"/>
  <c r="I399"/>
  <c r="F18"/>
  <c r="F19"/>
  <c r="F20"/>
  <c r="F21"/>
  <c r="F22"/>
  <c r="F23"/>
  <c r="F24"/>
  <c r="F25"/>
  <c r="F26"/>
  <c r="F27"/>
  <c r="F28"/>
  <c r="F29"/>
  <c r="F30"/>
  <c r="F31"/>
  <c r="F32"/>
  <c r="F33"/>
  <c r="F34"/>
  <c r="AA19" i="33"/>
  <c r="AA12"/>
  <c r="AA16"/>
  <c r="AA10"/>
  <c r="AA7"/>
  <c r="E33" i="37"/>
  <c r="G33"/>
  <c r="E34"/>
  <c r="G34"/>
  <c r="E30"/>
  <c r="G30"/>
  <c r="E31"/>
  <c r="G31"/>
  <c r="E32"/>
  <c r="G32"/>
  <c r="E25"/>
  <c r="G25"/>
  <c r="E26"/>
  <c r="G26"/>
  <c r="E27"/>
  <c r="G27"/>
  <c r="E28"/>
  <c r="G28"/>
  <c r="E29"/>
  <c r="G29"/>
  <c r="F69" i="35"/>
  <c r="I69"/>
  <c r="I45" i="10"/>
  <c r="J45"/>
  <c r="L45"/>
  <c r="M45"/>
  <c r="N45"/>
  <c r="P45"/>
  <c r="L64" i="8"/>
  <c r="L71"/>
  <c r="K71"/>
  <c r="K64"/>
  <c r="L80" l="1"/>
  <c r="K80"/>
  <c r="K79"/>
  <c r="L79"/>
  <c r="G2" i="31" l="1"/>
  <c r="G3"/>
  <c r="B39" i="32" s="1"/>
  <c r="G4" i="31"/>
  <c r="G5"/>
  <c r="G7"/>
  <c r="G8"/>
  <c r="G9"/>
  <c r="G10"/>
  <c r="G11"/>
  <c r="G12"/>
  <c r="G13"/>
  <c r="G14"/>
  <c r="G15"/>
  <c r="G16"/>
  <c r="G17"/>
  <c r="G18"/>
  <c r="G19"/>
  <c r="G20"/>
  <c r="G21"/>
  <c r="G22"/>
  <c r="G23"/>
  <c r="G24"/>
  <c r="G25"/>
  <c r="G26"/>
  <c r="G27"/>
  <c r="B15" i="32" s="1"/>
  <c r="G28" i="31"/>
  <c r="G29"/>
  <c r="G30"/>
  <c r="G31"/>
  <c r="G32"/>
  <c r="G33"/>
  <c r="G34"/>
  <c r="G35"/>
  <c r="C166" i="1" s="1"/>
  <c r="G36" i="31"/>
  <c r="C168" i="1" s="1"/>
  <c r="G37" i="31"/>
  <c r="F166" i="1" s="1"/>
  <c r="G38" i="31"/>
  <c r="G39"/>
  <c r="G44"/>
  <c r="J166" i="1" s="1"/>
  <c r="G45" i="31"/>
  <c r="G46"/>
  <c r="G47"/>
  <c r="G48"/>
  <c r="G49"/>
  <c r="G50"/>
  <c r="G51"/>
  <c r="G52"/>
  <c r="G53"/>
  <c r="G54"/>
  <c r="G55"/>
  <c r="G56"/>
  <c r="G63"/>
  <c r="G64"/>
  <c r="G65"/>
  <c r="G66"/>
  <c r="G67"/>
  <c r="G68"/>
  <c r="G69"/>
  <c r="G70"/>
  <c r="G71"/>
  <c r="C18" i="14" s="1"/>
  <c r="G72" i="31"/>
  <c r="G74"/>
  <c r="G75"/>
  <c r="G76"/>
  <c r="G77"/>
  <c r="G78"/>
  <c r="G79"/>
  <c r="G80"/>
  <c r="G81"/>
  <c r="G82"/>
  <c r="G83"/>
  <c r="G84"/>
  <c r="G85"/>
  <c r="G86"/>
  <c r="G87"/>
  <c r="G94"/>
  <c r="G95"/>
  <c r="G96"/>
  <c r="G97"/>
  <c r="AB15" i="32" s="1"/>
  <c r="G98" i="31"/>
  <c r="G99"/>
  <c r="G100"/>
  <c r="G101"/>
  <c r="G102"/>
  <c r="G103"/>
  <c r="G104"/>
  <c r="G105"/>
  <c r="G106"/>
  <c r="J147" i="2" l="1"/>
  <c r="L166" i="1"/>
  <c r="F91" i="8"/>
  <c r="K55" i="10"/>
  <c r="F95" i="14"/>
  <c r="F44" i="36"/>
  <c r="F148" i="2"/>
  <c r="H166" i="1"/>
  <c r="F90" i="8"/>
  <c r="F94" i="14"/>
  <c r="H94"/>
  <c r="I90" i="8"/>
  <c r="K90"/>
  <c r="J94" i="14"/>
  <c r="M119" i="1" l="1"/>
  <c r="M115"/>
  <c r="N110"/>
  <c r="M110"/>
  <c r="H45" i="10"/>
  <c r="I29"/>
  <c r="J29"/>
  <c r="K29"/>
  <c r="L29"/>
  <c r="M29"/>
  <c r="N29"/>
  <c r="H29"/>
  <c r="I37"/>
  <c r="I41" s="1"/>
  <c r="I53" s="1"/>
  <c r="J37"/>
  <c r="J41" s="1"/>
  <c r="J53" s="1"/>
  <c r="K37"/>
  <c r="K41" s="1"/>
  <c r="K53" s="1"/>
  <c r="M37"/>
  <c r="M41" s="1"/>
  <c r="M53" s="1"/>
  <c r="H93" i="31"/>
  <c r="I93"/>
  <c r="L21" i="36" l="1"/>
  <c r="L38" s="1"/>
  <c r="L37" i="10"/>
  <c r="L41" s="1"/>
  <c r="L53" s="1"/>
  <c r="N37"/>
  <c r="N41" s="1"/>
  <c r="N53" s="1"/>
  <c r="H37"/>
  <c r="H41" s="1"/>
  <c r="H53" s="1"/>
  <c r="M138" i="1"/>
  <c r="Q17" i="10" l="1" a="1"/>
  <c r="Q17" s="1"/>
  <c r="O43"/>
  <c r="Q43" s="1"/>
  <c r="O44"/>
  <c r="O47"/>
  <c r="Q47" s="1"/>
  <c r="O48"/>
  <c r="Q48" s="1"/>
  <c r="O49"/>
  <c r="Q49" s="1"/>
  <c r="O50"/>
  <c r="Q50" s="1"/>
  <c r="O51"/>
  <c r="Q51" s="1"/>
  <c r="AA32" i="33"/>
  <c r="AA33"/>
  <c r="A452" i="34"/>
  <c r="A446"/>
  <c r="A447"/>
  <c r="A442"/>
  <c r="A440"/>
  <c r="A438"/>
  <c r="A436"/>
  <c r="A430"/>
  <c r="A426"/>
  <c r="A422"/>
  <c r="A420"/>
  <c r="AA30" i="33"/>
  <c r="AA31"/>
  <c r="H92" i="31"/>
  <c r="I92"/>
  <c r="Q44" i="10" l="1"/>
  <c r="Q45" s="1"/>
  <c r="O45"/>
  <c r="L51" i="8"/>
  <c r="K51"/>
  <c r="L35"/>
  <c r="K35"/>
  <c r="L26"/>
  <c r="K26"/>
  <c r="L21"/>
  <c r="K21"/>
  <c r="A325" i="34"/>
  <c r="A326"/>
  <c r="A327"/>
  <c r="A328"/>
  <c r="A329"/>
  <c r="A330"/>
  <c r="A331"/>
  <c r="A332"/>
  <c r="A333"/>
  <c r="A334"/>
  <c r="A335"/>
  <c r="A336"/>
  <c r="A337"/>
  <c r="A280"/>
  <c r="L82" i="8" l="1"/>
  <c r="K82"/>
  <c r="L81"/>
  <c r="L88"/>
  <c r="L83"/>
  <c r="L84"/>
  <c r="K81"/>
  <c r="K88"/>
  <c r="K83"/>
  <c r="K84"/>
  <c r="K62"/>
  <c r="K63"/>
  <c r="L63"/>
  <c r="L62"/>
  <c r="L33"/>
  <c r="L34"/>
  <c r="K34"/>
  <c r="K33"/>
  <c r="A295" i="34"/>
  <c r="A296"/>
  <c r="A297"/>
  <c r="A298"/>
  <c r="A299"/>
  <c r="A300"/>
  <c r="A301"/>
  <c r="A302"/>
  <c r="A303"/>
  <c r="A304"/>
  <c r="A305"/>
  <c r="A306"/>
  <c r="A307"/>
  <c r="A308"/>
  <c r="A309"/>
  <c r="A310"/>
  <c r="A311"/>
  <c r="A312"/>
  <c r="A313"/>
  <c r="A314"/>
  <c r="A315"/>
  <c r="A316"/>
  <c r="A317"/>
  <c r="A318"/>
  <c r="A319"/>
  <c r="A320"/>
  <c r="A321"/>
  <c r="A322"/>
  <c r="A323"/>
  <c r="A324"/>
  <c r="A338"/>
  <c r="A339"/>
  <c r="A340"/>
  <c r="A341"/>
  <c r="A342"/>
  <c r="A343"/>
  <c r="A344"/>
  <c r="A345"/>
  <c r="A346"/>
  <c r="A347"/>
  <c r="A348"/>
  <c r="A349"/>
  <c r="A350"/>
  <c r="A351"/>
  <c r="A352"/>
  <c r="A277"/>
  <c r="A278"/>
  <c r="A279"/>
  <c r="A281"/>
  <c r="A282"/>
  <c r="A283"/>
  <c r="A284"/>
  <c r="A285"/>
  <c r="A286"/>
  <c r="A268"/>
  <c r="A269"/>
  <c r="A270"/>
  <c r="A271"/>
  <c r="A272"/>
  <c r="A273"/>
  <c r="A274"/>
  <c r="A275"/>
  <c r="A276"/>
  <c r="A287"/>
  <c r="A288"/>
  <c r="A289"/>
  <c r="A254"/>
  <c r="A255"/>
  <c r="A256"/>
  <c r="A257"/>
  <c r="A258"/>
  <c r="A259"/>
  <c r="A260"/>
  <c r="A261"/>
  <c r="A262"/>
  <c r="A263"/>
  <c r="A264"/>
  <c r="A265"/>
  <c r="A266"/>
  <c r="A267"/>
  <c r="A290"/>
  <c r="A291"/>
  <c r="A252"/>
  <c r="A253"/>
  <c r="A292"/>
  <c r="A293"/>
  <c r="A294"/>
  <c r="A242"/>
  <c r="A243"/>
  <c r="A244"/>
  <c r="A245"/>
  <c r="A246"/>
  <c r="A247"/>
  <c r="A248"/>
  <c r="A249"/>
  <c r="A250"/>
  <c r="A251"/>
  <c r="N139" i="1" l="1"/>
  <c r="N138" s="1"/>
  <c r="N128"/>
  <c r="N123" s="1"/>
  <c r="N119"/>
  <c r="N115"/>
  <c r="N106"/>
  <c r="N94"/>
  <c r="N93" s="1"/>
  <c r="M94"/>
  <c r="M93" s="1"/>
  <c r="N101"/>
  <c r="N161" l="1"/>
  <c r="L50"/>
  <c r="K22"/>
  <c r="L42" l="1"/>
  <c r="M42" s="1"/>
  <c r="M50"/>
  <c r="L56"/>
  <c r="M56" s="1"/>
  <c r="N22"/>
  <c r="L22"/>
  <c r="M22" s="1"/>
  <c r="N28"/>
  <c r="K28"/>
  <c r="K21" s="1"/>
  <c r="K86" s="1"/>
  <c r="I73" i="31"/>
  <c r="J18" i="8"/>
  <c r="H73" i="31"/>
  <c r="J18" i="1" l="1" a="1"/>
  <c r="J18" s="1"/>
  <c r="J18" i="36"/>
  <c r="J18" i="2"/>
  <c r="E24" i="37"/>
  <c r="G24"/>
  <c r="E35"/>
  <c r="G35"/>
  <c r="AA4" i="33"/>
  <c r="AA5"/>
  <c r="AA6"/>
  <c r="AA9"/>
  <c r="AA13"/>
  <c r="AA15"/>
  <c r="AA18"/>
  <c r="AA20"/>
  <c r="AA21"/>
  <c r="AA22"/>
  <c r="AA23"/>
  <c r="AA24"/>
  <c r="AA25"/>
  <c r="AA26"/>
  <c r="AA27"/>
  <c r="AA28"/>
  <c r="AA29"/>
  <c r="G69" i="38" l="1"/>
  <c r="D362"/>
  <c r="D378"/>
  <c r="D394"/>
  <c r="D410"/>
  <c r="D426"/>
  <c r="D397"/>
  <c r="D351"/>
  <c r="D367"/>
  <c r="D383"/>
  <c r="D399"/>
  <c r="D431"/>
  <c r="D393"/>
  <c r="D364"/>
  <c r="D396"/>
  <c r="D428"/>
  <c r="D389"/>
  <c r="D350"/>
  <c r="D366"/>
  <c r="D382"/>
  <c r="D398"/>
  <c r="D414"/>
  <c r="D430"/>
  <c r="D409"/>
  <c r="D355"/>
  <c r="D371"/>
  <c r="D387"/>
  <c r="D403"/>
  <c r="D419"/>
  <c r="D435"/>
  <c r="D369"/>
  <c r="D405"/>
  <c r="D352"/>
  <c r="D368"/>
  <c r="D384"/>
  <c r="D400"/>
  <c r="D416"/>
  <c r="D432"/>
  <c r="D365"/>
  <c r="D401"/>
  <c r="D423"/>
  <c r="D377"/>
  <c r="D356"/>
  <c r="D388"/>
  <c r="D420"/>
  <c r="D373"/>
  <c r="D354"/>
  <c r="D370"/>
  <c r="D386"/>
  <c r="D402"/>
  <c r="D418"/>
  <c r="D434"/>
  <c r="D421"/>
  <c r="D359"/>
  <c r="D375"/>
  <c r="D391"/>
  <c r="D407"/>
  <c r="D439"/>
  <c r="D417"/>
  <c r="D372"/>
  <c r="D404"/>
  <c r="D436"/>
  <c r="D413"/>
  <c r="D358"/>
  <c r="D374"/>
  <c r="D390"/>
  <c r="D406"/>
  <c r="D422"/>
  <c r="D438"/>
  <c r="D433"/>
  <c r="D363"/>
  <c r="D379"/>
  <c r="D395"/>
  <c r="D411"/>
  <c r="D427"/>
  <c r="D357"/>
  <c r="D385"/>
  <c r="D425"/>
  <c r="D360"/>
  <c r="D376"/>
  <c r="D392"/>
  <c r="D408"/>
  <c r="D424"/>
  <c r="D440"/>
  <c r="D381"/>
  <c r="D429"/>
  <c r="D415"/>
  <c r="D361"/>
  <c r="D437"/>
  <c r="D380"/>
  <c r="D412"/>
  <c r="D353"/>
  <c r="D441"/>
  <c r="H69"/>
  <c r="J404"/>
  <c r="N404"/>
  <c r="M405"/>
  <c r="L406"/>
  <c r="K407"/>
  <c r="J408"/>
  <c r="N408"/>
  <c r="M409"/>
  <c r="L410"/>
  <c r="K411"/>
  <c r="J412"/>
  <c r="N412"/>
  <c r="M413"/>
  <c r="L414"/>
  <c r="K415"/>
  <c r="J416"/>
  <c r="N416"/>
  <c r="J13"/>
  <c r="N13"/>
  <c r="M14"/>
  <c r="L15"/>
  <c r="K16"/>
  <c r="J17"/>
  <c r="N17"/>
  <c r="M18"/>
  <c r="L19"/>
  <c r="K20"/>
  <c r="J21"/>
  <c r="N21"/>
  <c r="M22"/>
  <c r="L23"/>
  <c r="K24"/>
  <c r="J25"/>
  <c r="N25"/>
  <c r="M26"/>
  <c r="L27"/>
  <c r="K28"/>
  <c r="J29"/>
  <c r="N29"/>
  <c r="M30"/>
  <c r="L31"/>
  <c r="K32"/>
  <c r="J33"/>
  <c r="N33"/>
  <c r="M34"/>
  <c r="L35"/>
  <c r="K36"/>
  <c r="J37"/>
  <c r="N37"/>
  <c r="M38"/>
  <c r="L39"/>
  <c r="K40"/>
  <c r="J41"/>
  <c r="N41"/>
  <c r="M42"/>
  <c r="L43"/>
  <c r="K44"/>
  <c r="J45"/>
  <c r="N45"/>
  <c r="M46"/>
  <c r="L47"/>
  <c r="K48"/>
  <c r="J49"/>
  <c r="N49"/>
  <c r="M50"/>
  <c r="L51"/>
  <c r="K52"/>
  <c r="J53"/>
  <c r="N53"/>
  <c r="M54"/>
  <c r="L55"/>
  <c r="K56"/>
  <c r="J57"/>
  <c r="N57"/>
  <c r="M58"/>
  <c r="L59"/>
  <c r="K60"/>
  <c r="J61"/>
  <c r="N61"/>
  <c r="M62"/>
  <c r="L63"/>
  <c r="K64"/>
  <c r="K404"/>
  <c r="J405"/>
  <c r="N405"/>
  <c r="M406"/>
  <c r="L407"/>
  <c r="K408"/>
  <c r="J409"/>
  <c r="N409"/>
  <c r="M410"/>
  <c r="L411"/>
  <c r="K412"/>
  <c r="J413"/>
  <c r="N413"/>
  <c r="M414"/>
  <c r="L415"/>
  <c r="K416"/>
  <c r="K13"/>
  <c r="J14"/>
  <c r="N14"/>
  <c r="M15"/>
  <c r="L16"/>
  <c r="K17"/>
  <c r="J18"/>
  <c r="N18"/>
  <c r="M19"/>
  <c r="L20"/>
  <c r="K21"/>
  <c r="J22"/>
  <c r="N22"/>
  <c r="M23"/>
  <c r="L24"/>
  <c r="K25"/>
  <c r="J26"/>
  <c r="N26"/>
  <c r="M27"/>
  <c r="L28"/>
  <c r="K29"/>
  <c r="J30"/>
  <c r="N30"/>
  <c r="M31"/>
  <c r="L32"/>
  <c r="K33"/>
  <c r="J34"/>
  <c r="N34"/>
  <c r="M35"/>
  <c r="L36"/>
  <c r="K37"/>
  <c r="J38"/>
  <c r="N38"/>
  <c r="M39"/>
  <c r="L40"/>
  <c r="K41"/>
  <c r="J42"/>
  <c r="N42"/>
  <c r="M43"/>
  <c r="L44"/>
  <c r="K45"/>
  <c r="J46"/>
  <c r="N46"/>
  <c r="M47"/>
  <c r="L48"/>
  <c r="K49"/>
  <c r="J50"/>
  <c r="N50"/>
  <c r="M51"/>
  <c r="L52"/>
  <c r="K53"/>
  <c r="J54"/>
  <c r="N54"/>
  <c r="M55"/>
  <c r="L56"/>
  <c r="K57"/>
  <c r="J58"/>
  <c r="N58"/>
  <c r="M59"/>
  <c r="L60"/>
  <c r="K61"/>
  <c r="J62"/>
  <c r="N62"/>
  <c r="M63"/>
  <c r="L64"/>
  <c r="L404"/>
  <c r="K405"/>
  <c r="J406"/>
  <c r="N406"/>
  <c r="M407"/>
  <c r="L408"/>
  <c r="K409"/>
  <c r="J410"/>
  <c r="N410"/>
  <c r="M411"/>
  <c r="L412"/>
  <c r="K413"/>
  <c r="J414"/>
  <c r="N414"/>
  <c r="M415"/>
  <c r="L416"/>
  <c r="L13"/>
  <c r="K14"/>
  <c r="J15"/>
  <c r="N15"/>
  <c r="M16"/>
  <c r="L17"/>
  <c r="K18"/>
  <c r="J19"/>
  <c r="N19"/>
  <c r="M20"/>
  <c r="L21"/>
  <c r="K22"/>
  <c r="J23"/>
  <c r="N23"/>
  <c r="M24"/>
  <c r="L25"/>
  <c r="K26"/>
  <c r="J27"/>
  <c r="N27"/>
  <c r="M28"/>
  <c r="L29"/>
  <c r="K30"/>
  <c r="J31"/>
  <c r="N31"/>
  <c r="M32"/>
  <c r="L33"/>
  <c r="K34"/>
  <c r="J35"/>
  <c r="N35"/>
  <c r="M36"/>
  <c r="L37"/>
  <c r="K38"/>
  <c r="J39"/>
  <c r="N39"/>
  <c r="M40"/>
  <c r="L41"/>
  <c r="K42"/>
  <c r="J43"/>
  <c r="N43"/>
  <c r="M44"/>
  <c r="L45"/>
  <c r="K46"/>
  <c r="J47"/>
  <c r="N47"/>
  <c r="M48"/>
  <c r="L49"/>
  <c r="K50"/>
  <c r="J51"/>
  <c r="N51"/>
  <c r="M52"/>
  <c r="L53"/>
  <c r="K54"/>
  <c r="J55"/>
  <c r="N55"/>
  <c r="M56"/>
  <c r="L57"/>
  <c r="K58"/>
  <c r="J59"/>
  <c r="N59"/>
  <c r="M60"/>
  <c r="L61"/>
  <c r="K62"/>
  <c r="J63"/>
  <c r="N63"/>
  <c r="M64"/>
  <c r="M404"/>
  <c r="N407"/>
  <c r="J411"/>
  <c r="K414"/>
  <c r="M13"/>
  <c r="N16"/>
  <c r="J20"/>
  <c r="K23"/>
  <c r="L26"/>
  <c r="M29"/>
  <c r="N32"/>
  <c r="J36"/>
  <c r="K39"/>
  <c r="L42"/>
  <c r="M45"/>
  <c r="N48"/>
  <c r="J52"/>
  <c r="K55"/>
  <c r="L58"/>
  <c r="M61"/>
  <c r="N64"/>
  <c r="M65"/>
  <c r="L66"/>
  <c r="K67"/>
  <c r="J68"/>
  <c r="N68"/>
  <c r="M69"/>
  <c r="L70"/>
  <c r="K71"/>
  <c r="J72"/>
  <c r="N72"/>
  <c r="M73"/>
  <c r="L74"/>
  <c r="K75"/>
  <c r="J76"/>
  <c r="N76"/>
  <c r="M77"/>
  <c r="L78"/>
  <c r="K79"/>
  <c r="J80"/>
  <c r="N80"/>
  <c r="M81"/>
  <c r="L82"/>
  <c r="K83"/>
  <c r="J84"/>
  <c r="N84"/>
  <c r="M85"/>
  <c r="L86"/>
  <c r="K87"/>
  <c r="J88"/>
  <c r="N88"/>
  <c r="M89"/>
  <c r="L90"/>
  <c r="K91"/>
  <c r="J92"/>
  <c r="N92"/>
  <c r="M93"/>
  <c r="L94"/>
  <c r="K95"/>
  <c r="J96"/>
  <c r="N96"/>
  <c r="M97"/>
  <c r="L98"/>
  <c r="K99"/>
  <c r="J100"/>
  <c r="N100"/>
  <c r="M101"/>
  <c r="L102"/>
  <c r="K103"/>
  <c r="J104"/>
  <c r="N104"/>
  <c r="M105"/>
  <c r="L106"/>
  <c r="K107"/>
  <c r="J108"/>
  <c r="N108"/>
  <c r="M109"/>
  <c r="L110"/>
  <c r="K111"/>
  <c r="J112"/>
  <c r="N112"/>
  <c r="M113"/>
  <c r="L114"/>
  <c r="K115"/>
  <c r="L405"/>
  <c r="M408"/>
  <c r="N411"/>
  <c r="J415"/>
  <c r="L14"/>
  <c r="M17"/>
  <c r="N20"/>
  <c r="J24"/>
  <c r="K27"/>
  <c r="L30"/>
  <c r="M33"/>
  <c r="N36"/>
  <c r="J40"/>
  <c r="K43"/>
  <c r="L46"/>
  <c r="M49"/>
  <c r="N52"/>
  <c r="J56"/>
  <c r="K59"/>
  <c r="L62"/>
  <c r="J65"/>
  <c r="N65"/>
  <c r="M66"/>
  <c r="L67"/>
  <c r="K68"/>
  <c r="J69"/>
  <c r="N69"/>
  <c r="M70"/>
  <c r="L71"/>
  <c r="K72"/>
  <c r="J73"/>
  <c r="N73"/>
  <c r="M74"/>
  <c r="L75"/>
  <c r="K76"/>
  <c r="J77"/>
  <c r="N77"/>
  <c r="M78"/>
  <c r="L79"/>
  <c r="K80"/>
  <c r="J81"/>
  <c r="N81"/>
  <c r="M82"/>
  <c r="L83"/>
  <c r="K84"/>
  <c r="J85"/>
  <c r="N85"/>
  <c r="M86"/>
  <c r="L87"/>
  <c r="K88"/>
  <c r="J89"/>
  <c r="N89"/>
  <c r="M90"/>
  <c r="L91"/>
  <c r="K92"/>
  <c r="J93"/>
  <c r="N93"/>
  <c r="M94"/>
  <c r="L95"/>
  <c r="K96"/>
  <c r="J97"/>
  <c r="N97"/>
  <c r="M98"/>
  <c r="L99"/>
  <c r="K100"/>
  <c r="J101"/>
  <c r="N101"/>
  <c r="M102"/>
  <c r="L103"/>
  <c r="K104"/>
  <c r="J105"/>
  <c r="N105"/>
  <c r="M106"/>
  <c r="L107"/>
  <c r="K108"/>
  <c r="J109"/>
  <c r="N109"/>
  <c r="M110"/>
  <c r="L111"/>
  <c r="K112"/>
  <c r="J113"/>
  <c r="N113"/>
  <c r="M114"/>
  <c r="L115"/>
  <c r="K116"/>
  <c r="K406"/>
  <c r="L409"/>
  <c r="M412"/>
  <c r="N415"/>
  <c r="K15"/>
  <c r="L18"/>
  <c r="M21"/>
  <c r="N24"/>
  <c r="J28"/>
  <c r="K31"/>
  <c r="L34"/>
  <c r="M37"/>
  <c r="N40"/>
  <c r="J44"/>
  <c r="K47"/>
  <c r="L50"/>
  <c r="M53"/>
  <c r="N56"/>
  <c r="J60"/>
  <c r="K63"/>
  <c r="K65"/>
  <c r="J66"/>
  <c r="N66"/>
  <c r="M67"/>
  <c r="L68"/>
  <c r="K69"/>
  <c r="J70"/>
  <c r="N70"/>
  <c r="M71"/>
  <c r="L72"/>
  <c r="K73"/>
  <c r="J74"/>
  <c r="N74"/>
  <c r="M75"/>
  <c r="L76"/>
  <c r="K77"/>
  <c r="J78"/>
  <c r="N78"/>
  <c r="M79"/>
  <c r="L80"/>
  <c r="K81"/>
  <c r="J82"/>
  <c r="N82"/>
  <c r="M83"/>
  <c r="L84"/>
  <c r="K85"/>
  <c r="J86"/>
  <c r="N86"/>
  <c r="M87"/>
  <c r="L88"/>
  <c r="K89"/>
  <c r="J90"/>
  <c r="N90"/>
  <c r="M91"/>
  <c r="L92"/>
  <c r="K93"/>
  <c r="J94"/>
  <c r="N94"/>
  <c r="M95"/>
  <c r="L96"/>
  <c r="K97"/>
  <c r="J98"/>
  <c r="N98"/>
  <c r="M99"/>
  <c r="L100"/>
  <c r="K101"/>
  <c r="J102"/>
  <c r="N102"/>
  <c r="M103"/>
  <c r="L104"/>
  <c r="K105"/>
  <c r="J106"/>
  <c r="N106"/>
  <c r="M107"/>
  <c r="L108"/>
  <c r="K109"/>
  <c r="J110"/>
  <c r="N110"/>
  <c r="M111"/>
  <c r="L112"/>
  <c r="K113"/>
  <c r="J114"/>
  <c r="N114"/>
  <c r="M115"/>
  <c r="L116"/>
  <c r="J407"/>
  <c r="M25"/>
  <c r="L38"/>
  <c r="K51"/>
  <c r="J64"/>
  <c r="N67"/>
  <c r="J71"/>
  <c r="K74"/>
  <c r="L77"/>
  <c r="M80"/>
  <c r="N83"/>
  <c r="J87"/>
  <c r="K90"/>
  <c r="L93"/>
  <c r="M96"/>
  <c r="N99"/>
  <c r="J103"/>
  <c r="K106"/>
  <c r="L109"/>
  <c r="M112"/>
  <c r="N115"/>
  <c r="J117"/>
  <c r="N117"/>
  <c r="M118"/>
  <c r="L119"/>
  <c r="K120"/>
  <c r="J121"/>
  <c r="N121"/>
  <c r="M122"/>
  <c r="L123"/>
  <c r="K124"/>
  <c r="J125"/>
  <c r="N125"/>
  <c r="M126"/>
  <c r="L127"/>
  <c r="K128"/>
  <c r="J129"/>
  <c r="N129"/>
  <c r="M130"/>
  <c r="L131"/>
  <c r="K132"/>
  <c r="J133"/>
  <c r="N133"/>
  <c r="M134"/>
  <c r="L135"/>
  <c r="K136"/>
  <c r="M137"/>
  <c r="L138"/>
  <c r="K139"/>
  <c r="J140"/>
  <c r="N140"/>
  <c r="M141"/>
  <c r="L142"/>
  <c r="K143"/>
  <c r="J144"/>
  <c r="N144"/>
  <c r="M145"/>
  <c r="L146"/>
  <c r="K147"/>
  <c r="J148"/>
  <c r="N148"/>
  <c r="M149"/>
  <c r="L150"/>
  <c r="K151"/>
  <c r="J152"/>
  <c r="N152"/>
  <c r="M153"/>
  <c r="L154"/>
  <c r="K155"/>
  <c r="J156"/>
  <c r="N156"/>
  <c r="M157"/>
  <c r="L158"/>
  <c r="K159"/>
  <c r="J160"/>
  <c r="N160"/>
  <c r="M161"/>
  <c r="L162"/>
  <c r="K163"/>
  <c r="J164"/>
  <c r="N164"/>
  <c r="M165"/>
  <c r="L166"/>
  <c r="K167"/>
  <c r="J168"/>
  <c r="N168"/>
  <c r="M169"/>
  <c r="L170"/>
  <c r="K171"/>
  <c r="J172"/>
  <c r="N172"/>
  <c r="M173"/>
  <c r="L174"/>
  <c r="K175"/>
  <c r="J176"/>
  <c r="N176"/>
  <c r="M177"/>
  <c r="L178"/>
  <c r="K179"/>
  <c r="J180"/>
  <c r="N180"/>
  <c r="M181"/>
  <c r="L182"/>
  <c r="K183"/>
  <c r="J184"/>
  <c r="N184"/>
  <c r="M185"/>
  <c r="L186"/>
  <c r="K187"/>
  <c r="J188"/>
  <c r="N188"/>
  <c r="M189"/>
  <c r="L190"/>
  <c r="K191"/>
  <c r="J192"/>
  <c r="N192"/>
  <c r="M193"/>
  <c r="L194"/>
  <c r="K195"/>
  <c r="J196"/>
  <c r="N196"/>
  <c r="M197"/>
  <c r="L198"/>
  <c r="K199"/>
  <c r="J200"/>
  <c r="N200"/>
  <c r="M201"/>
  <c r="L202"/>
  <c r="K203"/>
  <c r="J204"/>
  <c r="N204"/>
  <c r="M205"/>
  <c r="L206"/>
  <c r="K207"/>
  <c r="J208"/>
  <c r="N208"/>
  <c r="M209"/>
  <c r="L210"/>
  <c r="K211"/>
  <c r="J212"/>
  <c r="N212"/>
  <c r="M213"/>
  <c r="L214"/>
  <c r="K215"/>
  <c r="J216"/>
  <c r="N216"/>
  <c r="M217"/>
  <c r="L218"/>
  <c r="K219"/>
  <c r="J220"/>
  <c r="N220"/>
  <c r="M221"/>
  <c r="L222"/>
  <c r="K223"/>
  <c r="J224"/>
  <c r="N224"/>
  <c r="M225"/>
  <c r="L226"/>
  <c r="K227"/>
  <c r="J228"/>
  <c r="N228"/>
  <c r="M229"/>
  <c r="L230"/>
  <c r="K410"/>
  <c r="J16"/>
  <c r="N28"/>
  <c r="M41"/>
  <c r="L54"/>
  <c r="L65"/>
  <c r="M68"/>
  <c r="N71"/>
  <c r="J75"/>
  <c r="K78"/>
  <c r="L81"/>
  <c r="M84"/>
  <c r="N87"/>
  <c r="J91"/>
  <c r="K94"/>
  <c r="L97"/>
  <c r="M100"/>
  <c r="N103"/>
  <c r="J107"/>
  <c r="K110"/>
  <c r="L113"/>
  <c r="J116"/>
  <c r="K117"/>
  <c r="J118"/>
  <c r="N118"/>
  <c r="M119"/>
  <c r="L120"/>
  <c r="K121"/>
  <c r="J122"/>
  <c r="N122"/>
  <c r="M123"/>
  <c r="L124"/>
  <c r="K125"/>
  <c r="J126"/>
  <c r="N126"/>
  <c r="M127"/>
  <c r="L128"/>
  <c r="K129"/>
  <c r="J130"/>
  <c r="N130"/>
  <c r="M131"/>
  <c r="L132"/>
  <c r="K133"/>
  <c r="J134"/>
  <c r="N134"/>
  <c r="M135"/>
  <c r="L136"/>
  <c r="J137"/>
  <c r="N137"/>
  <c r="M138"/>
  <c r="L139"/>
  <c r="K140"/>
  <c r="J141"/>
  <c r="N141"/>
  <c r="M142"/>
  <c r="L143"/>
  <c r="K144"/>
  <c r="J145"/>
  <c r="N145"/>
  <c r="M146"/>
  <c r="L147"/>
  <c r="K148"/>
  <c r="J149"/>
  <c r="N149"/>
  <c r="M150"/>
  <c r="L151"/>
  <c r="K152"/>
  <c r="J153"/>
  <c r="N153"/>
  <c r="M154"/>
  <c r="L155"/>
  <c r="K156"/>
  <c r="J157"/>
  <c r="N157"/>
  <c r="M158"/>
  <c r="L159"/>
  <c r="K160"/>
  <c r="J161"/>
  <c r="N161"/>
  <c r="M162"/>
  <c r="L163"/>
  <c r="K164"/>
  <c r="J165"/>
  <c r="N165"/>
  <c r="M166"/>
  <c r="L167"/>
  <c r="K168"/>
  <c r="J169"/>
  <c r="N169"/>
  <c r="M170"/>
  <c r="L171"/>
  <c r="K172"/>
  <c r="J173"/>
  <c r="N173"/>
  <c r="M174"/>
  <c r="L175"/>
  <c r="K176"/>
  <c r="J177"/>
  <c r="N177"/>
  <c r="M178"/>
  <c r="L179"/>
  <c r="K180"/>
  <c r="J181"/>
  <c r="N181"/>
  <c r="M182"/>
  <c r="L183"/>
  <c r="K184"/>
  <c r="J185"/>
  <c r="N185"/>
  <c r="M186"/>
  <c r="L187"/>
  <c r="K188"/>
  <c r="J189"/>
  <c r="N189"/>
  <c r="M190"/>
  <c r="L191"/>
  <c r="K192"/>
  <c r="J193"/>
  <c r="N193"/>
  <c r="M194"/>
  <c r="L195"/>
  <c r="K196"/>
  <c r="J197"/>
  <c r="N197"/>
  <c r="M198"/>
  <c r="L199"/>
  <c r="K200"/>
  <c r="J201"/>
  <c r="N201"/>
  <c r="M202"/>
  <c r="L203"/>
  <c r="K204"/>
  <c r="J205"/>
  <c r="N205"/>
  <c r="M206"/>
  <c r="L207"/>
  <c r="K208"/>
  <c r="J209"/>
  <c r="N209"/>
  <c r="M210"/>
  <c r="L211"/>
  <c r="K212"/>
  <c r="J213"/>
  <c r="N213"/>
  <c r="M214"/>
  <c r="L215"/>
  <c r="K216"/>
  <c r="J217"/>
  <c r="N217"/>
  <c r="M218"/>
  <c r="L219"/>
  <c r="K220"/>
  <c r="J221"/>
  <c r="N221"/>
  <c r="M222"/>
  <c r="L223"/>
  <c r="K224"/>
  <c r="J225"/>
  <c r="N225"/>
  <c r="M226"/>
  <c r="L227"/>
  <c r="K228"/>
  <c r="J229"/>
  <c r="N229"/>
  <c r="M230"/>
  <c r="L231"/>
  <c r="K232"/>
  <c r="J233"/>
  <c r="N233"/>
  <c r="L413"/>
  <c r="K19"/>
  <c r="J32"/>
  <c r="N44"/>
  <c r="M57"/>
  <c r="K66"/>
  <c r="L69"/>
  <c r="M72"/>
  <c r="N75"/>
  <c r="J79"/>
  <c r="K82"/>
  <c r="L85"/>
  <c r="M88"/>
  <c r="N91"/>
  <c r="J95"/>
  <c r="K98"/>
  <c r="L101"/>
  <c r="M104"/>
  <c r="N107"/>
  <c r="J111"/>
  <c r="K114"/>
  <c r="M116"/>
  <c r="L117"/>
  <c r="K118"/>
  <c r="J119"/>
  <c r="N119"/>
  <c r="M120"/>
  <c r="L121"/>
  <c r="K122"/>
  <c r="J123"/>
  <c r="N123"/>
  <c r="M124"/>
  <c r="L125"/>
  <c r="K126"/>
  <c r="J127"/>
  <c r="N127"/>
  <c r="M128"/>
  <c r="L129"/>
  <c r="K130"/>
  <c r="J131"/>
  <c r="N131"/>
  <c r="M132"/>
  <c r="L133"/>
  <c r="K134"/>
  <c r="J135"/>
  <c r="N135"/>
  <c r="M136"/>
  <c r="K137"/>
  <c r="J138"/>
  <c r="N138"/>
  <c r="M139"/>
  <c r="L140"/>
  <c r="K141"/>
  <c r="J142"/>
  <c r="N142"/>
  <c r="M143"/>
  <c r="L144"/>
  <c r="K145"/>
  <c r="J146"/>
  <c r="N146"/>
  <c r="M147"/>
  <c r="L148"/>
  <c r="K149"/>
  <c r="J150"/>
  <c r="N150"/>
  <c r="M151"/>
  <c r="L152"/>
  <c r="K153"/>
  <c r="J154"/>
  <c r="N154"/>
  <c r="M155"/>
  <c r="L156"/>
  <c r="K157"/>
  <c r="J158"/>
  <c r="N158"/>
  <c r="M159"/>
  <c r="L160"/>
  <c r="K161"/>
  <c r="J162"/>
  <c r="N162"/>
  <c r="M163"/>
  <c r="L164"/>
  <c r="K165"/>
  <c r="J166"/>
  <c r="N166"/>
  <c r="M167"/>
  <c r="L168"/>
  <c r="K169"/>
  <c r="J170"/>
  <c r="N170"/>
  <c r="M171"/>
  <c r="L172"/>
  <c r="K173"/>
  <c r="J174"/>
  <c r="N174"/>
  <c r="M175"/>
  <c r="L176"/>
  <c r="K177"/>
  <c r="J178"/>
  <c r="N178"/>
  <c r="M179"/>
  <c r="L180"/>
  <c r="K181"/>
  <c r="J182"/>
  <c r="N182"/>
  <c r="M183"/>
  <c r="L184"/>
  <c r="K185"/>
  <c r="J186"/>
  <c r="N186"/>
  <c r="M187"/>
  <c r="L188"/>
  <c r="K189"/>
  <c r="J190"/>
  <c r="N190"/>
  <c r="M191"/>
  <c r="L192"/>
  <c r="K193"/>
  <c r="J194"/>
  <c r="N194"/>
  <c r="M195"/>
  <c r="L196"/>
  <c r="K197"/>
  <c r="J198"/>
  <c r="N198"/>
  <c r="M199"/>
  <c r="L200"/>
  <c r="K201"/>
  <c r="J202"/>
  <c r="N202"/>
  <c r="M203"/>
  <c r="L204"/>
  <c r="K205"/>
  <c r="J206"/>
  <c r="N206"/>
  <c r="M207"/>
  <c r="L208"/>
  <c r="K209"/>
  <c r="J210"/>
  <c r="N210"/>
  <c r="M211"/>
  <c r="L212"/>
  <c r="K213"/>
  <c r="J214"/>
  <c r="N214"/>
  <c r="M215"/>
  <c r="L216"/>
  <c r="K217"/>
  <c r="J218"/>
  <c r="N218"/>
  <c r="M219"/>
  <c r="L220"/>
  <c r="K221"/>
  <c r="J222"/>
  <c r="N222"/>
  <c r="M223"/>
  <c r="L224"/>
  <c r="K225"/>
  <c r="J226"/>
  <c r="N226"/>
  <c r="M227"/>
  <c r="L228"/>
  <c r="K229"/>
  <c r="J230"/>
  <c r="N230"/>
  <c r="M231"/>
  <c r="L232"/>
  <c r="K233"/>
  <c r="J234"/>
  <c r="M416"/>
  <c r="N60"/>
  <c r="M76"/>
  <c r="L89"/>
  <c r="K102"/>
  <c r="J115"/>
  <c r="K119"/>
  <c r="L122"/>
  <c r="M125"/>
  <c r="N128"/>
  <c r="J132"/>
  <c r="K135"/>
  <c r="L137"/>
  <c r="M140"/>
  <c r="N143"/>
  <c r="J147"/>
  <c r="K150"/>
  <c r="L153"/>
  <c r="M156"/>
  <c r="N159"/>
  <c r="J163"/>
  <c r="K166"/>
  <c r="L169"/>
  <c r="M172"/>
  <c r="N175"/>
  <c r="J179"/>
  <c r="K182"/>
  <c r="L185"/>
  <c r="M188"/>
  <c r="N191"/>
  <c r="J195"/>
  <c r="K198"/>
  <c r="L201"/>
  <c r="M204"/>
  <c r="N207"/>
  <c r="J211"/>
  <c r="K214"/>
  <c r="L217"/>
  <c r="M220"/>
  <c r="N223"/>
  <c r="J227"/>
  <c r="K230"/>
  <c r="J232"/>
  <c r="M233"/>
  <c r="N234"/>
  <c r="M235"/>
  <c r="L236"/>
  <c r="K237"/>
  <c r="J238"/>
  <c r="N238"/>
  <c r="M239"/>
  <c r="L240"/>
  <c r="K241"/>
  <c r="J242"/>
  <c r="N242"/>
  <c r="M243"/>
  <c r="L244"/>
  <c r="K245"/>
  <c r="J246"/>
  <c r="N246"/>
  <c r="M247"/>
  <c r="L248"/>
  <c r="K249"/>
  <c r="J250"/>
  <c r="N250"/>
  <c r="M251"/>
  <c r="L252"/>
  <c r="K253"/>
  <c r="J254"/>
  <c r="N254"/>
  <c r="M255"/>
  <c r="L256"/>
  <c r="K257"/>
  <c r="J258"/>
  <c r="N258"/>
  <c r="M259"/>
  <c r="L260"/>
  <c r="K261"/>
  <c r="J262"/>
  <c r="N262"/>
  <c r="M263"/>
  <c r="L264"/>
  <c r="K265"/>
  <c r="J266"/>
  <c r="N266"/>
  <c r="M267"/>
  <c r="L268"/>
  <c r="K269"/>
  <c r="J270"/>
  <c r="N270"/>
  <c r="M271"/>
  <c r="L272"/>
  <c r="K273"/>
  <c r="J274"/>
  <c r="N274"/>
  <c r="M275"/>
  <c r="L276"/>
  <c r="K277"/>
  <c r="J278"/>
  <c r="N278"/>
  <c r="M279"/>
  <c r="L280"/>
  <c r="K281"/>
  <c r="J282"/>
  <c r="N282"/>
  <c r="M283"/>
  <c r="L284"/>
  <c r="K285"/>
  <c r="J286"/>
  <c r="N286"/>
  <c r="M287"/>
  <c r="L288"/>
  <c r="K289"/>
  <c r="J290"/>
  <c r="N290"/>
  <c r="M291"/>
  <c r="L292"/>
  <c r="K293"/>
  <c r="J294"/>
  <c r="N294"/>
  <c r="M295"/>
  <c r="L296"/>
  <c r="K297"/>
  <c r="J298"/>
  <c r="N298"/>
  <c r="M299"/>
  <c r="L300"/>
  <c r="K301"/>
  <c r="J302"/>
  <c r="N302"/>
  <c r="M303"/>
  <c r="L304"/>
  <c r="K305"/>
  <c r="J306"/>
  <c r="N306"/>
  <c r="M307"/>
  <c r="L308"/>
  <c r="K309"/>
  <c r="J310"/>
  <c r="N310"/>
  <c r="M311"/>
  <c r="L312"/>
  <c r="K313"/>
  <c r="J314"/>
  <c r="N314"/>
  <c r="M315"/>
  <c r="L316"/>
  <c r="K317"/>
  <c r="J318"/>
  <c r="N318"/>
  <c r="M319"/>
  <c r="L320"/>
  <c r="K321"/>
  <c r="J322"/>
  <c r="N322"/>
  <c r="M323"/>
  <c r="L324"/>
  <c r="K325"/>
  <c r="J326"/>
  <c r="N326"/>
  <c r="M327"/>
  <c r="L328"/>
  <c r="K329"/>
  <c r="J330"/>
  <c r="N330"/>
  <c r="M331"/>
  <c r="L332"/>
  <c r="K333"/>
  <c r="J334"/>
  <c r="N334"/>
  <c r="L22"/>
  <c r="J67"/>
  <c r="N79"/>
  <c r="M92"/>
  <c r="L105"/>
  <c r="N116"/>
  <c r="J120"/>
  <c r="K123"/>
  <c r="L126"/>
  <c r="M129"/>
  <c r="N132"/>
  <c r="J136"/>
  <c r="K138"/>
  <c r="L141"/>
  <c r="M144"/>
  <c r="N147"/>
  <c r="J151"/>
  <c r="K154"/>
  <c r="L157"/>
  <c r="M160"/>
  <c r="N163"/>
  <c r="J167"/>
  <c r="K170"/>
  <c r="L173"/>
  <c r="M176"/>
  <c r="N179"/>
  <c r="J183"/>
  <c r="K186"/>
  <c r="L189"/>
  <c r="M192"/>
  <c r="N195"/>
  <c r="J199"/>
  <c r="K202"/>
  <c r="L205"/>
  <c r="M208"/>
  <c r="N211"/>
  <c r="J215"/>
  <c r="K218"/>
  <c r="L221"/>
  <c r="M224"/>
  <c r="N227"/>
  <c r="J231"/>
  <c r="M232"/>
  <c r="K234"/>
  <c r="J235"/>
  <c r="N235"/>
  <c r="M236"/>
  <c r="L237"/>
  <c r="K238"/>
  <c r="J239"/>
  <c r="N239"/>
  <c r="M240"/>
  <c r="L241"/>
  <c r="K242"/>
  <c r="J243"/>
  <c r="N243"/>
  <c r="M244"/>
  <c r="L245"/>
  <c r="K246"/>
  <c r="J247"/>
  <c r="N247"/>
  <c r="M248"/>
  <c r="L249"/>
  <c r="K250"/>
  <c r="J251"/>
  <c r="N251"/>
  <c r="M252"/>
  <c r="L253"/>
  <c r="K254"/>
  <c r="J255"/>
  <c r="N255"/>
  <c r="M256"/>
  <c r="L257"/>
  <c r="K258"/>
  <c r="J259"/>
  <c r="N259"/>
  <c r="M260"/>
  <c r="L261"/>
  <c r="K262"/>
  <c r="J263"/>
  <c r="N263"/>
  <c r="M264"/>
  <c r="L265"/>
  <c r="K266"/>
  <c r="J267"/>
  <c r="N267"/>
  <c r="M268"/>
  <c r="L269"/>
  <c r="K270"/>
  <c r="J271"/>
  <c r="N271"/>
  <c r="M272"/>
  <c r="L273"/>
  <c r="K274"/>
  <c r="J275"/>
  <c r="N275"/>
  <c r="M276"/>
  <c r="L277"/>
  <c r="K278"/>
  <c r="J279"/>
  <c r="N279"/>
  <c r="M280"/>
  <c r="L281"/>
  <c r="K282"/>
  <c r="J283"/>
  <c r="N283"/>
  <c r="M284"/>
  <c r="L285"/>
  <c r="K286"/>
  <c r="J287"/>
  <c r="N287"/>
  <c r="M288"/>
  <c r="L289"/>
  <c r="K290"/>
  <c r="J291"/>
  <c r="N291"/>
  <c r="M292"/>
  <c r="L293"/>
  <c r="K294"/>
  <c r="J295"/>
  <c r="N295"/>
  <c r="M296"/>
  <c r="L297"/>
  <c r="K298"/>
  <c r="J299"/>
  <c r="N299"/>
  <c r="M300"/>
  <c r="L301"/>
  <c r="K302"/>
  <c r="J303"/>
  <c r="N303"/>
  <c r="M304"/>
  <c r="L305"/>
  <c r="K306"/>
  <c r="J307"/>
  <c r="N307"/>
  <c r="M308"/>
  <c r="L309"/>
  <c r="K310"/>
  <c r="J311"/>
  <c r="N311"/>
  <c r="M312"/>
  <c r="L313"/>
  <c r="K314"/>
  <c r="J315"/>
  <c r="N315"/>
  <c r="M316"/>
  <c r="L317"/>
  <c r="K318"/>
  <c r="J319"/>
  <c r="N319"/>
  <c r="M320"/>
  <c r="L321"/>
  <c r="K322"/>
  <c r="J323"/>
  <c r="N323"/>
  <c r="M324"/>
  <c r="L325"/>
  <c r="K326"/>
  <c r="J327"/>
  <c r="N327"/>
  <c r="M328"/>
  <c r="L329"/>
  <c r="K330"/>
  <c r="J331"/>
  <c r="N331"/>
  <c r="M332"/>
  <c r="L333"/>
  <c r="K334"/>
  <c r="J335"/>
  <c r="N335"/>
  <c r="K35"/>
  <c r="K70"/>
  <c r="J83"/>
  <c r="N95"/>
  <c r="M108"/>
  <c r="M117"/>
  <c r="N120"/>
  <c r="J124"/>
  <c r="K127"/>
  <c r="L130"/>
  <c r="M133"/>
  <c r="N136"/>
  <c r="J139"/>
  <c r="K142"/>
  <c r="L145"/>
  <c r="M148"/>
  <c r="N151"/>
  <c r="J155"/>
  <c r="K158"/>
  <c r="L161"/>
  <c r="M164"/>
  <c r="N167"/>
  <c r="J171"/>
  <c r="K174"/>
  <c r="L177"/>
  <c r="M180"/>
  <c r="N183"/>
  <c r="J187"/>
  <c r="K190"/>
  <c r="L193"/>
  <c r="M196"/>
  <c r="N199"/>
  <c r="J203"/>
  <c r="K206"/>
  <c r="L209"/>
  <c r="M212"/>
  <c r="N215"/>
  <c r="J219"/>
  <c r="K222"/>
  <c r="L225"/>
  <c r="M228"/>
  <c r="K231"/>
  <c r="N232"/>
  <c r="L234"/>
  <c r="K235"/>
  <c r="J236"/>
  <c r="N236"/>
  <c r="M237"/>
  <c r="L238"/>
  <c r="K239"/>
  <c r="J240"/>
  <c r="N240"/>
  <c r="M241"/>
  <c r="L242"/>
  <c r="K243"/>
  <c r="J244"/>
  <c r="N244"/>
  <c r="M245"/>
  <c r="L246"/>
  <c r="K247"/>
  <c r="J248"/>
  <c r="N248"/>
  <c r="M249"/>
  <c r="L250"/>
  <c r="K251"/>
  <c r="J252"/>
  <c r="N252"/>
  <c r="M253"/>
  <c r="L254"/>
  <c r="K255"/>
  <c r="J256"/>
  <c r="N256"/>
  <c r="M257"/>
  <c r="L258"/>
  <c r="K259"/>
  <c r="J260"/>
  <c r="N260"/>
  <c r="M261"/>
  <c r="L262"/>
  <c r="K263"/>
  <c r="J264"/>
  <c r="N264"/>
  <c r="M265"/>
  <c r="L266"/>
  <c r="K267"/>
  <c r="J268"/>
  <c r="N268"/>
  <c r="M269"/>
  <c r="L270"/>
  <c r="K271"/>
  <c r="J272"/>
  <c r="N272"/>
  <c r="M273"/>
  <c r="L274"/>
  <c r="K275"/>
  <c r="J276"/>
  <c r="N276"/>
  <c r="M277"/>
  <c r="L278"/>
  <c r="K279"/>
  <c r="J280"/>
  <c r="N280"/>
  <c r="M281"/>
  <c r="L282"/>
  <c r="K283"/>
  <c r="J284"/>
  <c r="N284"/>
  <c r="M285"/>
  <c r="L286"/>
  <c r="K287"/>
  <c r="J288"/>
  <c r="N288"/>
  <c r="M289"/>
  <c r="L290"/>
  <c r="K291"/>
  <c r="J292"/>
  <c r="N292"/>
  <c r="M293"/>
  <c r="L294"/>
  <c r="K295"/>
  <c r="J296"/>
  <c r="N296"/>
  <c r="M297"/>
  <c r="L298"/>
  <c r="K299"/>
  <c r="J300"/>
  <c r="N300"/>
  <c r="M301"/>
  <c r="L302"/>
  <c r="K303"/>
  <c r="J304"/>
  <c r="N304"/>
  <c r="M305"/>
  <c r="L306"/>
  <c r="K307"/>
  <c r="J308"/>
  <c r="N308"/>
  <c r="M309"/>
  <c r="L310"/>
  <c r="K311"/>
  <c r="J312"/>
  <c r="N312"/>
  <c r="M313"/>
  <c r="L314"/>
  <c r="K315"/>
  <c r="J316"/>
  <c r="N316"/>
  <c r="M317"/>
  <c r="L318"/>
  <c r="K319"/>
  <c r="J320"/>
  <c r="N320"/>
  <c r="M321"/>
  <c r="L322"/>
  <c r="K323"/>
  <c r="J324"/>
  <c r="N324"/>
  <c r="M325"/>
  <c r="L326"/>
  <c r="K327"/>
  <c r="J328"/>
  <c r="N328"/>
  <c r="M329"/>
  <c r="L330"/>
  <c r="J48"/>
  <c r="N111"/>
  <c r="J128"/>
  <c r="N139"/>
  <c r="M152"/>
  <c r="L165"/>
  <c r="K178"/>
  <c r="J191"/>
  <c r="N203"/>
  <c r="M216"/>
  <c r="L229"/>
  <c r="L235"/>
  <c r="M238"/>
  <c r="N241"/>
  <c r="J245"/>
  <c r="K248"/>
  <c r="L251"/>
  <c r="M254"/>
  <c r="N257"/>
  <c r="J261"/>
  <c r="K264"/>
  <c r="L267"/>
  <c r="M270"/>
  <c r="N273"/>
  <c r="J277"/>
  <c r="K280"/>
  <c r="L283"/>
  <c r="M286"/>
  <c r="N289"/>
  <c r="J293"/>
  <c r="K296"/>
  <c r="L299"/>
  <c r="M302"/>
  <c r="N305"/>
  <c r="J309"/>
  <c r="K312"/>
  <c r="L315"/>
  <c r="M318"/>
  <c r="N321"/>
  <c r="J325"/>
  <c r="K328"/>
  <c r="K331"/>
  <c r="N332"/>
  <c r="L334"/>
  <c r="M335"/>
  <c r="M336"/>
  <c r="L337"/>
  <c r="K338"/>
  <c r="J339"/>
  <c r="N339"/>
  <c r="M340"/>
  <c r="L341"/>
  <c r="K342"/>
  <c r="J343"/>
  <c r="N343"/>
  <c r="M344"/>
  <c r="L345"/>
  <c r="K346"/>
  <c r="J347"/>
  <c r="N347"/>
  <c r="M348"/>
  <c r="L349"/>
  <c r="K350"/>
  <c r="J351"/>
  <c r="N351"/>
  <c r="M352"/>
  <c r="L353"/>
  <c r="K354"/>
  <c r="J355"/>
  <c r="N355"/>
  <c r="M356"/>
  <c r="L357"/>
  <c r="K358"/>
  <c r="J359"/>
  <c r="N359"/>
  <c r="M360"/>
  <c r="L361"/>
  <c r="K362"/>
  <c r="J363"/>
  <c r="N363"/>
  <c r="M364"/>
  <c r="L365"/>
  <c r="K366"/>
  <c r="J367"/>
  <c r="N367"/>
  <c r="M368"/>
  <c r="L369"/>
  <c r="K370"/>
  <c r="J371"/>
  <c r="N371"/>
  <c r="M372"/>
  <c r="L373"/>
  <c r="K374"/>
  <c r="J375"/>
  <c r="N375"/>
  <c r="M376"/>
  <c r="L377"/>
  <c r="K378"/>
  <c r="J379"/>
  <c r="N379"/>
  <c r="M380"/>
  <c r="L381"/>
  <c r="K382"/>
  <c r="J383"/>
  <c r="N383"/>
  <c r="M384"/>
  <c r="L385"/>
  <c r="K386"/>
  <c r="J387"/>
  <c r="N387"/>
  <c r="M388"/>
  <c r="L389"/>
  <c r="K390"/>
  <c r="J391"/>
  <c r="N391"/>
  <c r="M392"/>
  <c r="L393"/>
  <c r="K394"/>
  <c r="J395"/>
  <c r="N395"/>
  <c r="M396"/>
  <c r="L397"/>
  <c r="K398"/>
  <c r="J399"/>
  <c r="N399"/>
  <c r="M400"/>
  <c r="L401"/>
  <c r="K402"/>
  <c r="J403"/>
  <c r="N403"/>
  <c r="M2"/>
  <c r="L3"/>
  <c r="K4"/>
  <c r="J5"/>
  <c r="N5"/>
  <c r="M6"/>
  <c r="L7"/>
  <c r="K8"/>
  <c r="J9"/>
  <c r="N9"/>
  <c r="M10"/>
  <c r="L11"/>
  <c r="K12"/>
  <c r="J99"/>
  <c r="K162"/>
  <c r="M200"/>
  <c r="M234"/>
  <c r="J241"/>
  <c r="M250"/>
  <c r="L263"/>
  <c r="N269"/>
  <c r="L279"/>
  <c r="J289"/>
  <c r="N301"/>
  <c r="J305"/>
  <c r="M314"/>
  <c r="K324"/>
  <c r="N333"/>
  <c r="L336"/>
  <c r="N338"/>
  <c r="J342"/>
  <c r="K345"/>
  <c r="M347"/>
  <c r="J350"/>
  <c r="N350"/>
  <c r="J354"/>
  <c r="L356"/>
  <c r="J358"/>
  <c r="K361"/>
  <c r="M363"/>
  <c r="K365"/>
  <c r="L368"/>
  <c r="J370"/>
  <c r="L73"/>
  <c r="L118"/>
  <c r="K131"/>
  <c r="J143"/>
  <c r="N155"/>
  <c r="M168"/>
  <c r="L181"/>
  <c r="K194"/>
  <c r="J207"/>
  <c r="N219"/>
  <c r="N231"/>
  <c r="K236"/>
  <c r="L239"/>
  <c r="M242"/>
  <c r="N245"/>
  <c r="J249"/>
  <c r="K252"/>
  <c r="L255"/>
  <c r="M258"/>
  <c r="N261"/>
  <c r="J265"/>
  <c r="K268"/>
  <c r="L271"/>
  <c r="M274"/>
  <c r="N277"/>
  <c r="J281"/>
  <c r="K284"/>
  <c r="L287"/>
  <c r="M290"/>
  <c r="N293"/>
  <c r="J297"/>
  <c r="K300"/>
  <c r="L303"/>
  <c r="M306"/>
  <c r="N309"/>
  <c r="J313"/>
  <c r="K316"/>
  <c r="L319"/>
  <c r="M322"/>
  <c r="N325"/>
  <c r="J329"/>
  <c r="L331"/>
  <c r="J333"/>
  <c r="M334"/>
  <c r="J336"/>
  <c r="N336"/>
  <c r="M337"/>
  <c r="L338"/>
  <c r="K339"/>
  <c r="J340"/>
  <c r="N340"/>
  <c r="M341"/>
  <c r="L342"/>
  <c r="K343"/>
  <c r="J344"/>
  <c r="N344"/>
  <c r="M345"/>
  <c r="L346"/>
  <c r="K347"/>
  <c r="J348"/>
  <c r="N348"/>
  <c r="M349"/>
  <c r="L350"/>
  <c r="K351"/>
  <c r="J352"/>
  <c r="N352"/>
  <c r="M353"/>
  <c r="L354"/>
  <c r="K355"/>
  <c r="J356"/>
  <c r="N356"/>
  <c r="M357"/>
  <c r="L358"/>
  <c r="K359"/>
  <c r="J360"/>
  <c r="N360"/>
  <c r="M361"/>
  <c r="L362"/>
  <c r="K363"/>
  <c r="J364"/>
  <c r="N364"/>
  <c r="M365"/>
  <c r="L366"/>
  <c r="K367"/>
  <c r="J368"/>
  <c r="N368"/>
  <c r="M369"/>
  <c r="L370"/>
  <c r="K371"/>
  <c r="J372"/>
  <c r="N372"/>
  <c r="M373"/>
  <c r="L374"/>
  <c r="K375"/>
  <c r="J376"/>
  <c r="N376"/>
  <c r="M377"/>
  <c r="L378"/>
  <c r="K379"/>
  <c r="J380"/>
  <c r="N380"/>
  <c r="M381"/>
  <c r="L382"/>
  <c r="K383"/>
  <c r="J384"/>
  <c r="N384"/>
  <c r="M385"/>
  <c r="L386"/>
  <c r="K387"/>
  <c r="J388"/>
  <c r="N388"/>
  <c r="M389"/>
  <c r="L390"/>
  <c r="K391"/>
  <c r="J392"/>
  <c r="N392"/>
  <c r="M393"/>
  <c r="L394"/>
  <c r="K395"/>
  <c r="J396"/>
  <c r="N396"/>
  <c r="M397"/>
  <c r="L398"/>
  <c r="K399"/>
  <c r="J400"/>
  <c r="N400"/>
  <c r="M401"/>
  <c r="L402"/>
  <c r="K403"/>
  <c r="J2"/>
  <c r="N2"/>
  <c r="M3"/>
  <c r="L4"/>
  <c r="K5"/>
  <c r="J6"/>
  <c r="N6"/>
  <c r="M7"/>
  <c r="L8"/>
  <c r="K9"/>
  <c r="J10"/>
  <c r="N10"/>
  <c r="M11"/>
  <c r="L12"/>
  <c r="M12"/>
  <c r="L149"/>
  <c r="N187"/>
  <c r="K226"/>
  <c r="K244"/>
  <c r="N253"/>
  <c r="K260"/>
  <c r="J273"/>
  <c r="M282"/>
  <c r="K292"/>
  <c r="M298"/>
  <c r="K308"/>
  <c r="N317"/>
  <c r="L327"/>
  <c r="K332"/>
  <c r="K337"/>
  <c r="M339"/>
  <c r="K341"/>
  <c r="M343"/>
  <c r="N346"/>
  <c r="K349"/>
  <c r="L352"/>
  <c r="N354"/>
  <c r="M355"/>
  <c r="N358"/>
  <c r="L360"/>
  <c r="N362"/>
  <c r="J366"/>
  <c r="M367"/>
  <c r="N370"/>
  <c r="K86"/>
  <c r="M121"/>
  <c r="L134"/>
  <c r="K146"/>
  <c r="J159"/>
  <c r="N171"/>
  <c r="M184"/>
  <c r="L197"/>
  <c r="K210"/>
  <c r="J223"/>
  <c r="L233"/>
  <c r="J237"/>
  <c r="K240"/>
  <c r="L243"/>
  <c r="M246"/>
  <c r="N249"/>
  <c r="J253"/>
  <c r="K256"/>
  <c r="L259"/>
  <c r="M262"/>
  <c r="N265"/>
  <c r="J269"/>
  <c r="K272"/>
  <c r="L275"/>
  <c r="M278"/>
  <c r="N281"/>
  <c r="J285"/>
  <c r="K288"/>
  <c r="L291"/>
  <c r="M294"/>
  <c r="N297"/>
  <c r="J301"/>
  <c r="K304"/>
  <c r="L307"/>
  <c r="M310"/>
  <c r="N313"/>
  <c r="J317"/>
  <c r="K320"/>
  <c r="L323"/>
  <c r="M326"/>
  <c r="N329"/>
  <c r="J332"/>
  <c r="M333"/>
  <c r="K335"/>
  <c r="K336"/>
  <c r="J337"/>
  <c r="N337"/>
  <c r="M338"/>
  <c r="L339"/>
  <c r="K340"/>
  <c r="J341"/>
  <c r="N341"/>
  <c r="M342"/>
  <c r="L343"/>
  <c r="K344"/>
  <c r="J345"/>
  <c r="N345"/>
  <c r="M346"/>
  <c r="L347"/>
  <c r="K348"/>
  <c r="J349"/>
  <c r="N349"/>
  <c r="M350"/>
  <c r="L351"/>
  <c r="K352"/>
  <c r="J353"/>
  <c r="N353"/>
  <c r="M354"/>
  <c r="L355"/>
  <c r="K356"/>
  <c r="J357"/>
  <c r="N357"/>
  <c r="M358"/>
  <c r="L359"/>
  <c r="K360"/>
  <c r="J361"/>
  <c r="N361"/>
  <c r="M362"/>
  <c r="L363"/>
  <c r="K364"/>
  <c r="J365"/>
  <c r="N365"/>
  <c r="M366"/>
  <c r="L367"/>
  <c r="K368"/>
  <c r="J369"/>
  <c r="N369"/>
  <c r="M370"/>
  <c r="L371"/>
  <c r="K372"/>
  <c r="J373"/>
  <c r="N373"/>
  <c r="M374"/>
  <c r="L375"/>
  <c r="K376"/>
  <c r="J377"/>
  <c r="N377"/>
  <c r="M378"/>
  <c r="L379"/>
  <c r="K380"/>
  <c r="J381"/>
  <c r="N381"/>
  <c r="M382"/>
  <c r="L383"/>
  <c r="K384"/>
  <c r="J385"/>
  <c r="N385"/>
  <c r="M386"/>
  <c r="L387"/>
  <c r="K388"/>
  <c r="J389"/>
  <c r="N389"/>
  <c r="M390"/>
  <c r="L391"/>
  <c r="K392"/>
  <c r="J393"/>
  <c r="N393"/>
  <c r="M394"/>
  <c r="L395"/>
  <c r="K396"/>
  <c r="J397"/>
  <c r="N397"/>
  <c r="M398"/>
  <c r="L399"/>
  <c r="K400"/>
  <c r="J401"/>
  <c r="N401"/>
  <c r="M402"/>
  <c r="L403"/>
  <c r="K2"/>
  <c r="J3"/>
  <c r="N3"/>
  <c r="M4"/>
  <c r="L5"/>
  <c r="K6"/>
  <c r="J7"/>
  <c r="N7"/>
  <c r="M8"/>
  <c r="L9"/>
  <c r="K10"/>
  <c r="J11"/>
  <c r="N11"/>
  <c r="N124"/>
  <c r="J175"/>
  <c r="L213"/>
  <c r="N237"/>
  <c r="L247"/>
  <c r="J257"/>
  <c r="M266"/>
  <c r="K276"/>
  <c r="N285"/>
  <c r="L295"/>
  <c r="L311"/>
  <c r="J321"/>
  <c r="M330"/>
  <c r="L335"/>
  <c r="J338"/>
  <c r="L340"/>
  <c r="N342"/>
  <c r="L344"/>
  <c r="J346"/>
  <c r="L348"/>
  <c r="M351"/>
  <c r="K353"/>
  <c r="K357"/>
  <c r="M359"/>
  <c r="J362"/>
  <c r="L364"/>
  <c r="N366"/>
  <c r="K369"/>
  <c r="M371"/>
  <c r="N374"/>
  <c r="J378"/>
  <c r="K381"/>
  <c r="L384"/>
  <c r="M387"/>
  <c r="N390"/>
  <c r="J394"/>
  <c r="K397"/>
  <c r="L400"/>
  <c r="M403"/>
  <c r="N4"/>
  <c r="J8"/>
  <c r="K11"/>
  <c r="L380"/>
  <c r="J390"/>
  <c r="N402"/>
  <c r="L10"/>
  <c r="L372"/>
  <c r="M375"/>
  <c r="N378"/>
  <c r="J382"/>
  <c r="K385"/>
  <c r="L388"/>
  <c r="M391"/>
  <c r="N394"/>
  <c r="J398"/>
  <c r="K401"/>
  <c r="L2"/>
  <c r="M5"/>
  <c r="N8"/>
  <c r="J12"/>
  <c r="K377"/>
  <c r="M383"/>
  <c r="K393"/>
  <c r="J4"/>
  <c r="K373"/>
  <c r="L376"/>
  <c r="M379"/>
  <c r="N382"/>
  <c r="J386"/>
  <c r="K389"/>
  <c r="L392"/>
  <c r="M395"/>
  <c r="N398"/>
  <c r="J402"/>
  <c r="K3"/>
  <c r="L6"/>
  <c r="M9"/>
  <c r="N12"/>
  <c r="J374"/>
  <c r="N386"/>
  <c r="L396"/>
  <c r="M399"/>
  <c r="K7"/>
  <c r="G413"/>
  <c r="H412"/>
  <c r="H416"/>
  <c r="I411"/>
  <c r="I415"/>
  <c r="G410"/>
  <c r="G414"/>
  <c r="H413"/>
  <c r="I412"/>
  <c r="I416"/>
  <c r="G411"/>
  <c r="G415"/>
  <c r="H410"/>
  <c r="H414"/>
  <c r="I413"/>
  <c r="G412"/>
  <c r="G416"/>
  <c r="H411"/>
  <c r="H415"/>
  <c r="I410"/>
  <c r="I414"/>
  <c r="G351"/>
  <c r="G355"/>
  <c r="G359"/>
  <c r="G363"/>
  <c r="G367"/>
  <c r="G371"/>
  <c r="G375"/>
  <c r="G352"/>
  <c r="G356"/>
  <c r="G360"/>
  <c r="G364"/>
  <c r="G368"/>
  <c r="G372"/>
  <c r="H73"/>
  <c r="H77"/>
  <c r="H81"/>
  <c r="H85"/>
  <c r="H89"/>
  <c r="H93"/>
  <c r="G353"/>
  <c r="G357"/>
  <c r="G361"/>
  <c r="G365"/>
  <c r="G369"/>
  <c r="G373"/>
  <c r="H70"/>
  <c r="H74"/>
  <c r="H78"/>
  <c r="G354"/>
  <c r="G370"/>
  <c r="H75"/>
  <c r="H82"/>
  <c r="H87"/>
  <c r="H92"/>
  <c r="H97"/>
  <c r="H101"/>
  <c r="H105"/>
  <c r="H109"/>
  <c r="H113"/>
  <c r="H117"/>
  <c r="H121"/>
  <c r="H125"/>
  <c r="H129"/>
  <c r="H133"/>
  <c r="H139"/>
  <c r="H143"/>
  <c r="H147"/>
  <c r="H151"/>
  <c r="H155"/>
  <c r="H159"/>
  <c r="H163"/>
  <c r="H167"/>
  <c r="H171"/>
  <c r="H175"/>
  <c r="H179"/>
  <c r="H183"/>
  <c r="H187"/>
  <c r="H191"/>
  <c r="H195"/>
  <c r="H199"/>
  <c r="H203"/>
  <c r="H207"/>
  <c r="H211"/>
  <c r="H215"/>
  <c r="H219"/>
  <c r="H223"/>
  <c r="H227"/>
  <c r="H231"/>
  <c r="H235"/>
  <c r="H239"/>
  <c r="H243"/>
  <c r="H247"/>
  <c r="H251"/>
  <c r="H255"/>
  <c r="H259"/>
  <c r="H263"/>
  <c r="H267"/>
  <c r="H271"/>
  <c r="H275"/>
  <c r="H281"/>
  <c r="H285"/>
  <c r="H289"/>
  <c r="H293"/>
  <c r="H297"/>
  <c r="H301"/>
  <c r="H305"/>
  <c r="H309"/>
  <c r="H313"/>
  <c r="H317"/>
  <c r="H321"/>
  <c r="H325"/>
  <c r="H329"/>
  <c r="H333"/>
  <c r="G358"/>
  <c r="G374"/>
  <c r="H76"/>
  <c r="H83"/>
  <c r="H88"/>
  <c r="H94"/>
  <c r="H98"/>
  <c r="H102"/>
  <c r="H106"/>
  <c r="H110"/>
  <c r="H114"/>
  <c r="H118"/>
  <c r="H122"/>
  <c r="H126"/>
  <c r="H130"/>
  <c r="H134"/>
  <c r="H140"/>
  <c r="H144"/>
  <c r="H148"/>
  <c r="H152"/>
  <c r="H156"/>
  <c r="H160"/>
  <c r="H164"/>
  <c r="H168"/>
  <c r="H172"/>
  <c r="H176"/>
  <c r="H180"/>
  <c r="H184"/>
  <c r="H188"/>
  <c r="H192"/>
  <c r="H196"/>
  <c r="H200"/>
  <c r="H204"/>
  <c r="H208"/>
  <c r="H212"/>
  <c r="H216"/>
  <c r="H220"/>
  <c r="H224"/>
  <c r="H228"/>
  <c r="H232"/>
  <c r="H236"/>
  <c r="H240"/>
  <c r="H244"/>
  <c r="H248"/>
  <c r="H252"/>
  <c r="H256"/>
  <c r="H260"/>
  <c r="H264"/>
  <c r="H268"/>
  <c r="H272"/>
  <c r="H276"/>
  <c r="H279"/>
  <c r="H282"/>
  <c r="H286"/>
  <c r="H290"/>
  <c r="H294"/>
  <c r="G362"/>
  <c r="H71"/>
  <c r="H79"/>
  <c r="H84"/>
  <c r="H90"/>
  <c r="H95"/>
  <c r="H99"/>
  <c r="H103"/>
  <c r="H107"/>
  <c r="H111"/>
  <c r="H115"/>
  <c r="H119"/>
  <c r="H123"/>
  <c r="H127"/>
  <c r="H131"/>
  <c r="H135"/>
  <c r="H137"/>
  <c r="H141"/>
  <c r="H145"/>
  <c r="H149"/>
  <c r="H153"/>
  <c r="H157"/>
  <c r="H161"/>
  <c r="H165"/>
  <c r="H169"/>
  <c r="H173"/>
  <c r="H177"/>
  <c r="H181"/>
  <c r="H185"/>
  <c r="H189"/>
  <c r="H193"/>
  <c r="H197"/>
  <c r="H201"/>
  <c r="H205"/>
  <c r="H209"/>
  <c r="H213"/>
  <c r="H217"/>
  <c r="H221"/>
  <c r="H225"/>
  <c r="H229"/>
  <c r="H233"/>
  <c r="H237"/>
  <c r="H241"/>
  <c r="H245"/>
  <c r="H249"/>
  <c r="H253"/>
  <c r="H257"/>
  <c r="H261"/>
  <c r="H265"/>
  <c r="H269"/>
  <c r="H273"/>
  <c r="H277"/>
  <c r="H283"/>
  <c r="H287"/>
  <c r="H291"/>
  <c r="H295"/>
  <c r="H299"/>
  <c r="H303"/>
  <c r="H307"/>
  <c r="H311"/>
  <c r="H315"/>
  <c r="H319"/>
  <c r="H323"/>
  <c r="H327"/>
  <c r="H331"/>
  <c r="H335"/>
  <c r="H80"/>
  <c r="H100"/>
  <c r="H116"/>
  <c r="H132"/>
  <c r="H146"/>
  <c r="H162"/>
  <c r="H178"/>
  <c r="H194"/>
  <c r="H210"/>
  <c r="H226"/>
  <c r="H242"/>
  <c r="H258"/>
  <c r="H274"/>
  <c r="H288"/>
  <c r="H300"/>
  <c r="H308"/>
  <c r="H316"/>
  <c r="H324"/>
  <c r="H332"/>
  <c r="H338"/>
  <c r="H342"/>
  <c r="H346"/>
  <c r="H350"/>
  <c r="H354"/>
  <c r="H358"/>
  <c r="H362"/>
  <c r="H366"/>
  <c r="H370"/>
  <c r="H374"/>
  <c r="I69"/>
  <c r="I73"/>
  <c r="I77"/>
  <c r="I81"/>
  <c r="I85"/>
  <c r="I89"/>
  <c r="I93"/>
  <c r="I97"/>
  <c r="I101"/>
  <c r="I105"/>
  <c r="I109"/>
  <c r="I113"/>
  <c r="I117"/>
  <c r="I121"/>
  <c r="I125"/>
  <c r="I129"/>
  <c r="I133"/>
  <c r="I139"/>
  <c r="I143"/>
  <c r="I147"/>
  <c r="I151"/>
  <c r="I155"/>
  <c r="I159"/>
  <c r="I163"/>
  <c r="I167"/>
  <c r="I171"/>
  <c r="I175"/>
  <c r="I179"/>
  <c r="I183"/>
  <c r="I187"/>
  <c r="I191"/>
  <c r="I195"/>
  <c r="I199"/>
  <c r="I203"/>
  <c r="I207"/>
  <c r="G350"/>
  <c r="H86"/>
  <c r="H104"/>
  <c r="H120"/>
  <c r="H136"/>
  <c r="H150"/>
  <c r="H166"/>
  <c r="H182"/>
  <c r="H198"/>
  <c r="H214"/>
  <c r="H230"/>
  <c r="H246"/>
  <c r="H262"/>
  <c r="H278"/>
  <c r="H292"/>
  <c r="H302"/>
  <c r="H310"/>
  <c r="H318"/>
  <c r="H326"/>
  <c r="H334"/>
  <c r="H339"/>
  <c r="H343"/>
  <c r="H347"/>
  <c r="H351"/>
  <c r="H355"/>
  <c r="H359"/>
  <c r="H363"/>
  <c r="H367"/>
  <c r="H371"/>
  <c r="H375"/>
  <c r="I70"/>
  <c r="I74"/>
  <c r="I78"/>
  <c r="I82"/>
  <c r="I86"/>
  <c r="I90"/>
  <c r="I94"/>
  <c r="I98"/>
  <c r="I102"/>
  <c r="I106"/>
  <c r="I110"/>
  <c r="I114"/>
  <c r="I118"/>
  <c r="I122"/>
  <c r="I126"/>
  <c r="I130"/>
  <c r="I134"/>
  <c r="I140"/>
  <c r="I144"/>
  <c r="G366"/>
  <c r="H91"/>
  <c r="H108"/>
  <c r="H124"/>
  <c r="H138"/>
  <c r="H154"/>
  <c r="H170"/>
  <c r="H186"/>
  <c r="H202"/>
  <c r="H218"/>
  <c r="H234"/>
  <c r="H250"/>
  <c r="H266"/>
  <c r="H280"/>
  <c r="H296"/>
  <c r="H304"/>
  <c r="H312"/>
  <c r="H320"/>
  <c r="H328"/>
  <c r="H336"/>
  <c r="H340"/>
  <c r="H344"/>
  <c r="H348"/>
  <c r="H352"/>
  <c r="H356"/>
  <c r="H360"/>
  <c r="H364"/>
  <c r="H368"/>
  <c r="H372"/>
  <c r="I71"/>
  <c r="I75"/>
  <c r="I79"/>
  <c r="I83"/>
  <c r="I87"/>
  <c r="I91"/>
  <c r="I95"/>
  <c r="I99"/>
  <c r="I103"/>
  <c r="I107"/>
  <c r="I111"/>
  <c r="I115"/>
  <c r="I119"/>
  <c r="I123"/>
  <c r="I127"/>
  <c r="I131"/>
  <c r="I135"/>
  <c r="I137"/>
  <c r="I141"/>
  <c r="I145"/>
  <c r="I149"/>
  <c r="I153"/>
  <c r="I157"/>
  <c r="I161"/>
  <c r="I165"/>
  <c r="I169"/>
  <c r="I173"/>
  <c r="I177"/>
  <c r="I181"/>
  <c r="I185"/>
  <c r="I189"/>
  <c r="I193"/>
  <c r="I197"/>
  <c r="I201"/>
  <c r="I205"/>
  <c r="H72"/>
  <c r="H142"/>
  <c r="H206"/>
  <c r="H270"/>
  <c r="H314"/>
  <c r="H341"/>
  <c r="H357"/>
  <c r="H373"/>
  <c r="I80"/>
  <c r="I96"/>
  <c r="I112"/>
  <c r="I128"/>
  <c r="I142"/>
  <c r="I152"/>
  <c r="I160"/>
  <c r="I168"/>
  <c r="I176"/>
  <c r="I184"/>
  <c r="I192"/>
  <c r="I200"/>
  <c r="I208"/>
  <c r="I212"/>
  <c r="I216"/>
  <c r="I220"/>
  <c r="I224"/>
  <c r="I228"/>
  <c r="I232"/>
  <c r="I236"/>
  <c r="I240"/>
  <c r="I244"/>
  <c r="I248"/>
  <c r="I252"/>
  <c r="I256"/>
  <c r="I260"/>
  <c r="I264"/>
  <c r="I268"/>
  <c r="I272"/>
  <c r="I276"/>
  <c r="I279"/>
  <c r="I282"/>
  <c r="I286"/>
  <c r="I290"/>
  <c r="I294"/>
  <c r="I298"/>
  <c r="I302"/>
  <c r="I306"/>
  <c r="I310"/>
  <c r="I314"/>
  <c r="I318"/>
  <c r="I322"/>
  <c r="I326"/>
  <c r="I330"/>
  <c r="I334"/>
  <c r="I338"/>
  <c r="I342"/>
  <c r="I346"/>
  <c r="I350"/>
  <c r="I354"/>
  <c r="I358"/>
  <c r="I362"/>
  <c r="I366"/>
  <c r="I370"/>
  <c r="I374"/>
  <c r="H96"/>
  <c r="H158"/>
  <c r="H222"/>
  <c r="H284"/>
  <c r="H322"/>
  <c r="H345"/>
  <c r="H361"/>
  <c r="I84"/>
  <c r="I100"/>
  <c r="I116"/>
  <c r="I132"/>
  <c r="I146"/>
  <c r="I154"/>
  <c r="I162"/>
  <c r="I170"/>
  <c r="I178"/>
  <c r="I186"/>
  <c r="I194"/>
  <c r="I202"/>
  <c r="I209"/>
  <c r="I213"/>
  <c r="I217"/>
  <c r="I221"/>
  <c r="I225"/>
  <c r="I229"/>
  <c r="I233"/>
  <c r="I237"/>
  <c r="I241"/>
  <c r="I245"/>
  <c r="I249"/>
  <c r="I253"/>
  <c r="I257"/>
  <c r="I261"/>
  <c r="I265"/>
  <c r="I269"/>
  <c r="I273"/>
  <c r="I277"/>
  <c r="I283"/>
  <c r="I287"/>
  <c r="I291"/>
  <c r="I295"/>
  <c r="I299"/>
  <c r="I303"/>
  <c r="I307"/>
  <c r="I311"/>
  <c r="I315"/>
  <c r="I319"/>
  <c r="I323"/>
  <c r="I327"/>
  <c r="I331"/>
  <c r="I335"/>
  <c r="I339"/>
  <c r="I343"/>
  <c r="I347"/>
  <c r="I351"/>
  <c r="I355"/>
  <c r="I359"/>
  <c r="I363"/>
  <c r="I367"/>
  <c r="I371"/>
  <c r="I375"/>
  <c r="H112"/>
  <c r="H174"/>
  <c r="H238"/>
  <c r="H298"/>
  <c r="H330"/>
  <c r="H349"/>
  <c r="H365"/>
  <c r="I72"/>
  <c r="I88"/>
  <c r="I104"/>
  <c r="I120"/>
  <c r="I136"/>
  <c r="I148"/>
  <c r="I156"/>
  <c r="I164"/>
  <c r="I172"/>
  <c r="I180"/>
  <c r="I188"/>
  <c r="I196"/>
  <c r="I204"/>
  <c r="I210"/>
  <c r="I214"/>
  <c r="I218"/>
  <c r="I222"/>
  <c r="I226"/>
  <c r="I230"/>
  <c r="I234"/>
  <c r="I238"/>
  <c r="I242"/>
  <c r="I246"/>
  <c r="I250"/>
  <c r="I254"/>
  <c r="I258"/>
  <c r="I262"/>
  <c r="I266"/>
  <c r="I270"/>
  <c r="I274"/>
  <c r="I278"/>
  <c r="I280"/>
  <c r="I284"/>
  <c r="I288"/>
  <c r="I292"/>
  <c r="I296"/>
  <c r="I300"/>
  <c r="I304"/>
  <c r="I308"/>
  <c r="I312"/>
  <c r="I316"/>
  <c r="I320"/>
  <c r="I324"/>
  <c r="I328"/>
  <c r="I332"/>
  <c r="I336"/>
  <c r="I340"/>
  <c r="I344"/>
  <c r="I348"/>
  <c r="I352"/>
  <c r="I356"/>
  <c r="I360"/>
  <c r="I364"/>
  <c r="I368"/>
  <c r="I372"/>
  <c r="H306"/>
  <c r="I76"/>
  <c r="I138"/>
  <c r="I174"/>
  <c r="I206"/>
  <c r="I223"/>
  <c r="I239"/>
  <c r="I255"/>
  <c r="I271"/>
  <c r="I285"/>
  <c r="I301"/>
  <c r="I317"/>
  <c r="I333"/>
  <c r="I349"/>
  <c r="I365"/>
  <c r="H128"/>
  <c r="H337"/>
  <c r="I92"/>
  <c r="I150"/>
  <c r="I182"/>
  <c r="I211"/>
  <c r="I227"/>
  <c r="I243"/>
  <c r="I259"/>
  <c r="I275"/>
  <c r="I289"/>
  <c r="I305"/>
  <c r="I321"/>
  <c r="I337"/>
  <c r="I353"/>
  <c r="I369"/>
  <c r="I219"/>
  <c r="I361"/>
  <c r="H190"/>
  <c r="H353"/>
  <c r="I108"/>
  <c r="I158"/>
  <c r="I190"/>
  <c r="I215"/>
  <c r="I231"/>
  <c r="I247"/>
  <c r="I263"/>
  <c r="I293"/>
  <c r="I309"/>
  <c r="I325"/>
  <c r="I341"/>
  <c r="I357"/>
  <c r="I373"/>
  <c r="H254"/>
  <c r="H369"/>
  <c r="I124"/>
  <c r="I166"/>
  <c r="I198"/>
  <c r="I235"/>
  <c r="I251"/>
  <c r="I267"/>
  <c r="I281"/>
  <c r="I297"/>
  <c r="I313"/>
  <c r="I329"/>
  <c r="I345"/>
  <c r="E21" i="37"/>
  <c r="E22"/>
  <c r="E23"/>
  <c r="G21"/>
  <c r="G22"/>
  <c r="G23"/>
  <c r="F379" i="35"/>
  <c r="F380"/>
  <c r="F381"/>
  <c r="I379"/>
  <c r="I380"/>
  <c r="I381"/>
  <c r="F365"/>
  <c r="F366"/>
  <c r="F367"/>
  <c r="F368"/>
  <c r="F369"/>
  <c r="F370"/>
  <c r="F371"/>
  <c r="F372"/>
  <c r="F373"/>
  <c r="F374"/>
  <c r="F375"/>
  <c r="F376"/>
  <c r="F377"/>
  <c r="F378"/>
  <c r="I365"/>
  <c r="I366"/>
  <c r="I367"/>
  <c r="I368"/>
  <c r="I369"/>
  <c r="I370"/>
  <c r="I371"/>
  <c r="I372"/>
  <c r="I373"/>
  <c r="I374"/>
  <c r="I375"/>
  <c r="I376"/>
  <c r="I377"/>
  <c r="I378"/>
  <c r="A3" i="34" l="1"/>
  <c r="A4"/>
  <c r="A5"/>
  <c r="A6"/>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A215"/>
  <c r="A216"/>
  <c r="A217"/>
  <c r="A218"/>
  <c r="A219"/>
  <c r="A220"/>
  <c r="A221"/>
  <c r="A222"/>
  <c r="A223"/>
  <c r="A224"/>
  <c r="A225"/>
  <c r="A226"/>
  <c r="A227"/>
  <c r="A228"/>
  <c r="A229"/>
  <c r="A230"/>
  <c r="A231"/>
  <c r="A232"/>
  <c r="A233"/>
  <c r="A234"/>
  <c r="A235"/>
  <c r="A236"/>
  <c r="A237"/>
  <c r="A238"/>
  <c r="A239"/>
  <c r="A240"/>
  <c r="A241"/>
  <c r="A353"/>
  <c r="A354"/>
  <c r="A355"/>
  <c r="A356"/>
  <c r="A357"/>
  <c r="A358"/>
  <c r="A359"/>
  <c r="A360"/>
  <c r="A361"/>
  <c r="A362"/>
  <c r="A363"/>
  <c r="A364"/>
  <c r="A365"/>
  <c r="A366"/>
  <c r="A367"/>
  <c r="A368"/>
  <c r="A369"/>
  <c r="A370"/>
  <c r="A371"/>
  <c r="A372"/>
  <c r="A373"/>
  <c r="A374"/>
  <c r="A375"/>
  <c r="A376"/>
  <c r="A377"/>
  <c r="A380"/>
  <c r="A381"/>
  <c r="A382"/>
  <c r="A383"/>
  <c r="A384"/>
  <c r="A385"/>
  <c r="A386"/>
  <c r="A387"/>
  <c r="A388"/>
  <c r="A389"/>
  <c r="A390"/>
  <c r="A391"/>
  <c r="A392"/>
  <c r="A393"/>
  <c r="A394"/>
  <c r="A395"/>
  <c r="A396"/>
  <c r="A397"/>
  <c r="A398"/>
  <c r="A399"/>
  <c r="A400"/>
  <c r="A401"/>
  <c r="A402"/>
  <c r="A403"/>
  <c r="A404"/>
  <c r="A405"/>
  <c r="A406"/>
  <c r="A407"/>
  <c r="A408"/>
  <c r="A409"/>
  <c r="A410"/>
  <c r="A411"/>
  <c r="A412"/>
  <c r="A413"/>
  <c r="A414"/>
  <c r="A415"/>
  <c r="A416"/>
  <c r="A417"/>
  <c r="A418"/>
  <c r="A419"/>
  <c r="A421"/>
  <c r="A423"/>
  <c r="A424"/>
  <c r="A425"/>
  <c r="A427"/>
  <c r="A428"/>
  <c r="A429"/>
  <c r="A431"/>
  <c r="A432"/>
  <c r="A433"/>
  <c r="A434"/>
  <c r="A435"/>
  <c r="A437"/>
  <c r="A439"/>
  <c r="A441"/>
  <c r="A443"/>
  <c r="A444"/>
  <c r="A445"/>
  <c r="A448"/>
  <c r="A449"/>
  <c r="A450"/>
  <c r="A451"/>
  <c r="A453"/>
  <c r="I121" i="1" l="1"/>
  <c r="I117"/>
  <c r="I118"/>
  <c r="I119"/>
  <c r="I120"/>
  <c r="I116"/>
  <c r="I113"/>
  <c r="I109"/>
  <c r="I114"/>
  <c r="I110"/>
  <c r="I111"/>
  <c r="I112"/>
  <c r="I115"/>
  <c r="C197" i="38"/>
  <c r="C193"/>
  <c r="C189"/>
  <c r="C185"/>
  <c r="C181"/>
  <c r="C177"/>
  <c r="C173"/>
  <c r="C169"/>
  <c r="C165"/>
  <c r="C161"/>
  <c r="C157"/>
  <c r="C153"/>
  <c r="C149"/>
  <c r="C145"/>
  <c r="C141"/>
  <c r="C137"/>
  <c r="C133"/>
  <c r="C129"/>
  <c r="C125"/>
  <c r="C121"/>
  <c r="C117"/>
  <c r="C113"/>
  <c r="C109"/>
  <c r="C105"/>
  <c r="C101"/>
  <c r="C97"/>
  <c r="C93"/>
  <c r="C89"/>
  <c r="C198"/>
  <c r="C194"/>
  <c r="C190"/>
  <c r="C186"/>
  <c r="C182"/>
  <c r="C178"/>
  <c r="C174"/>
  <c r="C170"/>
  <c r="C166"/>
  <c r="C162"/>
  <c r="C158"/>
  <c r="C154"/>
  <c r="C150"/>
  <c r="C146"/>
  <c r="C142"/>
  <c r="C138"/>
  <c r="C134"/>
  <c r="C130"/>
  <c r="C126"/>
  <c r="C122"/>
  <c r="C118"/>
  <c r="C114"/>
  <c r="C110"/>
  <c r="C106"/>
  <c r="C102"/>
  <c r="C98"/>
  <c r="C94"/>
  <c r="C90"/>
  <c r="C86"/>
  <c r="C199"/>
  <c r="C195"/>
  <c r="C191"/>
  <c r="C187"/>
  <c r="C183"/>
  <c r="C179"/>
  <c r="C175"/>
  <c r="C171"/>
  <c r="C167"/>
  <c r="C163"/>
  <c r="C159"/>
  <c r="C155"/>
  <c r="C151"/>
  <c r="C147"/>
  <c r="C143"/>
  <c r="C139"/>
  <c r="C135"/>
  <c r="C131"/>
  <c r="C127"/>
  <c r="C123"/>
  <c r="C119"/>
  <c r="C115"/>
  <c r="C111"/>
  <c r="C107"/>
  <c r="C103"/>
  <c r="C99"/>
  <c r="C95"/>
  <c r="C91"/>
  <c r="C87"/>
  <c r="C200"/>
  <c r="C196"/>
  <c r="C192"/>
  <c r="C188"/>
  <c r="C184"/>
  <c r="C180"/>
  <c r="C176"/>
  <c r="C172"/>
  <c r="C168"/>
  <c r="C164"/>
  <c r="C160"/>
  <c r="C156"/>
  <c r="C152"/>
  <c r="C148"/>
  <c r="C144"/>
  <c r="C140"/>
  <c r="C136"/>
  <c r="C132"/>
  <c r="C128"/>
  <c r="C124"/>
  <c r="C120"/>
  <c r="C116"/>
  <c r="C112"/>
  <c r="C108"/>
  <c r="C104"/>
  <c r="C100"/>
  <c r="C96"/>
  <c r="C92"/>
  <c r="C88"/>
  <c r="I108" i="1"/>
  <c r="O3" i="33" a="1"/>
  <c r="O3" s="1"/>
  <c r="P3" a="1"/>
  <c r="P3" s="1"/>
  <c r="G20" i="10"/>
  <c r="G23"/>
  <c r="G24"/>
  <c r="G25"/>
  <c r="E449" i="34"/>
  <c r="E443"/>
  <c r="E431"/>
  <c r="E425"/>
  <c r="E435"/>
  <c r="E382"/>
  <c r="E376"/>
  <c r="E395"/>
  <c r="E391"/>
  <c r="E387"/>
  <c r="E366"/>
  <c r="E358"/>
  <c r="E354"/>
  <c r="E235"/>
  <c r="C116" i="2" s="1"/>
  <c r="E231" i="34"/>
  <c r="C112" i="2" s="1"/>
  <c r="E239" i="34"/>
  <c r="C120" i="2" s="1"/>
  <c r="E362" i="34"/>
  <c r="E378"/>
  <c r="F378"/>
  <c r="E379"/>
  <c r="F379"/>
  <c r="E67"/>
  <c r="E227"/>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c r="C56" i="2" s="1"/>
  <c r="E163" i="34"/>
  <c r="E159"/>
  <c r="E155"/>
  <c r="E151"/>
  <c r="E147"/>
  <c r="E143"/>
  <c r="E114"/>
  <c r="C137" i="1" s="1"/>
  <c r="E110" i="34"/>
  <c r="C133" i="1" s="1"/>
  <c r="E106" i="34"/>
  <c r="C129" i="1" s="1"/>
  <c r="E102" i="34"/>
  <c r="C125" i="1" s="1"/>
  <c r="E98" i="34"/>
  <c r="C121" i="1" s="1"/>
  <c r="E94" i="34"/>
  <c r="C117" i="1" s="1"/>
  <c r="E203" i="34"/>
  <c r="C84" i="2" s="1"/>
  <c r="E233" i="34"/>
  <c r="C114" i="2" s="1"/>
  <c r="E397" i="34"/>
  <c r="E90"/>
  <c r="C113" i="1" s="1"/>
  <c r="E86" i="34"/>
  <c r="C109" i="1" s="1"/>
  <c r="E82" i="34"/>
  <c r="C105" i="1" s="1"/>
  <c r="E58" i="34"/>
  <c r="C77" i="1" s="1"/>
  <c r="E415" i="34"/>
  <c r="E54"/>
  <c r="C73" i="1" s="1"/>
  <c r="E50" i="34"/>
  <c r="C69" i="1" s="1"/>
  <c r="E419" i="34"/>
  <c r="E372"/>
  <c r="E134"/>
  <c r="C157" i="1" s="1"/>
  <c r="E411" i="34"/>
  <c r="E399"/>
  <c r="E130"/>
  <c r="C153" i="1" s="1"/>
  <c r="E118" i="34"/>
  <c r="C141" i="1" s="1"/>
  <c r="E74" i="34"/>
  <c r="C97" i="1" s="1"/>
  <c r="E62" i="34"/>
  <c r="C81" i="1" s="1"/>
  <c r="E46" i="34"/>
  <c r="C65" i="1" s="1"/>
  <c r="E30" i="34"/>
  <c r="C49" i="1" s="1"/>
  <c r="E22" i="34"/>
  <c r="C41" i="1" s="1"/>
  <c r="E6" i="34"/>
  <c r="C25" i="1" s="1"/>
  <c r="E453" i="34"/>
  <c r="E448"/>
  <c r="E441"/>
  <c r="E434"/>
  <c r="E429"/>
  <c r="E424"/>
  <c r="E418"/>
  <c r="E414"/>
  <c r="E410"/>
  <c r="E406"/>
  <c r="E402"/>
  <c r="E398"/>
  <c r="E394"/>
  <c r="E390"/>
  <c r="E386"/>
  <c r="E381"/>
  <c r="E375"/>
  <c r="E371"/>
  <c r="E365"/>
  <c r="E361"/>
  <c r="E357"/>
  <c r="E353"/>
  <c r="E238"/>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c r="E158"/>
  <c r="E154"/>
  <c r="E150"/>
  <c r="E146"/>
  <c r="E142"/>
  <c r="E133"/>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c r="E423"/>
  <c r="E413"/>
  <c r="E405"/>
  <c r="E401"/>
  <c r="E393"/>
  <c r="E389"/>
  <c r="E385"/>
  <c r="E380"/>
  <c r="E374"/>
  <c r="E370"/>
  <c r="E368"/>
  <c r="E364"/>
  <c r="E360"/>
  <c r="E356"/>
  <c r="E241"/>
  <c r="C122" i="2" s="1"/>
  <c r="E237" i="34"/>
  <c r="C118" i="2" s="1"/>
  <c r="E136" i="34"/>
  <c r="C159" i="1" s="1"/>
  <c r="E139" i="34"/>
  <c r="C162" i="1" s="1"/>
  <c r="E229" i="34"/>
  <c r="C110" i="2" s="1"/>
  <c r="E135" i="34"/>
  <c r="C158" i="1" s="1"/>
  <c r="I85" i="8"/>
  <c r="I84"/>
  <c r="I83"/>
  <c r="E436" i="34"/>
  <c r="E420"/>
  <c r="E426"/>
  <c r="E422"/>
  <c r="E440"/>
  <c r="E430"/>
  <c r="E438"/>
  <c r="E452"/>
  <c r="E442"/>
  <c r="E447"/>
  <c r="E333"/>
  <c r="E329"/>
  <c r="E337"/>
  <c r="E330"/>
  <c r="E336"/>
  <c r="E335"/>
  <c r="E325"/>
  <c r="E326"/>
  <c r="E332"/>
  <c r="E331"/>
  <c r="E280"/>
  <c r="E328"/>
  <c r="E327"/>
  <c r="E334"/>
  <c r="E244"/>
  <c r="C125" i="2" s="1"/>
  <c r="E349" i="34"/>
  <c r="C85" i="8" s="1"/>
  <c r="E304" i="34"/>
  <c r="E243"/>
  <c r="C124" i="2" s="1"/>
  <c r="E260" i="34"/>
  <c r="E270"/>
  <c r="E348"/>
  <c r="C84" i="8" s="1"/>
  <c r="E319" i="34"/>
  <c r="E303"/>
  <c r="E291"/>
  <c r="E320"/>
  <c r="E246"/>
  <c r="C127" i="2" s="1"/>
  <c r="E263" i="34"/>
  <c r="C144" i="2" s="1"/>
  <c r="E273" i="34"/>
  <c r="E351"/>
  <c r="E322"/>
  <c r="E306"/>
  <c r="E261"/>
  <c r="E341"/>
  <c r="E252"/>
  <c r="C133" i="2" s="1"/>
  <c r="E254" i="34"/>
  <c r="C135" i="2" s="1"/>
  <c r="E283" i="34"/>
  <c r="E342"/>
  <c r="E313"/>
  <c r="E297"/>
  <c r="E266"/>
  <c r="E278"/>
  <c r="E309"/>
  <c r="E274"/>
  <c r="E307"/>
  <c r="E250"/>
  <c r="C131" i="2" s="1"/>
  <c r="E279" i="34"/>
  <c r="E293"/>
  <c r="E294"/>
  <c r="E346"/>
  <c r="E301"/>
  <c r="E265"/>
  <c r="E324"/>
  <c r="E296"/>
  <c r="E292"/>
  <c r="E256"/>
  <c r="C137" i="2" s="1"/>
  <c r="E285" i="34"/>
  <c r="E344"/>
  <c r="E315"/>
  <c r="E299"/>
  <c r="E257"/>
  <c r="C138" i="2" s="1"/>
  <c r="E312" i="34"/>
  <c r="E242"/>
  <c r="C123" i="2" s="1"/>
  <c r="E259" i="34"/>
  <c r="C140" i="2" s="1"/>
  <c r="E269" i="34"/>
  <c r="E347"/>
  <c r="C83" i="8" s="1"/>
  <c r="E318" i="34"/>
  <c r="E302"/>
  <c r="E289"/>
  <c r="E249"/>
  <c r="C130" i="2" s="1"/>
  <c r="E276" i="34"/>
  <c r="E338"/>
  <c r="E352"/>
  <c r="E248"/>
  <c r="C129" i="2" s="1"/>
  <c r="E267" i="34"/>
  <c r="E310"/>
  <c r="E258"/>
  <c r="C139" i="2" s="1"/>
  <c r="E317" i="34"/>
  <c r="E275"/>
  <c r="E316"/>
  <c r="E251"/>
  <c r="C132" i="2" s="1"/>
  <c r="E290" i="34"/>
  <c r="E288"/>
  <c r="E281"/>
  <c r="E340"/>
  <c r="E311"/>
  <c r="E295"/>
  <c r="E282"/>
  <c r="E300"/>
  <c r="E253"/>
  <c r="C134" i="2" s="1"/>
  <c r="E255" i="34"/>
  <c r="C136" i="2" s="1"/>
  <c r="E284" i="34"/>
  <c r="E343"/>
  <c r="E314"/>
  <c r="E298"/>
  <c r="E286"/>
  <c r="E245"/>
  <c r="C126" i="2" s="1"/>
  <c r="E262" i="34"/>
  <c r="E272"/>
  <c r="E350"/>
  <c r="E321"/>
  <c r="E305"/>
  <c r="E271"/>
  <c r="E308"/>
  <c r="E247"/>
  <c r="C128" i="2" s="1"/>
  <c r="E264" i="34"/>
  <c r="E323"/>
  <c r="E345"/>
  <c r="E287"/>
  <c r="E339"/>
  <c r="E277"/>
  <c r="E268"/>
  <c r="E225"/>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c r="E157"/>
  <c r="E153"/>
  <c r="E149"/>
  <c r="E145"/>
  <c r="E141"/>
  <c r="E132"/>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c r="E122"/>
  <c r="C145" i="1" s="1"/>
  <c r="E78" i="34"/>
  <c r="C101" i="1" s="1"/>
  <c r="E66" i="34"/>
  <c r="C85" i="1" s="1"/>
  <c r="E42" i="34"/>
  <c r="C61" i="1" s="1"/>
  <c r="E34" i="34"/>
  <c r="C53" i="1" s="1"/>
  <c r="E18" i="34"/>
  <c r="C37" i="1" s="1"/>
  <c r="E10" i="34"/>
  <c r="C29" i="1" s="1"/>
  <c r="E451" i="34"/>
  <c r="E439"/>
  <c r="E428"/>
  <c r="E417"/>
  <c r="E409"/>
  <c r="E450"/>
  <c r="E444"/>
  <c r="E437"/>
  <c r="E432"/>
  <c r="E427"/>
  <c r="E421"/>
  <c r="E416"/>
  <c r="E412"/>
  <c r="E408"/>
  <c r="E404"/>
  <c r="E400"/>
  <c r="E396"/>
  <c r="E392"/>
  <c r="E388"/>
  <c r="E384"/>
  <c r="E383"/>
  <c r="E377"/>
  <c r="E373"/>
  <c r="E369"/>
  <c r="E367"/>
  <c r="E363"/>
  <c r="E359"/>
  <c r="E355"/>
  <c r="E240"/>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c r="E160"/>
  <c r="E156"/>
  <c r="E152"/>
  <c r="E148"/>
  <c r="E144"/>
  <c r="E140"/>
  <c r="E131"/>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c r="G52"/>
  <c r="G45"/>
  <c r="G49"/>
  <c r="G42"/>
  <c r="G46"/>
  <c r="G50"/>
  <c r="G43"/>
  <c r="G47"/>
  <c r="G51"/>
  <c r="F452" i="34"/>
  <c r="F446"/>
  <c r="F447"/>
  <c r="F442"/>
  <c r="F440"/>
  <c r="F438"/>
  <c r="F436"/>
  <c r="F430"/>
  <c r="F426"/>
  <c r="F422"/>
  <c r="F420"/>
  <c r="D20" i="10" s="1"/>
  <c r="I72" i="8"/>
  <c r="I76"/>
  <c r="I80"/>
  <c r="I87"/>
  <c r="I69"/>
  <c r="I73"/>
  <c r="I77"/>
  <c r="I81"/>
  <c r="I88"/>
  <c r="I70"/>
  <c r="I74"/>
  <c r="I78"/>
  <c r="I82"/>
  <c r="I71"/>
  <c r="I75"/>
  <c r="I79"/>
  <c r="I86"/>
  <c r="I38" i="36"/>
  <c r="I138" i="2"/>
  <c r="I142"/>
  <c r="F333" i="34"/>
  <c r="I140" i="2"/>
  <c r="F328" i="34"/>
  <c r="F332"/>
  <c r="F336"/>
  <c r="I39" i="36"/>
  <c r="I139" i="2"/>
  <c r="I143"/>
  <c r="F325" i="34"/>
  <c r="I40" i="36"/>
  <c r="I136" i="2"/>
  <c r="F326" i="34"/>
  <c r="F330"/>
  <c r="F334"/>
  <c r="I37" i="36"/>
  <c r="I41"/>
  <c r="I137" i="2"/>
  <c r="I141"/>
  <c r="F329" i="34"/>
  <c r="F337"/>
  <c r="I144" i="2"/>
  <c r="F327" i="34"/>
  <c r="F335"/>
  <c r="F331"/>
  <c r="F280"/>
  <c r="F300"/>
  <c r="F297"/>
  <c r="F295"/>
  <c r="F299"/>
  <c r="F296"/>
  <c r="F298"/>
  <c r="F301"/>
  <c r="F305"/>
  <c r="F309"/>
  <c r="F304"/>
  <c r="F303"/>
  <c r="F307"/>
  <c r="F311"/>
  <c r="F308"/>
  <c r="F302"/>
  <c r="F306"/>
  <c r="F310"/>
  <c r="F314"/>
  <c r="F319"/>
  <c r="F317"/>
  <c r="F320"/>
  <c r="F313"/>
  <c r="F318"/>
  <c r="F323"/>
  <c r="F341"/>
  <c r="F338"/>
  <c r="F324"/>
  <c r="F315"/>
  <c r="F312"/>
  <c r="F339"/>
  <c r="F316"/>
  <c r="F340"/>
  <c r="F322"/>
  <c r="F321"/>
  <c r="F350"/>
  <c r="F349"/>
  <c r="D85" i="8" s="1"/>
  <c r="F348" i="34"/>
  <c r="D84" i="8" s="1"/>
  <c r="F342" i="34"/>
  <c r="F343"/>
  <c r="F345"/>
  <c r="F346"/>
  <c r="F351"/>
  <c r="F352"/>
  <c r="F347"/>
  <c r="D83" i="8" s="1"/>
  <c r="F344" i="34"/>
  <c r="F284"/>
  <c r="F279"/>
  <c r="F283"/>
  <c r="F278"/>
  <c r="F277"/>
  <c r="F282"/>
  <c r="F281"/>
  <c r="F286"/>
  <c r="F285"/>
  <c r="D21" i="8" s="1"/>
  <c r="F271" i="34"/>
  <c r="F268"/>
  <c r="F273"/>
  <c r="F272"/>
  <c r="F270"/>
  <c r="F269"/>
  <c r="F287"/>
  <c r="F276"/>
  <c r="F289"/>
  <c r="F275"/>
  <c r="F274"/>
  <c r="F288"/>
  <c r="F265"/>
  <c r="F257"/>
  <c r="D138" i="2" s="1"/>
  <c r="F260" i="34"/>
  <c r="F263"/>
  <c r="F255"/>
  <c r="D136" i="2" s="1"/>
  <c r="F258" i="34"/>
  <c r="D139" i="2" s="1"/>
  <c r="F261" i="34"/>
  <c r="F264"/>
  <c r="F256"/>
  <c r="D137" i="2" s="1"/>
  <c r="F259" i="34"/>
  <c r="D140" i="2" s="1"/>
  <c r="F262" i="34"/>
  <c r="F254"/>
  <c r="D135" i="2" s="1"/>
  <c r="F291" i="34"/>
  <c r="F290"/>
  <c r="F266"/>
  <c r="F267"/>
  <c r="F293"/>
  <c r="F253"/>
  <c r="D134" i="2" s="1"/>
  <c r="F292" i="34"/>
  <c r="F294"/>
  <c r="F252"/>
  <c r="D133" i="2" s="1"/>
  <c r="F244" i="34"/>
  <c r="D125" i="2" s="1"/>
  <c r="F243" i="34"/>
  <c r="D124" i="2" s="1"/>
  <c r="F245" i="34"/>
  <c r="D126" i="2" s="1"/>
  <c r="F242" i="34"/>
  <c r="D123" i="2" s="1"/>
  <c r="F246" i="34"/>
  <c r="D127" i="2" s="1"/>
  <c r="F247" i="34"/>
  <c r="D128" i="2" s="1"/>
  <c r="F248" i="34"/>
  <c r="D129" i="2" s="1"/>
  <c r="F249" i="34"/>
  <c r="D130" i="2" s="1"/>
  <c r="F250" i="34"/>
  <c r="D131" i="2" s="1"/>
  <c r="I22"/>
  <c r="F251" i="34"/>
  <c r="D132" i="2" s="1"/>
  <c r="I27"/>
  <c r="I25"/>
  <c r="I24"/>
  <c r="I23"/>
  <c r="I28"/>
  <c r="I26"/>
  <c r="I93"/>
  <c r="I109"/>
  <c r="I125"/>
  <c r="I76"/>
  <c r="I66"/>
  <c r="I52"/>
  <c r="I34"/>
  <c r="I82"/>
  <c r="I98"/>
  <c r="I114"/>
  <c r="I88"/>
  <c r="I120"/>
  <c r="I77"/>
  <c r="I42"/>
  <c r="I29"/>
  <c r="I119"/>
  <c r="I99"/>
  <c r="I127"/>
  <c r="I57"/>
  <c r="I49"/>
  <c r="I124"/>
  <c r="I33"/>
  <c r="I108"/>
  <c r="I134"/>
  <c r="I64"/>
  <c r="I21"/>
  <c r="I130"/>
  <c r="I96" i="1"/>
  <c r="I98"/>
  <c r="I81" i="2"/>
  <c r="I97"/>
  <c r="I113"/>
  <c r="I129"/>
  <c r="I54"/>
  <c r="I40"/>
  <c r="I38"/>
  <c r="I86"/>
  <c r="I102"/>
  <c r="I118"/>
  <c r="I96"/>
  <c r="I126"/>
  <c r="I56"/>
  <c r="I47"/>
  <c r="I35"/>
  <c r="I70"/>
  <c r="I39"/>
  <c r="I107"/>
  <c r="I132"/>
  <c r="I63"/>
  <c r="I75"/>
  <c r="I84"/>
  <c r="I116"/>
  <c r="I74"/>
  <c r="I69"/>
  <c r="I55"/>
  <c r="I95" i="1"/>
  <c r="I92"/>
  <c r="I97"/>
  <c r="I93"/>
  <c r="I105" i="2"/>
  <c r="I72"/>
  <c r="I48"/>
  <c r="I135"/>
  <c r="I94"/>
  <c r="I80"/>
  <c r="I71"/>
  <c r="I41"/>
  <c r="I122"/>
  <c r="I103"/>
  <c r="I85"/>
  <c r="I101"/>
  <c r="I117"/>
  <c r="I133"/>
  <c r="I58"/>
  <c r="I44"/>
  <c r="I90"/>
  <c r="I106"/>
  <c r="I104"/>
  <c r="I131"/>
  <c r="I61"/>
  <c r="I53"/>
  <c r="I36"/>
  <c r="I60"/>
  <c r="I83"/>
  <c r="I115"/>
  <c r="I73"/>
  <c r="I68"/>
  <c r="I31"/>
  <c r="I65"/>
  <c r="I92"/>
  <c r="I123"/>
  <c r="I79"/>
  <c r="I45"/>
  <c r="I32"/>
  <c r="I87"/>
  <c r="I46"/>
  <c r="I99" i="1"/>
  <c r="I94"/>
  <c r="I89" i="2"/>
  <c r="I121"/>
  <c r="I62"/>
  <c r="I30"/>
  <c r="I110"/>
  <c r="I112"/>
  <c r="I67"/>
  <c r="I95"/>
  <c r="I91"/>
  <c r="I78"/>
  <c r="I43"/>
  <c r="I59"/>
  <c r="I51"/>
  <c r="I50"/>
  <c r="I100"/>
  <c r="I37"/>
  <c r="I128"/>
  <c r="I111"/>
  <c r="F238" i="34"/>
  <c r="D119" i="2" s="1"/>
  <c r="F234" i="34"/>
  <c r="D115" i="2" s="1"/>
  <c r="F230" i="34"/>
  <c r="D111" i="2" s="1"/>
  <c r="I33" i="1"/>
  <c r="I49"/>
  <c r="I65"/>
  <c r="I81"/>
  <c r="I32"/>
  <c r="I60"/>
  <c r="I26"/>
  <c r="I42"/>
  <c r="I58"/>
  <c r="I74"/>
  <c r="I36"/>
  <c r="I76"/>
  <c r="I35"/>
  <c r="I51"/>
  <c r="I67"/>
  <c r="I83"/>
  <c r="I37"/>
  <c r="I53"/>
  <c r="I69"/>
  <c r="I85"/>
  <c r="I40"/>
  <c r="I72"/>
  <c r="I30"/>
  <c r="I46"/>
  <c r="I62"/>
  <c r="I78"/>
  <c r="I44"/>
  <c r="I23"/>
  <c r="I39"/>
  <c r="I55"/>
  <c r="I71"/>
  <c r="I87"/>
  <c r="I25"/>
  <c r="I41"/>
  <c r="I57"/>
  <c r="I73"/>
  <c r="I86"/>
  <c r="I48"/>
  <c r="I84"/>
  <c r="I34"/>
  <c r="I50"/>
  <c r="I66"/>
  <c r="I82"/>
  <c r="I52"/>
  <c r="I27"/>
  <c r="I43"/>
  <c r="I59"/>
  <c r="I75"/>
  <c r="I68"/>
  <c r="I29"/>
  <c r="I45"/>
  <c r="I61"/>
  <c r="I77"/>
  <c r="I28"/>
  <c r="I56"/>
  <c r="I38"/>
  <c r="I54"/>
  <c r="I70"/>
  <c r="I24"/>
  <c r="I64"/>
  <c r="I31"/>
  <c r="I47"/>
  <c r="I63"/>
  <c r="I79"/>
  <c r="I80"/>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c r="F21"/>
  <c r="F185"/>
  <c r="F120"/>
  <c r="D143" i="1" s="1"/>
  <c r="F64" i="34"/>
  <c r="F56"/>
  <c r="F24"/>
  <c r="F193"/>
  <c r="F161"/>
  <c r="F220"/>
  <c r="D101" i="2" s="1"/>
  <c r="F164" i="34"/>
  <c r="F112"/>
  <c r="D135" i="1" s="1"/>
  <c r="F40" i="34"/>
  <c r="F128"/>
  <c r="D151" i="1" s="1"/>
  <c r="F177" i="34"/>
  <c r="F169"/>
  <c r="F145"/>
  <c r="F133"/>
  <c r="D156" i="1" s="1"/>
  <c r="F109" i="34"/>
  <c r="D132" i="1" s="1"/>
  <c r="F101" i="34"/>
  <c r="D124" i="1" s="1"/>
  <c r="F77" i="34"/>
  <c r="D100" i="1" s="1"/>
  <c r="F69" i="34"/>
  <c r="D92" i="1" s="1"/>
  <c r="F37" i="34"/>
  <c r="F5"/>
  <c r="F29"/>
  <c r="F61"/>
  <c r="F93"/>
  <c r="D116" i="1" s="1"/>
  <c r="F125" i="34"/>
  <c r="D148" i="1" s="1"/>
  <c r="F415" i="34"/>
  <c r="F358"/>
  <c r="F96"/>
  <c r="D119" i="1" s="1"/>
  <c r="F85" i="34"/>
  <c r="D108" i="1" s="1"/>
  <c r="F117" i="34"/>
  <c r="D140" i="1" s="1"/>
  <c r="F153" i="34"/>
  <c r="F366"/>
  <c r="F221"/>
  <c r="D102" i="2" s="1"/>
  <c r="F13" i="34"/>
  <c r="F45"/>
  <c r="F450"/>
  <c r="F444"/>
  <c r="F432"/>
  <c r="F427"/>
  <c r="F416"/>
  <c r="F408"/>
  <c r="F404"/>
  <c r="F396"/>
  <c r="F388"/>
  <c r="F383"/>
  <c r="F369"/>
  <c r="F363"/>
  <c r="F359"/>
  <c r="F225"/>
  <c r="D106" i="2" s="1"/>
  <c r="F201" i="34"/>
  <c r="F217"/>
  <c r="D98" i="2" s="1"/>
  <c r="F395" i="34"/>
  <c r="F433"/>
  <c r="F431"/>
  <c r="F80"/>
  <c r="D103" i="1" s="1"/>
  <c r="F140" i="34"/>
  <c r="F148"/>
  <c r="F188"/>
  <c r="F196"/>
  <c r="F448"/>
  <c r="F434"/>
  <c r="F424"/>
  <c r="D24" i="10" s="1"/>
  <c r="F414" i="34"/>
  <c r="F406"/>
  <c r="F398"/>
  <c r="F390"/>
  <c r="F375"/>
  <c r="F361"/>
  <c r="F353"/>
  <c r="F223"/>
  <c r="D104" i="2" s="1"/>
  <c r="F211" i="34"/>
  <c r="D92" i="2" s="1"/>
  <c r="F203" i="34"/>
  <c r="F195"/>
  <c r="F187"/>
  <c r="F183"/>
  <c r="F175"/>
  <c r="F167"/>
  <c r="F155"/>
  <c r="F147"/>
  <c r="F127"/>
  <c r="D150" i="1" s="1"/>
  <c r="F119" i="34"/>
  <c r="D142" i="1" s="1"/>
  <c r="F111" i="34"/>
  <c r="D134" i="1" s="1"/>
  <c r="F103" i="34"/>
  <c r="D126" i="1" s="1"/>
  <c r="F95" i="34"/>
  <c r="D118" i="1" s="1"/>
  <c r="F87" i="34"/>
  <c r="D110" i="1" s="1"/>
  <c r="F79" i="34"/>
  <c r="D102" i="1" s="1"/>
  <c r="F55" i="34"/>
  <c r="F47"/>
  <c r="F43"/>
  <c r="F35"/>
  <c r="F27"/>
  <c r="F23"/>
  <c r="F19"/>
  <c r="F15"/>
  <c r="F11"/>
  <c r="F7"/>
  <c r="F9"/>
  <c r="F17"/>
  <c r="F25"/>
  <c r="F33"/>
  <c r="F41"/>
  <c r="F49"/>
  <c r="F57"/>
  <c r="F65"/>
  <c r="F73"/>
  <c r="D96" i="1" s="1"/>
  <c r="F81" i="34"/>
  <c r="D104" i="1" s="1"/>
  <c r="F89" i="34"/>
  <c r="D112" i="1" s="1"/>
  <c r="F97" i="34"/>
  <c r="D120" i="1" s="1"/>
  <c r="F105" i="34"/>
  <c r="D128" i="1" s="1"/>
  <c r="F113" i="34"/>
  <c r="D136" i="1" s="1"/>
  <c r="F121" i="34"/>
  <c r="D144" i="1" s="1"/>
  <c r="F129" i="34"/>
  <c r="D152" i="1" s="1"/>
  <c r="F141" i="34"/>
  <c r="F149"/>
  <c r="F157"/>
  <c r="F165"/>
  <c r="F173"/>
  <c r="F181"/>
  <c r="F189"/>
  <c r="F197"/>
  <c r="F205"/>
  <c r="F213"/>
  <c r="D94" i="2" s="1"/>
  <c r="F372" i="34"/>
  <c r="F387"/>
  <c r="F403"/>
  <c r="F419"/>
  <c r="D87" i="14" s="1"/>
  <c r="F412" i="34"/>
  <c r="F400"/>
  <c r="F392"/>
  <c r="F384"/>
  <c r="F377"/>
  <c r="F373"/>
  <c r="F367"/>
  <c r="F355"/>
  <c r="F209"/>
  <c r="D90" i="2" s="1"/>
  <c r="F382" i="34"/>
  <c r="F411"/>
  <c r="F8"/>
  <c r="F16"/>
  <c r="F32"/>
  <c r="F48"/>
  <c r="F72"/>
  <c r="D95" i="1" s="1"/>
  <c r="F88" i="34"/>
  <c r="D111" i="1" s="1"/>
  <c r="F104" i="34"/>
  <c r="D127" i="1" s="1"/>
  <c r="F156" i="34"/>
  <c r="F172"/>
  <c r="F180"/>
  <c r="F204"/>
  <c r="F212"/>
  <c r="D93" i="2" s="1"/>
  <c r="F354" i="34"/>
  <c r="F399"/>
  <c r="F443"/>
  <c r="F418"/>
  <c r="F410"/>
  <c r="F402"/>
  <c r="F394"/>
  <c r="F386"/>
  <c r="F381"/>
  <c r="F371"/>
  <c r="F365"/>
  <c r="F357"/>
  <c r="F227"/>
  <c r="D108" i="2" s="1"/>
  <c r="F219" i="34"/>
  <c r="D100" i="2" s="1"/>
  <c r="F215" i="34"/>
  <c r="D96" i="2" s="1"/>
  <c r="F207" i="34"/>
  <c r="F199"/>
  <c r="F191"/>
  <c r="F179"/>
  <c r="F171"/>
  <c r="F163"/>
  <c r="F159"/>
  <c r="F151"/>
  <c r="F143"/>
  <c r="F131"/>
  <c r="D154" i="1" s="1"/>
  <c r="F123" i="34"/>
  <c r="D146" i="1" s="1"/>
  <c r="F115" i="34"/>
  <c r="D138" i="1" s="1"/>
  <c r="F107" i="34"/>
  <c r="D130" i="1" s="1"/>
  <c r="F99" i="34"/>
  <c r="D122" i="1" s="1"/>
  <c r="F91" i="34"/>
  <c r="D114" i="1" s="1"/>
  <c r="F83" i="34"/>
  <c r="D106" i="1" s="1"/>
  <c r="F75" i="34"/>
  <c r="D98" i="1" s="1"/>
  <c r="F71" i="34"/>
  <c r="D94" i="1" s="1"/>
  <c r="F67" i="34"/>
  <c r="F63"/>
  <c r="F59"/>
  <c r="F51"/>
  <c r="F39"/>
  <c r="F31"/>
  <c r="F451"/>
  <c r="F445"/>
  <c r="F439"/>
  <c r="F423"/>
  <c r="D23" i="10" s="1"/>
  <c r="F417" i="34"/>
  <c r="F413"/>
  <c r="F409"/>
  <c r="F405"/>
  <c r="F401"/>
  <c r="F397"/>
  <c r="F393"/>
  <c r="F389"/>
  <c r="F385"/>
  <c r="F380"/>
  <c r="F374"/>
  <c r="F370"/>
  <c r="F368"/>
  <c r="F364"/>
  <c r="F360"/>
  <c r="F356"/>
  <c r="F226"/>
  <c r="D107" i="2" s="1"/>
  <c r="F222" i="34"/>
  <c r="D103" i="2" s="1"/>
  <c r="F218" i="34"/>
  <c r="D99" i="2" s="1"/>
  <c r="F214" i="34"/>
  <c r="D95" i="2" s="1"/>
  <c r="F210" i="34"/>
  <c r="D91" i="2" s="1"/>
  <c r="F206" i="34"/>
  <c r="F202"/>
  <c r="F198"/>
  <c r="F194"/>
  <c r="F190"/>
  <c r="F186"/>
  <c r="F182"/>
  <c r="F178"/>
  <c r="F174"/>
  <c r="F170"/>
  <c r="F166"/>
  <c r="F162"/>
  <c r="F158"/>
  <c r="F154"/>
  <c r="F150"/>
  <c r="F146"/>
  <c r="F142"/>
  <c r="F1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c r="F58"/>
  <c r="F54"/>
  <c r="F50"/>
  <c r="F46"/>
  <c r="F42"/>
  <c r="F38"/>
  <c r="F34"/>
  <c r="F30"/>
  <c r="F26"/>
  <c r="F22"/>
  <c r="F18"/>
  <c r="F14"/>
  <c r="F10"/>
  <c r="F4"/>
  <c r="F12"/>
  <c r="F20"/>
  <c r="F28"/>
  <c r="F36"/>
  <c r="F44"/>
  <c r="F52"/>
  <c r="F60"/>
  <c r="F68"/>
  <c r="F76"/>
  <c r="D99" i="1" s="1"/>
  <c r="F84" i="34"/>
  <c r="D107" i="1" s="1"/>
  <c r="F92" i="34"/>
  <c r="D115" i="1" s="1"/>
  <c r="F100" i="34"/>
  <c r="D123" i="1" s="1"/>
  <c r="F108" i="34"/>
  <c r="D131" i="1" s="1"/>
  <c r="F116" i="34"/>
  <c r="D139" i="1" s="1"/>
  <c r="F124" i="34"/>
  <c r="D147" i="1" s="1"/>
  <c r="F132" i="34"/>
  <c r="D155" i="1" s="1"/>
  <c r="F144" i="34"/>
  <c r="F152"/>
  <c r="F160"/>
  <c r="F168"/>
  <c r="F176"/>
  <c r="F184"/>
  <c r="F192"/>
  <c r="F200"/>
  <c r="F208"/>
  <c r="D89" i="2" s="1"/>
  <c r="F216" i="34"/>
  <c r="D97" i="2" s="1"/>
  <c r="F224" i="34"/>
  <c r="D105" i="2" s="1"/>
  <c r="F362" i="34"/>
  <c r="F376"/>
  <c r="F391"/>
  <c r="F407"/>
  <c r="F428"/>
  <c r="F6"/>
  <c r="I36" i="36"/>
  <c r="I35"/>
  <c r="I34"/>
  <c r="I33"/>
  <c r="I32"/>
  <c r="I31"/>
  <c r="I30"/>
  <c r="I29"/>
  <c r="I28"/>
  <c r="I27"/>
  <c r="I26"/>
  <c r="I25"/>
  <c r="I24"/>
  <c r="I23"/>
  <c r="I22"/>
  <c r="I21"/>
  <c r="I68" i="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87" i="14"/>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D100" i="38"/>
  <c r="D81"/>
  <c r="D69"/>
  <c r="D88"/>
  <c r="D70"/>
  <c r="D82"/>
  <c r="D76"/>
  <c r="D72"/>
  <c r="D85"/>
  <c r="D73"/>
  <c r="D74"/>
  <c r="D84"/>
  <c r="D83"/>
  <c r="F200"/>
  <c r="D97"/>
  <c r="D94"/>
  <c r="D86"/>
  <c r="D99"/>
  <c r="D95"/>
  <c r="D87"/>
  <c r="D91"/>
  <c r="D79"/>
  <c r="D98"/>
  <c r="D75"/>
  <c r="D78"/>
  <c r="D92"/>
  <c r="D71"/>
  <c r="D93"/>
  <c r="D80"/>
  <c r="D77"/>
  <c r="D96"/>
  <c r="D90"/>
  <c r="D89"/>
  <c r="C88" i="8" l="1"/>
  <c r="D45" i="10"/>
  <c r="D40" i="36"/>
  <c r="D87" i="8"/>
  <c r="C87"/>
  <c r="D78"/>
  <c r="C78"/>
  <c r="D74"/>
  <c r="C74"/>
  <c r="D70"/>
  <c r="C70"/>
  <c r="D48" i="10"/>
  <c r="D143" i="2"/>
  <c r="C143"/>
  <c r="D142"/>
  <c r="C142"/>
  <c r="D82" i="8"/>
  <c r="C82"/>
  <c r="D81"/>
  <c r="C81"/>
  <c r="D86"/>
  <c r="C86"/>
  <c r="D76"/>
  <c r="C76"/>
  <c r="D77"/>
  <c r="C77"/>
  <c r="D72"/>
  <c r="C72"/>
  <c r="D49" i="10"/>
  <c r="D141" i="2"/>
  <c r="C141"/>
  <c r="D73" i="8"/>
  <c r="C73"/>
  <c r="D46" i="10"/>
  <c r="D80" i="8"/>
  <c r="C80"/>
  <c r="D79"/>
  <c r="C79"/>
  <c r="D75"/>
  <c r="C75"/>
  <c r="D60"/>
  <c r="D71"/>
  <c r="C71"/>
  <c r="D69"/>
  <c r="C69"/>
  <c r="D47" i="10"/>
  <c r="F342" i="35"/>
  <c r="I342"/>
  <c r="F274"/>
  <c r="I274"/>
  <c r="F251"/>
  <c r="I251"/>
  <c r="F248"/>
  <c r="I248"/>
  <c r="F224"/>
  <c r="I224"/>
  <c r="F221"/>
  <c r="I221"/>
  <c r="F218"/>
  <c r="I218"/>
  <c r="F196"/>
  <c r="I196"/>
  <c r="F173"/>
  <c r="I173"/>
  <c r="F159"/>
  <c r="I159"/>
  <c r="F130"/>
  <c r="I130"/>
  <c r="F66"/>
  <c r="I66"/>
  <c r="H45" i="31" l="1"/>
  <c r="I45"/>
  <c r="C10" i="33"/>
  <c r="C14" i="2" s="1"/>
  <c r="M84" i="1"/>
  <c r="M82"/>
  <c r="M81"/>
  <c r="F357" i="35"/>
  <c r="F358"/>
  <c r="F359"/>
  <c r="F360"/>
  <c r="F361"/>
  <c r="F362"/>
  <c r="F363"/>
  <c r="F364"/>
  <c r="I357"/>
  <c r="I358"/>
  <c r="I359"/>
  <c r="I360"/>
  <c r="I361"/>
  <c r="I362"/>
  <c r="I363"/>
  <c r="I364"/>
  <c r="M128" i="1"/>
  <c r="L28"/>
  <c r="Y10" i="32"/>
  <c r="Z10" s="1"/>
  <c r="Y8"/>
  <c r="Z8" s="1"/>
  <c r="AA10"/>
  <c r="AA8"/>
  <c r="B69"/>
  <c r="H102" i="31"/>
  <c r="I102"/>
  <c r="AA37" i="32"/>
  <c r="AB37" s="1"/>
  <c r="AA35"/>
  <c r="AB35" s="1"/>
  <c r="AA33"/>
  <c r="Z33" s="1"/>
  <c r="AA31"/>
  <c r="Y31" s="1"/>
  <c r="AA29"/>
  <c r="Y29" s="1"/>
  <c r="AA27"/>
  <c r="Y27" s="1"/>
  <c r="H1" i="33"/>
  <c r="Y1"/>
  <c r="V3"/>
  <c r="U3"/>
  <c r="X1"/>
  <c r="H3"/>
  <c r="H4"/>
  <c r="H5"/>
  <c r="H6"/>
  <c r="V1"/>
  <c r="W1"/>
  <c r="AA54" i="32"/>
  <c r="Y54" s="1"/>
  <c r="AB54" s="1"/>
  <c r="AA52"/>
  <c r="Y52" s="1"/>
  <c r="AA49"/>
  <c r="Y49" s="1"/>
  <c r="AA47"/>
  <c r="Y47" s="1"/>
  <c r="AA45"/>
  <c r="Y45" s="1"/>
  <c r="AA40"/>
  <c r="Y40" s="1"/>
  <c r="AA22"/>
  <c r="Y22" s="1"/>
  <c r="AA20"/>
  <c r="Y20" s="1"/>
  <c r="AA17"/>
  <c r="Y17" s="1"/>
  <c r="B12"/>
  <c r="H21" i="31"/>
  <c r="I21"/>
  <c r="H26"/>
  <c r="I26"/>
  <c r="U1" i="33"/>
  <c r="W4"/>
  <c r="X4" s="1"/>
  <c r="W5"/>
  <c r="X5" s="1"/>
  <c r="W6"/>
  <c r="X6" s="1"/>
  <c r="B76" i="32"/>
  <c r="H33" i="31"/>
  <c r="I33"/>
  <c r="B7" i="32"/>
  <c r="H18" i="31"/>
  <c r="I18"/>
  <c r="F3" i="33"/>
  <c r="F1" s="1"/>
  <c r="F4"/>
  <c r="F5"/>
  <c r="F6"/>
  <c r="H103" i="31"/>
  <c r="H104"/>
  <c r="H105"/>
  <c r="H106"/>
  <c r="I103"/>
  <c r="I104"/>
  <c r="I105"/>
  <c r="I106"/>
  <c r="B64" i="32"/>
  <c r="B66"/>
  <c r="H100" i="31"/>
  <c r="H101"/>
  <c r="I100"/>
  <c r="I101"/>
  <c r="B62" i="32"/>
  <c r="H99" i="31"/>
  <c r="I99"/>
  <c r="B47" i="32"/>
  <c r="H38" i="31"/>
  <c r="I38"/>
  <c r="D7" i="32"/>
  <c r="G7"/>
  <c r="J42"/>
  <c r="H9" i="31"/>
  <c r="H10"/>
  <c r="H11"/>
  <c r="I9"/>
  <c r="I10"/>
  <c r="I11"/>
  <c r="B27" i="32"/>
  <c r="H7" i="31"/>
  <c r="I7"/>
  <c r="H2"/>
  <c r="AA67" i="32"/>
  <c r="Y67" s="1"/>
  <c r="AB67" s="1"/>
  <c r="AA74"/>
  <c r="Y74" s="1"/>
  <c r="AA72"/>
  <c r="Y72" s="1"/>
  <c r="AB72" s="1"/>
  <c r="AA70"/>
  <c r="Y70" s="1"/>
  <c r="AB70" s="1"/>
  <c r="AA60"/>
  <c r="Y60" s="1"/>
  <c r="AB60" s="1"/>
  <c r="AA58"/>
  <c r="Y58" s="1"/>
  <c r="AB58" s="1"/>
  <c r="AA56"/>
  <c r="Y56" s="1"/>
  <c r="Y43"/>
  <c r="Z43" s="1"/>
  <c r="AA43" s="1"/>
  <c r="Y37"/>
  <c r="AA24"/>
  <c r="Y24" s="1"/>
  <c r="H98" i="31"/>
  <c r="I98"/>
  <c r="H97"/>
  <c r="I97"/>
  <c r="B14" i="32"/>
  <c r="B26"/>
  <c r="B52"/>
  <c r="B54"/>
  <c r="B56"/>
  <c r="B58"/>
  <c r="B60"/>
  <c r="B5"/>
  <c r="B8"/>
  <c r="B10"/>
  <c r="J3" i="33"/>
  <c r="J4"/>
  <c r="J5"/>
  <c r="J6"/>
  <c r="B119" i="32"/>
  <c r="B67"/>
  <c r="D5" i="10"/>
  <c r="B121" i="32"/>
  <c r="B124"/>
  <c r="B72"/>
  <c r="B126"/>
  <c r="B118"/>
  <c r="B49"/>
  <c r="C15" i="1"/>
  <c r="C15" i="2"/>
  <c r="C15" i="36"/>
  <c r="C15" i="8"/>
  <c r="C15" i="14"/>
  <c r="C18" i="36"/>
  <c r="D18"/>
  <c r="I18" i="2"/>
  <c r="K18" i="1"/>
  <c r="K19"/>
  <c r="L19"/>
  <c r="M19"/>
  <c r="N89"/>
  <c r="J18" i="14"/>
  <c r="J19"/>
  <c r="L19" i="36"/>
  <c r="K17" i="14"/>
  <c r="H17" i="10"/>
  <c r="D17"/>
  <c r="H18"/>
  <c r="I18"/>
  <c r="J18"/>
  <c r="K18"/>
  <c r="L18"/>
  <c r="M18"/>
  <c r="O18"/>
  <c r="E2" i="37"/>
  <c r="E3"/>
  <c r="E4"/>
  <c r="E5"/>
  <c r="E6"/>
  <c r="E7"/>
  <c r="E8"/>
  <c r="E9"/>
  <c r="E10"/>
  <c r="E11"/>
  <c r="E12"/>
  <c r="E13"/>
  <c r="E14"/>
  <c r="E15"/>
  <c r="E16"/>
  <c r="E17"/>
  <c r="E18"/>
  <c r="E19"/>
  <c r="E20"/>
  <c r="F2" i="35"/>
  <c r="F3"/>
  <c r="F4"/>
  <c r="F5"/>
  <c r="F6"/>
  <c r="F7"/>
  <c r="F8"/>
  <c r="F9"/>
  <c r="F10"/>
  <c r="F11"/>
  <c r="F12"/>
  <c r="F13"/>
  <c r="F14"/>
  <c r="F15"/>
  <c r="F16"/>
  <c r="F17"/>
  <c r="F35"/>
  <c r="F36"/>
  <c r="F37"/>
  <c r="F38"/>
  <c r="F39"/>
  <c r="F40"/>
  <c r="F41"/>
  <c r="F42"/>
  <c r="F43"/>
  <c r="F44"/>
  <c r="F45"/>
  <c r="F46"/>
  <c r="F47"/>
  <c r="F48"/>
  <c r="F49"/>
  <c r="F50"/>
  <c r="F51"/>
  <c r="F52"/>
  <c r="F53"/>
  <c r="F54"/>
  <c r="F55"/>
  <c r="F56"/>
  <c r="F57"/>
  <c r="F58"/>
  <c r="F59"/>
  <c r="F60"/>
  <c r="F61"/>
  <c r="F62"/>
  <c r="F63"/>
  <c r="F64"/>
  <c r="F65"/>
  <c r="F68"/>
  <c r="F70"/>
  <c r="F71"/>
  <c r="F72"/>
  <c r="F73"/>
  <c r="F74"/>
  <c r="F75"/>
  <c r="F76"/>
  <c r="F77"/>
  <c r="F78"/>
  <c r="F79"/>
  <c r="F80"/>
  <c r="F81"/>
  <c r="F82"/>
  <c r="F83"/>
  <c r="F84"/>
  <c r="F85"/>
  <c r="F86"/>
  <c r="F87"/>
  <c r="F88"/>
  <c r="F89"/>
  <c r="F90"/>
  <c r="F91"/>
  <c r="F92"/>
  <c r="F93"/>
  <c r="F94"/>
  <c r="F95"/>
  <c r="F96"/>
  <c r="F97"/>
  <c r="F98"/>
  <c r="F99"/>
  <c r="F100"/>
  <c r="F101"/>
  <c r="F102"/>
  <c r="F103"/>
  <c r="F104"/>
  <c r="F105"/>
  <c r="F106"/>
  <c r="F107"/>
  <c r="F108"/>
  <c r="F109"/>
  <c r="F110"/>
  <c r="F111"/>
  <c r="F112"/>
  <c r="F113"/>
  <c r="F114"/>
  <c r="F115"/>
  <c r="F116"/>
  <c r="F117"/>
  <c r="F118"/>
  <c r="F119"/>
  <c r="F120"/>
  <c r="F121"/>
  <c r="F122"/>
  <c r="F123"/>
  <c r="F124"/>
  <c r="F125"/>
  <c r="F126"/>
  <c r="F127"/>
  <c r="F128"/>
  <c r="F129"/>
  <c r="F131"/>
  <c r="F132"/>
  <c r="F133"/>
  <c r="F134"/>
  <c r="F135"/>
  <c r="F136"/>
  <c r="F137"/>
  <c r="F138"/>
  <c r="F139"/>
  <c r="F140"/>
  <c r="F141"/>
  <c r="F142"/>
  <c r="F143"/>
  <c r="F144"/>
  <c r="F145"/>
  <c r="F146"/>
  <c r="F147"/>
  <c r="F148"/>
  <c r="F149"/>
  <c r="F150"/>
  <c r="F151"/>
  <c r="F152"/>
  <c r="F153"/>
  <c r="F154"/>
  <c r="F155"/>
  <c r="F156"/>
  <c r="F157"/>
  <c r="F158"/>
  <c r="F160"/>
  <c r="F161"/>
  <c r="F162"/>
  <c r="F163"/>
  <c r="F164"/>
  <c r="F165"/>
  <c r="F166"/>
  <c r="F167"/>
  <c r="F168"/>
  <c r="F169"/>
  <c r="F170"/>
  <c r="F171"/>
  <c r="F172"/>
  <c r="F174"/>
  <c r="F175"/>
  <c r="F176"/>
  <c r="F177"/>
  <c r="F178"/>
  <c r="F179"/>
  <c r="F180"/>
  <c r="F181"/>
  <c r="F182"/>
  <c r="F183"/>
  <c r="F184"/>
  <c r="F185"/>
  <c r="F186"/>
  <c r="F187"/>
  <c r="F188"/>
  <c r="F189"/>
  <c r="F190"/>
  <c r="F191"/>
  <c r="F192"/>
  <c r="F193"/>
  <c r="F194"/>
  <c r="F195"/>
  <c r="F197"/>
  <c r="F198"/>
  <c r="F199"/>
  <c r="F200"/>
  <c r="F201"/>
  <c r="F202"/>
  <c r="F203"/>
  <c r="F204"/>
  <c r="F205"/>
  <c r="F206"/>
  <c r="F207"/>
  <c r="F208"/>
  <c r="F209"/>
  <c r="F210"/>
  <c r="F211"/>
  <c r="F212"/>
  <c r="F213"/>
  <c r="F214"/>
  <c r="F215"/>
  <c r="F216"/>
  <c r="F217"/>
  <c r="F219"/>
  <c r="F220"/>
  <c r="F222"/>
  <c r="F223"/>
  <c r="F225"/>
  <c r="F226"/>
  <c r="F227"/>
  <c r="F228"/>
  <c r="F229"/>
  <c r="F230"/>
  <c r="F231"/>
  <c r="F232"/>
  <c r="F233"/>
  <c r="F234"/>
  <c r="F235"/>
  <c r="F236"/>
  <c r="F237"/>
  <c r="F238"/>
  <c r="F239"/>
  <c r="F240"/>
  <c r="F241"/>
  <c r="F242"/>
  <c r="F243"/>
  <c r="F244"/>
  <c r="F245"/>
  <c r="F246"/>
  <c r="F247"/>
  <c r="F249"/>
  <c r="F250"/>
  <c r="F252"/>
  <c r="F253"/>
  <c r="F254"/>
  <c r="F255"/>
  <c r="F256"/>
  <c r="F257"/>
  <c r="F258"/>
  <c r="F259"/>
  <c r="F260"/>
  <c r="F261"/>
  <c r="F262"/>
  <c r="F263"/>
  <c r="F264"/>
  <c r="F265"/>
  <c r="F266"/>
  <c r="F267"/>
  <c r="F268"/>
  <c r="F269"/>
  <c r="F270"/>
  <c r="F271"/>
  <c r="F272"/>
  <c r="F273"/>
  <c r="F275"/>
  <c r="F276"/>
  <c r="F277"/>
  <c r="F278"/>
  <c r="F279"/>
  <c r="F280"/>
  <c r="F281"/>
  <c r="F282"/>
  <c r="F283"/>
  <c r="F284"/>
  <c r="F285"/>
  <c r="F286"/>
  <c r="F287"/>
  <c r="F288"/>
  <c r="F289"/>
  <c r="F290"/>
  <c r="F291"/>
  <c r="F292"/>
  <c r="F293"/>
  <c r="F294"/>
  <c r="F295"/>
  <c r="F296"/>
  <c r="F297"/>
  <c r="F298"/>
  <c r="F299"/>
  <c r="F300"/>
  <c r="F301"/>
  <c r="F302"/>
  <c r="F303"/>
  <c r="F304"/>
  <c r="F305"/>
  <c r="F306"/>
  <c r="F307"/>
  <c r="F308"/>
  <c r="F309"/>
  <c r="F310"/>
  <c r="F311"/>
  <c r="F312"/>
  <c r="F313"/>
  <c r="F314"/>
  <c r="F315"/>
  <c r="F316"/>
  <c r="F317"/>
  <c r="F318"/>
  <c r="F319"/>
  <c r="F320"/>
  <c r="F321"/>
  <c r="F322"/>
  <c r="F323"/>
  <c r="F324"/>
  <c r="F325"/>
  <c r="F326"/>
  <c r="F327"/>
  <c r="F328"/>
  <c r="F329"/>
  <c r="F330"/>
  <c r="F331"/>
  <c r="F332"/>
  <c r="F333"/>
  <c r="F334"/>
  <c r="F335"/>
  <c r="F336"/>
  <c r="F337"/>
  <c r="F338"/>
  <c r="F339"/>
  <c r="F340"/>
  <c r="F341"/>
  <c r="F343"/>
  <c r="F344"/>
  <c r="F345"/>
  <c r="F346"/>
  <c r="F347"/>
  <c r="F348"/>
  <c r="F349"/>
  <c r="F350"/>
  <c r="F351"/>
  <c r="F352"/>
  <c r="F353"/>
  <c r="F354"/>
  <c r="F355"/>
  <c r="F356"/>
  <c r="H34" i="31"/>
  <c r="I34"/>
  <c r="O40" i="10"/>
  <c r="Q40" s="1"/>
  <c r="O39"/>
  <c r="Q39" s="1"/>
  <c r="O35"/>
  <c r="Q35" s="1"/>
  <c r="O33"/>
  <c r="O32"/>
  <c r="Q32" s="1"/>
  <c r="O28"/>
  <c r="O27"/>
  <c r="Q27" s="1"/>
  <c r="O21"/>
  <c r="Q21" s="1"/>
  <c r="P37"/>
  <c r="P41" s="1"/>
  <c r="P53" s="1"/>
  <c r="H86" i="31"/>
  <c r="H87"/>
  <c r="H88"/>
  <c r="H89"/>
  <c r="H90"/>
  <c r="H91"/>
  <c r="H94"/>
  <c r="H95"/>
  <c r="H96"/>
  <c r="I86"/>
  <c r="I87"/>
  <c r="I88"/>
  <c r="I89"/>
  <c r="I90"/>
  <c r="I91"/>
  <c r="I94"/>
  <c r="I95"/>
  <c r="I96"/>
  <c r="H85"/>
  <c r="I85"/>
  <c r="H75"/>
  <c r="I75"/>
  <c r="H8"/>
  <c r="I8"/>
  <c r="H50"/>
  <c r="H51"/>
  <c r="I50"/>
  <c r="I51"/>
  <c r="H3"/>
  <c r="H4"/>
  <c r="H5"/>
  <c r="H12"/>
  <c r="H13"/>
  <c r="H14"/>
  <c r="H15"/>
  <c r="H16"/>
  <c r="H17"/>
  <c r="H19"/>
  <c r="H20"/>
  <c r="H22"/>
  <c r="H23"/>
  <c r="H24"/>
  <c r="H25"/>
  <c r="H27"/>
  <c r="H28"/>
  <c r="H29"/>
  <c r="H30"/>
  <c r="H31"/>
  <c r="H32"/>
  <c r="H35"/>
  <c r="H36"/>
  <c r="H37"/>
  <c r="H39"/>
  <c r="H44"/>
  <c r="H46"/>
  <c r="H47"/>
  <c r="H48"/>
  <c r="H49"/>
  <c r="H52"/>
  <c r="H53"/>
  <c r="H54"/>
  <c r="H55"/>
  <c r="H56"/>
  <c r="H57"/>
  <c r="H58"/>
  <c r="H59"/>
  <c r="H60"/>
  <c r="H61"/>
  <c r="H62"/>
  <c r="H63"/>
  <c r="H64"/>
  <c r="H65"/>
  <c r="H66"/>
  <c r="H67"/>
  <c r="H68"/>
  <c r="H69"/>
  <c r="H70"/>
  <c r="H71"/>
  <c r="H72"/>
  <c r="H74"/>
  <c r="H76"/>
  <c r="H77"/>
  <c r="H78"/>
  <c r="H79"/>
  <c r="H80"/>
  <c r="H81"/>
  <c r="H82"/>
  <c r="H83"/>
  <c r="H84"/>
  <c r="C21" i="14"/>
  <c r="C23"/>
  <c r="C29"/>
  <c r="C33"/>
  <c r="C35"/>
  <c r="C37"/>
  <c r="C41"/>
  <c r="C45"/>
  <c r="C78"/>
  <c r="D77"/>
  <c r="A2" i="34"/>
  <c r="I22" i="31"/>
  <c r="I23"/>
  <c r="I24"/>
  <c r="I25"/>
  <c r="I15"/>
  <c r="I16"/>
  <c r="I12"/>
  <c r="I14"/>
  <c r="I13"/>
  <c r="I2"/>
  <c r="I3"/>
  <c r="I4"/>
  <c r="I5"/>
  <c r="I17"/>
  <c r="I19"/>
  <c r="I20"/>
  <c r="I27"/>
  <c r="I28"/>
  <c r="I29"/>
  <c r="I30"/>
  <c r="I31"/>
  <c r="I32"/>
  <c r="I35"/>
  <c r="I36"/>
  <c r="I37"/>
  <c r="I39"/>
  <c r="I44"/>
  <c r="I46"/>
  <c r="I47"/>
  <c r="I48"/>
  <c r="I49"/>
  <c r="I52"/>
  <c r="I53"/>
  <c r="I54"/>
  <c r="I55"/>
  <c r="I56"/>
  <c r="I57"/>
  <c r="I58"/>
  <c r="I59"/>
  <c r="I60"/>
  <c r="I61"/>
  <c r="I62"/>
  <c r="I63"/>
  <c r="I64"/>
  <c r="I65"/>
  <c r="I66"/>
  <c r="I67"/>
  <c r="I68"/>
  <c r="I69"/>
  <c r="I70"/>
  <c r="I71"/>
  <c r="I72"/>
  <c r="I74"/>
  <c r="I76"/>
  <c r="I77"/>
  <c r="I78"/>
  <c r="I79"/>
  <c r="I80"/>
  <c r="I81"/>
  <c r="I82"/>
  <c r="I83"/>
  <c r="I84"/>
  <c r="C33" i="8"/>
  <c r="C21" i="36"/>
  <c r="C56" i="8"/>
  <c r="D48"/>
  <c r="C48"/>
  <c r="C44"/>
  <c r="D40"/>
  <c r="C40"/>
  <c r="C36"/>
  <c r="D32"/>
  <c r="D28"/>
  <c r="C28"/>
  <c r="D24"/>
  <c r="C24"/>
  <c r="D41" i="36"/>
  <c r="D36"/>
  <c r="C36"/>
  <c r="D32"/>
  <c r="D28"/>
  <c r="C28"/>
  <c r="D24"/>
  <c r="D144" i="2"/>
  <c r="D88"/>
  <c r="D84"/>
  <c r="D80"/>
  <c r="D72"/>
  <c r="D64"/>
  <c r="D60"/>
  <c r="D56"/>
  <c r="D52"/>
  <c r="C48"/>
  <c r="D44"/>
  <c r="C44"/>
  <c r="C40"/>
  <c r="D36"/>
  <c r="D32"/>
  <c r="C32"/>
  <c r="D28"/>
  <c r="D24"/>
  <c r="C24"/>
  <c r="C55" i="8"/>
  <c r="C47"/>
  <c r="C39"/>
  <c r="C31"/>
  <c r="C27"/>
  <c r="C35" i="36"/>
  <c r="C31"/>
  <c r="C27"/>
  <c r="D23" i="14"/>
  <c r="C66" i="8"/>
  <c r="C62"/>
  <c r="D58"/>
  <c r="C58"/>
  <c r="D54"/>
  <c r="C54"/>
  <c r="D50"/>
  <c r="C50"/>
  <c r="D46"/>
  <c r="C46"/>
  <c r="D42"/>
  <c r="C42"/>
  <c r="D38"/>
  <c r="C38"/>
  <c r="D34"/>
  <c r="C34"/>
  <c r="D30"/>
  <c r="C30"/>
  <c r="D26"/>
  <c r="C26"/>
  <c r="D22"/>
  <c r="C22"/>
  <c r="D38" i="36"/>
  <c r="C38"/>
  <c r="D34"/>
  <c r="C34"/>
  <c r="D30"/>
  <c r="C30"/>
  <c r="D26"/>
  <c r="C26"/>
  <c r="D22"/>
  <c r="C22"/>
  <c r="D86" i="2"/>
  <c r="D82"/>
  <c r="D78"/>
  <c r="D74"/>
  <c r="D70"/>
  <c r="D66"/>
  <c r="D62"/>
  <c r="D58"/>
  <c r="D54"/>
  <c r="D50"/>
  <c r="D46"/>
  <c r="C46"/>
  <c r="D42"/>
  <c r="C42"/>
  <c r="D38"/>
  <c r="C38"/>
  <c r="D34"/>
  <c r="C34"/>
  <c r="D30"/>
  <c r="C30"/>
  <c r="D26"/>
  <c r="C26"/>
  <c r="D22"/>
  <c r="C22"/>
  <c r="D84" i="1"/>
  <c r="D80"/>
  <c r="D76"/>
  <c r="D72"/>
  <c r="D68"/>
  <c r="D64"/>
  <c r="D60"/>
  <c r="D56"/>
  <c r="D52"/>
  <c r="D48"/>
  <c r="D44"/>
  <c r="D40"/>
  <c r="D36"/>
  <c r="D32"/>
  <c r="D28"/>
  <c r="D24"/>
  <c r="D26" i="14"/>
  <c r="D61" i="8"/>
  <c r="D57"/>
  <c r="D53"/>
  <c r="D49"/>
  <c r="D45"/>
  <c r="D41"/>
  <c r="D37"/>
  <c r="D33"/>
  <c r="D29"/>
  <c r="D25"/>
  <c r="D37" i="36"/>
  <c r="D33"/>
  <c r="D29"/>
  <c r="D25"/>
  <c r="D21"/>
  <c r="D85" i="2"/>
  <c r="D81"/>
  <c r="D77"/>
  <c r="D73"/>
  <c r="D69"/>
  <c r="D65"/>
  <c r="D61"/>
  <c r="D57"/>
  <c r="D53"/>
  <c r="D49"/>
  <c r="C49"/>
  <c r="D45"/>
  <c r="C45"/>
  <c r="D41"/>
  <c r="C41"/>
  <c r="D37"/>
  <c r="C37"/>
  <c r="D33"/>
  <c r="C33"/>
  <c r="D29"/>
  <c r="C29"/>
  <c r="D25"/>
  <c r="C25"/>
  <c r="D21"/>
  <c r="C21"/>
  <c r="D87" i="1"/>
  <c r="D83"/>
  <c r="D79"/>
  <c r="D75"/>
  <c r="D71"/>
  <c r="D67"/>
  <c r="D63"/>
  <c r="D59"/>
  <c r="D55"/>
  <c r="D51"/>
  <c r="D47"/>
  <c r="D43"/>
  <c r="D39"/>
  <c r="D35"/>
  <c r="C53" i="8"/>
  <c r="C37"/>
  <c r="C21"/>
  <c r="C25" i="36"/>
  <c r="D70" i="1"/>
  <c r="D66"/>
  <c r="D62"/>
  <c r="D58"/>
  <c r="D54"/>
  <c r="D50"/>
  <c r="D46"/>
  <c r="D42"/>
  <c r="D38"/>
  <c r="D34"/>
  <c r="D30"/>
  <c r="D26"/>
  <c r="C57" i="8"/>
  <c r="C41"/>
  <c r="C25"/>
  <c r="C29" i="36"/>
  <c r="D44" i="14"/>
  <c r="D40"/>
  <c r="D36"/>
  <c r="D32"/>
  <c r="D28"/>
  <c r="D24"/>
  <c r="D88" i="8"/>
  <c r="D67"/>
  <c r="D63"/>
  <c r="D59"/>
  <c r="D55"/>
  <c r="D51"/>
  <c r="D47"/>
  <c r="D43"/>
  <c r="D39"/>
  <c r="D35"/>
  <c r="D31"/>
  <c r="D27"/>
  <c r="D23"/>
  <c r="D39" i="36"/>
  <c r="D35"/>
  <c r="D31"/>
  <c r="D27"/>
  <c r="D23"/>
  <c r="D87" i="2"/>
  <c r="D83"/>
  <c r="D79"/>
  <c r="D75"/>
  <c r="D71"/>
  <c r="D67"/>
  <c r="D63"/>
  <c r="D59"/>
  <c r="D55"/>
  <c r="D51"/>
  <c r="D47"/>
  <c r="C47"/>
  <c r="D43"/>
  <c r="C43"/>
  <c r="D39"/>
  <c r="C39"/>
  <c r="D35"/>
  <c r="C35"/>
  <c r="D31"/>
  <c r="C31"/>
  <c r="D27"/>
  <c r="C27"/>
  <c r="D23"/>
  <c r="C23"/>
  <c r="D85" i="1"/>
  <c r="D81"/>
  <c r="D77"/>
  <c r="D73"/>
  <c r="D69"/>
  <c r="D65"/>
  <c r="D61"/>
  <c r="D57"/>
  <c r="D53"/>
  <c r="D49"/>
  <c r="D45"/>
  <c r="D41"/>
  <c r="D37"/>
  <c r="D33"/>
  <c r="D29"/>
  <c r="D25"/>
  <c r="C67" i="8"/>
  <c r="C61"/>
  <c r="C51"/>
  <c r="C45"/>
  <c r="C35"/>
  <c r="C29"/>
  <c r="C39" i="36"/>
  <c r="C33"/>
  <c r="C23"/>
  <c r="D31" i="1"/>
  <c r="D27"/>
  <c r="D23"/>
  <c r="D86"/>
  <c r="D78"/>
  <c r="D74"/>
  <c r="D82"/>
  <c r="G39" i="10"/>
  <c r="G35"/>
  <c r="G31"/>
  <c r="G27"/>
  <c r="G53"/>
  <c r="G38"/>
  <c r="G34"/>
  <c r="G30"/>
  <c r="G26"/>
  <c r="G22"/>
  <c r="G41"/>
  <c r="G37"/>
  <c r="G33"/>
  <c r="G29"/>
  <c r="G21"/>
  <c r="G40"/>
  <c r="G36"/>
  <c r="G32"/>
  <c r="G28"/>
  <c r="I5" i="35"/>
  <c r="I9"/>
  <c r="I13"/>
  <c r="I17"/>
  <c r="I21"/>
  <c r="I25"/>
  <c r="I29"/>
  <c r="I33"/>
  <c r="I37"/>
  <c r="I41"/>
  <c r="I45"/>
  <c r="I49"/>
  <c r="I53"/>
  <c r="I57"/>
  <c r="I61"/>
  <c r="I65"/>
  <c r="I70"/>
  <c r="I2"/>
  <c r="I7"/>
  <c r="I12"/>
  <c r="I18"/>
  <c r="I23"/>
  <c r="I28"/>
  <c r="I34"/>
  <c r="I39"/>
  <c r="I44"/>
  <c r="I50"/>
  <c r="I55"/>
  <c r="I60"/>
  <c r="I68"/>
  <c r="I72"/>
  <c r="I76"/>
  <c r="I80"/>
  <c r="I84"/>
  <c r="I88"/>
  <c r="I92"/>
  <c r="I96"/>
  <c r="I100"/>
  <c r="I104"/>
  <c r="I108"/>
  <c r="I112"/>
  <c r="I116"/>
  <c r="I120"/>
  <c r="I124"/>
  <c r="I128"/>
  <c r="I3"/>
  <c r="I8"/>
  <c r="I14"/>
  <c r="I19"/>
  <c r="I24"/>
  <c r="I30"/>
  <c r="I35"/>
  <c r="I40"/>
  <c r="I46"/>
  <c r="I51"/>
  <c r="I56"/>
  <c r="I62"/>
  <c r="I73"/>
  <c r="I77"/>
  <c r="I81"/>
  <c r="I85"/>
  <c r="I89"/>
  <c r="I93"/>
  <c r="I97"/>
  <c r="I101"/>
  <c r="I105"/>
  <c r="I109"/>
  <c r="I113"/>
  <c r="I117"/>
  <c r="I121"/>
  <c r="I125"/>
  <c r="I129"/>
  <c r="I4"/>
  <c r="I10"/>
  <c r="I15"/>
  <c r="I20"/>
  <c r="I26"/>
  <c r="I31"/>
  <c r="I36"/>
  <c r="I42"/>
  <c r="I47"/>
  <c r="I52"/>
  <c r="I58"/>
  <c r="I63"/>
  <c r="I74"/>
  <c r="I78"/>
  <c r="I82"/>
  <c r="I86"/>
  <c r="I90"/>
  <c r="I94"/>
  <c r="I98"/>
  <c r="I102"/>
  <c r="I106"/>
  <c r="I110"/>
  <c r="I114"/>
  <c r="I118"/>
  <c r="I122"/>
  <c r="I126"/>
  <c r="I6"/>
  <c r="I11"/>
  <c r="I16"/>
  <c r="I22"/>
  <c r="I27"/>
  <c r="I32"/>
  <c r="I38"/>
  <c r="I43"/>
  <c r="I48"/>
  <c r="I54"/>
  <c r="I59"/>
  <c r="I64"/>
  <c r="I71"/>
  <c r="I75"/>
  <c r="I79"/>
  <c r="I83"/>
  <c r="I87"/>
  <c r="I91"/>
  <c r="I95"/>
  <c r="I99"/>
  <c r="I103"/>
  <c r="I107"/>
  <c r="I111"/>
  <c r="I115"/>
  <c r="I119"/>
  <c r="I123"/>
  <c r="I127"/>
  <c r="K18" i="8"/>
  <c r="P5" i="33" a="1"/>
  <c r="P5" s="1"/>
  <c r="D78" i="14"/>
  <c r="D38"/>
  <c r="C37" i="36"/>
  <c r="C68" i="8"/>
  <c r="C60"/>
  <c r="C52"/>
  <c r="D42" i="14"/>
  <c r="D34"/>
  <c r="C49" i="8"/>
  <c r="I323" i="35"/>
  <c r="I319"/>
  <c r="I315"/>
  <c r="I311"/>
  <c r="I307"/>
  <c r="I303"/>
  <c r="I299"/>
  <c r="I295"/>
  <c r="I291"/>
  <c r="I288"/>
  <c r="I284"/>
  <c r="I280"/>
  <c r="I277"/>
  <c r="I273"/>
  <c r="I269"/>
  <c r="I263"/>
  <c r="I259"/>
  <c r="I253"/>
  <c r="I247"/>
  <c r="I243"/>
  <c r="I239"/>
  <c r="I235"/>
  <c r="I232"/>
  <c r="I229"/>
  <c r="I227"/>
  <c r="I219"/>
  <c r="I214"/>
  <c r="I210"/>
  <c r="I206"/>
  <c r="I203"/>
  <c r="I200"/>
  <c r="I195"/>
  <c r="I191"/>
  <c r="I187"/>
  <c r="I183"/>
  <c r="I180"/>
  <c r="I177"/>
  <c r="I172"/>
  <c r="I168"/>
  <c r="I165"/>
  <c r="I162"/>
  <c r="I157"/>
  <c r="I153"/>
  <c r="I149"/>
  <c r="I145"/>
  <c r="I141"/>
  <c r="I137"/>
  <c r="I131"/>
  <c r="I356"/>
  <c r="I322"/>
  <c r="I318"/>
  <c r="I314"/>
  <c r="I310"/>
  <c r="I306"/>
  <c r="I302"/>
  <c r="I298"/>
  <c r="I294"/>
  <c r="I290"/>
  <c r="I287"/>
  <c r="I283"/>
  <c r="I279"/>
  <c r="I276"/>
  <c r="I272"/>
  <c r="I268"/>
  <c r="I265"/>
  <c r="I262"/>
  <c r="I258"/>
  <c r="I255"/>
  <c r="I252"/>
  <c r="I246"/>
  <c r="I242"/>
  <c r="I238"/>
  <c r="I234"/>
  <c r="I231"/>
  <c r="I226"/>
  <c r="I223"/>
  <c r="I217"/>
  <c r="I213"/>
  <c r="I209"/>
  <c r="I205"/>
  <c r="I202"/>
  <c r="I199"/>
  <c r="I194"/>
  <c r="I190"/>
  <c r="I186"/>
  <c r="I182"/>
  <c r="I179"/>
  <c r="I176"/>
  <c r="I171"/>
  <c r="I167"/>
  <c r="I164"/>
  <c r="I161"/>
  <c r="I156"/>
  <c r="I152"/>
  <c r="I148"/>
  <c r="I144"/>
  <c r="I140"/>
  <c r="I136"/>
  <c r="I134"/>
  <c r="I325"/>
  <c r="I321"/>
  <c r="I317"/>
  <c r="I313"/>
  <c r="I309"/>
  <c r="I305"/>
  <c r="I301"/>
  <c r="I297"/>
  <c r="I293"/>
  <c r="I286"/>
  <c r="I282"/>
  <c r="I271"/>
  <c r="I267"/>
  <c r="I264"/>
  <c r="I261"/>
  <c r="I257"/>
  <c r="I254"/>
  <c r="I250"/>
  <c r="I245"/>
  <c r="I241"/>
  <c r="I237"/>
  <c r="I222"/>
  <c r="I216"/>
  <c r="I212"/>
  <c r="I208"/>
  <c r="I201"/>
  <c r="I198"/>
  <c r="I193"/>
  <c r="I189"/>
  <c r="I185"/>
  <c r="I181"/>
  <c r="I178"/>
  <c r="I175"/>
  <c r="I170"/>
  <c r="I166"/>
  <c r="I160"/>
  <c r="I155"/>
  <c r="I151"/>
  <c r="I147"/>
  <c r="I143"/>
  <c r="I139"/>
  <c r="I133"/>
  <c r="I324"/>
  <c r="I320"/>
  <c r="I316"/>
  <c r="I312"/>
  <c r="I308"/>
  <c r="I304"/>
  <c r="I300"/>
  <c r="I296"/>
  <c r="I292"/>
  <c r="I289"/>
  <c r="I285"/>
  <c r="I281"/>
  <c r="I278"/>
  <c r="I275"/>
  <c r="I270"/>
  <c r="I266"/>
  <c r="I260"/>
  <c r="I256"/>
  <c r="I249"/>
  <c r="I244"/>
  <c r="I240"/>
  <c r="I236"/>
  <c r="I233"/>
  <c r="I230"/>
  <c r="I228"/>
  <c r="I225"/>
  <c r="I220"/>
  <c r="I215"/>
  <c r="I211"/>
  <c r="I207"/>
  <c r="I204"/>
  <c r="I197"/>
  <c r="I192"/>
  <c r="I188"/>
  <c r="I184"/>
  <c r="I174"/>
  <c r="I169"/>
  <c r="I163"/>
  <c r="I158"/>
  <c r="I154"/>
  <c r="I150"/>
  <c r="I146"/>
  <c r="I142"/>
  <c r="I138"/>
  <c r="I135"/>
  <c r="I132"/>
  <c r="G2" i="37"/>
  <c r="G3"/>
  <c r="G4"/>
  <c r="G5"/>
  <c r="G6"/>
  <c r="G7"/>
  <c r="G8"/>
  <c r="G9"/>
  <c r="G10"/>
  <c r="G11"/>
  <c r="G12"/>
  <c r="G13"/>
  <c r="G14"/>
  <c r="G15"/>
  <c r="G16"/>
  <c r="G17"/>
  <c r="G18"/>
  <c r="G19"/>
  <c r="D56" i="8"/>
  <c r="D46" i="14"/>
  <c r="D49"/>
  <c r="D48"/>
  <c r="C63" i="8"/>
  <c r="C23"/>
  <c r="C43"/>
  <c r="D37" i="14"/>
  <c r="C64" i="8"/>
  <c r="D52"/>
  <c r="D44"/>
  <c r="D36"/>
  <c r="C32"/>
  <c r="C41" i="36"/>
  <c r="C32"/>
  <c r="C24"/>
  <c r="D76" i="2"/>
  <c r="D68"/>
  <c r="D48"/>
  <c r="D40"/>
  <c r="C36"/>
  <c r="C28"/>
  <c r="K19" i="8"/>
  <c r="D68"/>
  <c r="D76" i="14"/>
  <c r="D72"/>
  <c r="D64"/>
  <c r="D51"/>
  <c r="D21"/>
  <c r="D63"/>
  <c r="D29"/>
  <c r="D45"/>
  <c r="C65" i="8"/>
  <c r="D41" i="14"/>
  <c r="D75"/>
  <c r="D67"/>
  <c r="D58"/>
  <c r="D50"/>
  <c r="I355" i="35"/>
  <c r="I354"/>
  <c r="I353"/>
  <c r="I352"/>
  <c r="I351"/>
  <c r="I350"/>
  <c r="I349"/>
  <c r="I348"/>
  <c r="I347"/>
  <c r="I346"/>
  <c r="I345"/>
  <c r="I344"/>
  <c r="I343"/>
  <c r="I341"/>
  <c r="I340"/>
  <c r="I339"/>
  <c r="I338"/>
  <c r="I337"/>
  <c r="I336"/>
  <c r="I335"/>
  <c r="I334"/>
  <c r="I333"/>
  <c r="I332"/>
  <c r="I331"/>
  <c r="I330"/>
  <c r="I329"/>
  <c r="I328"/>
  <c r="I327"/>
  <c r="I326"/>
  <c r="G20" i="37"/>
  <c r="B17" i="32"/>
  <c r="Z37"/>
  <c r="B106"/>
  <c r="B96"/>
  <c r="B86"/>
  <c r="B116"/>
  <c r="B79"/>
  <c r="B109"/>
  <c r="B99"/>
  <c r="B89"/>
  <c r="B114"/>
  <c r="B104"/>
  <c r="B94"/>
  <c r="B84"/>
  <c r="B78"/>
  <c r="B98"/>
  <c r="B88"/>
  <c r="B81"/>
  <c r="B111"/>
  <c r="B101"/>
  <c r="B91"/>
  <c r="Z29"/>
  <c r="AB29" s="1"/>
  <c r="D11" i="10" s="1"/>
  <c r="J7" i="32"/>
  <c r="H5" i="37"/>
  <c r="H9"/>
  <c r="G18" i="35"/>
  <c r="G22"/>
  <c r="G50"/>
  <c r="G54"/>
  <c r="G83"/>
  <c r="G87"/>
  <c r="G115"/>
  <c r="G119"/>
  <c r="G146"/>
  <c r="G150"/>
  <c r="G188"/>
  <c r="G192"/>
  <c r="G225"/>
  <c r="G228"/>
  <c r="G256"/>
  <c r="G260"/>
  <c r="G289"/>
  <c r="G292"/>
  <c r="H10" i="37"/>
  <c r="H14"/>
  <c r="G23" i="35"/>
  <c r="G27"/>
  <c r="G55"/>
  <c r="G59"/>
  <c r="G92"/>
  <c r="G96"/>
  <c r="G124"/>
  <c r="G128"/>
  <c r="G160"/>
  <c r="G166"/>
  <c r="G193"/>
  <c r="G198"/>
  <c r="G241"/>
  <c r="G245"/>
  <c r="G271"/>
  <c r="G282"/>
  <c r="H7" i="37"/>
  <c r="H11"/>
  <c r="G20" i="35"/>
  <c r="G24"/>
  <c r="G52"/>
  <c r="G56"/>
  <c r="G89"/>
  <c r="G93"/>
  <c r="G121"/>
  <c r="G125"/>
  <c r="G152"/>
  <c r="G156"/>
  <c r="G182"/>
  <c r="G186"/>
  <c r="G213"/>
  <c r="G217"/>
  <c r="G246"/>
  <c r="G252"/>
  <c r="G276"/>
  <c r="G279"/>
  <c r="G306"/>
  <c r="H4" i="37"/>
  <c r="G13" i="35"/>
  <c r="G17"/>
  <c r="G45"/>
  <c r="G49"/>
  <c r="G78"/>
  <c r="G82"/>
  <c r="G110"/>
  <c r="G114"/>
  <c r="G145"/>
  <c r="G149"/>
  <c r="G177"/>
  <c r="G180"/>
  <c r="G206"/>
  <c r="G210"/>
  <c r="G239"/>
  <c r="G243"/>
  <c r="G277"/>
  <c r="G280"/>
  <c r="G307"/>
  <c r="G309"/>
  <c r="G337"/>
  <c r="G341"/>
  <c r="G349"/>
  <c r="G310"/>
  <c r="G338"/>
  <c r="G343"/>
  <c r="G340"/>
  <c r="G353"/>
  <c r="G319"/>
  <c r="G323"/>
  <c r="G335"/>
  <c r="G339"/>
  <c r="G352"/>
  <c r="G355"/>
  <c r="G345"/>
  <c r="G356"/>
  <c r="B74" i="32"/>
  <c r="Y6" i="33"/>
  <c r="Y5"/>
  <c r="B108" i="32"/>
  <c r="E57" i="31"/>
  <c r="D62"/>
  <c r="C62"/>
  <c r="D66" i="8"/>
  <c r="D27" i="14"/>
  <c r="D33"/>
  <c r="D56"/>
  <c r="D52"/>
  <c r="D64" i="8"/>
  <c r="D57" i="14"/>
  <c r="C59" i="8"/>
  <c r="D25" i="14"/>
  <c r="D53"/>
  <c r="D65" i="8"/>
  <c r="D22" i="14"/>
  <c r="D62" i="8"/>
  <c r="D31" i="14"/>
  <c r="D43"/>
  <c r="D54"/>
  <c r="D47"/>
  <c r="D62"/>
  <c r="D85"/>
  <c r="D86"/>
  <c r="B14" i="37"/>
  <c r="H111" i="35"/>
  <c r="H195"/>
  <c r="H140"/>
  <c r="H285"/>
  <c r="H349"/>
  <c r="H157"/>
  <c r="H254"/>
  <c r="H128"/>
  <c r="H238"/>
  <c r="H290"/>
  <c r="D35" i="14"/>
  <c r="D70"/>
  <c r="D61"/>
  <c r="D65"/>
  <c r="D83"/>
  <c r="D30"/>
  <c r="D68"/>
  <c r="F146" i="2"/>
  <c r="B43" i="32"/>
  <c r="D79" i="14"/>
  <c r="D71"/>
  <c r="D66"/>
  <c r="D60"/>
  <c r="D81"/>
  <c r="D69"/>
  <c r="D82"/>
  <c r="D80"/>
  <c r="D74"/>
  <c r="D73"/>
  <c r="D59"/>
  <c r="D84"/>
  <c r="G358" i="35"/>
  <c r="G361"/>
  <c r="G360"/>
  <c r="G363"/>
  <c r="AB45" i="32"/>
  <c r="G94" i="14" s="1"/>
  <c r="C14"/>
  <c r="G386" i="38"/>
  <c r="G402"/>
  <c r="G387"/>
  <c r="G403"/>
  <c r="G384"/>
  <c r="G400"/>
  <c r="G381"/>
  <c r="G397"/>
  <c r="H378"/>
  <c r="H394"/>
  <c r="H379"/>
  <c r="H395"/>
  <c r="H376"/>
  <c r="H392"/>
  <c r="H408"/>
  <c r="H389"/>
  <c r="H405"/>
  <c r="I386"/>
  <c r="I402"/>
  <c r="I387"/>
  <c r="I403"/>
  <c r="I384"/>
  <c r="I400"/>
  <c r="I381"/>
  <c r="I397"/>
  <c r="I388"/>
  <c r="I385"/>
  <c r="I398"/>
  <c r="I380"/>
  <c r="I393"/>
  <c r="G390"/>
  <c r="G406"/>
  <c r="G391"/>
  <c r="G407"/>
  <c r="G388"/>
  <c r="G404"/>
  <c r="G385"/>
  <c r="G401"/>
  <c r="H382"/>
  <c r="H398"/>
  <c r="H383"/>
  <c r="H399"/>
  <c r="H380"/>
  <c r="H396"/>
  <c r="H377"/>
  <c r="H393"/>
  <c r="H409"/>
  <c r="I390"/>
  <c r="I406"/>
  <c r="I391"/>
  <c r="I407"/>
  <c r="I404"/>
  <c r="I401"/>
  <c r="I399"/>
  <c r="I377"/>
  <c r="G378"/>
  <c r="G394"/>
  <c r="G379"/>
  <c r="G395"/>
  <c r="G376"/>
  <c r="G392"/>
  <c r="G408"/>
  <c r="G389"/>
  <c r="G405"/>
  <c r="H386"/>
  <c r="H402"/>
  <c r="H387"/>
  <c r="H403"/>
  <c r="H384"/>
  <c r="H400"/>
  <c r="H381"/>
  <c r="H397"/>
  <c r="I378"/>
  <c r="I394"/>
  <c r="I379"/>
  <c r="I395"/>
  <c r="I376"/>
  <c r="I392"/>
  <c r="I408"/>
  <c r="I389"/>
  <c r="I405"/>
  <c r="H401"/>
  <c r="I382"/>
  <c r="I383"/>
  <c r="I396"/>
  <c r="I409"/>
  <c r="G382"/>
  <c r="G398"/>
  <c r="G383"/>
  <c r="G399"/>
  <c r="G380"/>
  <c r="G396"/>
  <c r="G377"/>
  <c r="G393"/>
  <c r="G409"/>
  <c r="H390"/>
  <c r="H406"/>
  <c r="H391"/>
  <c r="H407"/>
  <c r="H388"/>
  <c r="H404"/>
  <c r="H385"/>
  <c r="L21" i="1" l="1"/>
  <c r="M28"/>
  <c r="D67" i="35"/>
  <c r="L5" i="2"/>
  <c r="F60" i="31"/>
  <c r="F59"/>
  <c r="E59"/>
  <c r="D59"/>
  <c r="C59"/>
  <c r="F58"/>
  <c r="E58"/>
  <c r="D58"/>
  <c r="C58"/>
  <c r="F61"/>
  <c r="E61"/>
  <c r="D61"/>
  <c r="C61"/>
  <c r="G61" s="1"/>
  <c r="C16" i="14" s="1"/>
  <c r="E60" i="31"/>
  <c r="D60"/>
  <c r="C60"/>
  <c r="G6" i="35"/>
  <c r="G67"/>
  <c r="H421" i="34"/>
  <c r="G421"/>
  <c r="G441"/>
  <c r="H441"/>
  <c r="C418" i="38"/>
  <c r="C422"/>
  <c r="C426"/>
  <c r="C430"/>
  <c r="C434"/>
  <c r="C438"/>
  <c r="F5" i="37"/>
  <c r="F9"/>
  <c r="F13"/>
  <c r="F17"/>
  <c r="F21"/>
  <c r="F25"/>
  <c r="F29"/>
  <c r="F33"/>
  <c r="C419" i="38"/>
  <c r="C423"/>
  <c r="C427"/>
  <c r="C431"/>
  <c r="C435"/>
  <c r="C439"/>
  <c r="F2" i="37"/>
  <c r="F6"/>
  <c r="F10"/>
  <c r="F14"/>
  <c r="F18"/>
  <c r="F22"/>
  <c r="F26"/>
  <c r="F30"/>
  <c r="F34"/>
  <c r="C420" i="38"/>
  <c r="C424"/>
  <c r="C428"/>
  <c r="C432"/>
  <c r="C436"/>
  <c r="C440"/>
  <c r="F3" i="37"/>
  <c r="F7"/>
  <c r="F11"/>
  <c r="F15"/>
  <c r="F19"/>
  <c r="F23"/>
  <c r="F27"/>
  <c r="F31"/>
  <c r="F35"/>
  <c r="F16"/>
  <c r="F24"/>
  <c r="F32"/>
  <c r="C417" i="38"/>
  <c r="C421"/>
  <c r="C425"/>
  <c r="C429"/>
  <c r="C433"/>
  <c r="C437"/>
  <c r="C441"/>
  <c r="F4" i="37"/>
  <c r="F8"/>
  <c r="F12"/>
  <c r="F20"/>
  <c r="F28"/>
  <c r="G43" i="36"/>
  <c r="G90" i="8"/>
  <c r="H56" i="10"/>
  <c r="Z31" i="32"/>
  <c r="F167" i="1"/>
  <c r="G146" i="2"/>
  <c r="M123" i="1"/>
  <c r="J437" i="34"/>
  <c r="D14" i="10"/>
  <c r="I421" i="34"/>
  <c r="J421"/>
  <c r="G453"/>
  <c r="J453"/>
  <c r="P5" i="10"/>
  <c r="J5" i="14"/>
  <c r="AB33" i="32"/>
  <c r="C14" i="36"/>
  <c r="C14" i="8"/>
  <c r="C11" i="36"/>
  <c r="C11" i="8"/>
  <c r="C11" i="14"/>
  <c r="I425" i="34"/>
  <c r="G364" i="35"/>
  <c r="G362"/>
  <c r="C57" i="31"/>
  <c r="G324" i="35"/>
  <c r="G348"/>
  <c r="G331"/>
  <c r="G315"/>
  <c r="G332"/>
  <c r="G326"/>
  <c r="G312"/>
  <c r="G325"/>
  <c r="G295"/>
  <c r="G263"/>
  <c r="G229"/>
  <c r="G195"/>
  <c r="G165"/>
  <c r="G131"/>
  <c r="G98"/>
  <c r="G65"/>
  <c r="G33"/>
  <c r="H20" i="37"/>
  <c r="G294" i="35"/>
  <c r="G265"/>
  <c r="G234"/>
  <c r="G202"/>
  <c r="G171"/>
  <c r="G140"/>
  <c r="G109"/>
  <c r="G77"/>
  <c r="G40"/>
  <c r="G8"/>
  <c r="G301"/>
  <c r="G261"/>
  <c r="G216"/>
  <c r="G181"/>
  <c r="G147"/>
  <c r="G112"/>
  <c r="G80"/>
  <c r="G43"/>
  <c r="G11"/>
  <c r="G308"/>
  <c r="G278"/>
  <c r="G240"/>
  <c r="G211"/>
  <c r="G169"/>
  <c r="G135"/>
  <c r="G103"/>
  <c r="G71"/>
  <c r="G38"/>
  <c r="G425" i="34"/>
  <c r="J425"/>
  <c r="H425"/>
  <c r="H13" i="37"/>
  <c r="G10" i="35"/>
  <c r="G26"/>
  <c r="G42"/>
  <c r="G58"/>
  <c r="G75"/>
  <c r="G91"/>
  <c r="G107"/>
  <c r="G123"/>
  <c r="G138"/>
  <c r="G154"/>
  <c r="G174"/>
  <c r="G197"/>
  <c r="G215"/>
  <c r="G230"/>
  <c r="G244"/>
  <c r="G266"/>
  <c r="G281"/>
  <c r="G296"/>
  <c r="H2" i="37"/>
  <c r="H18"/>
  <c r="G15" i="35"/>
  <c r="G31"/>
  <c r="G47"/>
  <c r="G63"/>
  <c r="G84"/>
  <c r="G100"/>
  <c r="G116"/>
  <c r="G133"/>
  <c r="G151"/>
  <c r="G170"/>
  <c r="G185"/>
  <c r="G201"/>
  <c r="G222"/>
  <c r="G250"/>
  <c r="G264"/>
  <c r="G286"/>
  <c r="G305"/>
  <c r="H15" i="37"/>
  <c r="G12" i="35"/>
  <c r="G28"/>
  <c r="G44"/>
  <c r="G60"/>
  <c r="G81"/>
  <c r="G97"/>
  <c r="G113"/>
  <c r="G129"/>
  <c r="G144"/>
  <c r="G161"/>
  <c r="G176"/>
  <c r="G190"/>
  <c r="G205"/>
  <c r="G223"/>
  <c r="G238"/>
  <c r="G255"/>
  <c r="G268"/>
  <c r="G283"/>
  <c r="G298"/>
  <c r="H8" i="37"/>
  <c r="G5" i="35"/>
  <c r="G21"/>
  <c r="G37"/>
  <c r="G53"/>
  <c r="G70"/>
  <c r="G86"/>
  <c r="G102"/>
  <c r="G118"/>
  <c r="G137"/>
  <c r="G153"/>
  <c r="G168"/>
  <c r="G183"/>
  <c r="G200"/>
  <c r="G214"/>
  <c r="G232"/>
  <c r="G247"/>
  <c r="G269"/>
  <c r="G284"/>
  <c r="G299"/>
  <c r="G313"/>
  <c r="G329"/>
  <c r="G346"/>
  <c r="G328"/>
  <c r="G314"/>
  <c r="G330"/>
  <c r="G347"/>
  <c r="H17" i="37"/>
  <c r="G14" i="35"/>
  <c r="G30"/>
  <c r="G46"/>
  <c r="G62"/>
  <c r="G79"/>
  <c r="G95"/>
  <c r="G111"/>
  <c r="G127"/>
  <c r="G142"/>
  <c r="G158"/>
  <c r="G184"/>
  <c r="G204"/>
  <c r="G220"/>
  <c r="G233"/>
  <c r="G249"/>
  <c r="G270"/>
  <c r="G285"/>
  <c r="G300"/>
  <c r="H6" i="37"/>
  <c r="G3" i="35"/>
  <c r="G19"/>
  <c r="G35"/>
  <c r="G51"/>
  <c r="G72"/>
  <c r="G88"/>
  <c r="G104"/>
  <c r="G120"/>
  <c r="G139"/>
  <c r="G155"/>
  <c r="G175"/>
  <c r="G189"/>
  <c r="G208"/>
  <c r="G237"/>
  <c r="G254"/>
  <c r="G267"/>
  <c r="G293"/>
  <c r="H3" i="37"/>
  <c r="H19"/>
  <c r="G16" i="35"/>
  <c r="G32"/>
  <c r="G48"/>
  <c r="G64"/>
  <c r="G85"/>
  <c r="G101"/>
  <c r="G117"/>
  <c r="G134"/>
  <c r="G148"/>
  <c r="G164"/>
  <c r="G179"/>
  <c r="G194"/>
  <c r="G209"/>
  <c r="G226"/>
  <c r="G242"/>
  <c r="G258"/>
  <c r="G272"/>
  <c r="G287"/>
  <c r="G302"/>
  <c r="H12" i="37"/>
  <c r="G9" i="35"/>
  <c r="G25"/>
  <c r="G41"/>
  <c r="G57"/>
  <c r="G74"/>
  <c r="G90"/>
  <c r="G106"/>
  <c r="G122"/>
  <c r="G141"/>
  <c r="G157"/>
  <c r="G172"/>
  <c r="G187"/>
  <c r="G203"/>
  <c r="G219"/>
  <c r="G235"/>
  <c r="G253"/>
  <c r="G273"/>
  <c r="G288"/>
  <c r="G303"/>
  <c r="G317"/>
  <c r="G333"/>
  <c r="G350"/>
  <c r="G336"/>
  <c r="G318"/>
  <c r="G334"/>
  <c r="G351"/>
  <c r="G357"/>
  <c r="E62" i="31"/>
  <c r="G316" i="35"/>
  <c r="G344"/>
  <c r="G327"/>
  <c r="G311"/>
  <c r="G320"/>
  <c r="G322"/>
  <c r="G354"/>
  <c r="G321"/>
  <c r="G291"/>
  <c r="G259"/>
  <c r="G227"/>
  <c r="G191"/>
  <c r="G162"/>
  <c r="G126"/>
  <c r="G94"/>
  <c r="G61"/>
  <c r="G29"/>
  <c r="H16" i="37"/>
  <c r="G290" i="35"/>
  <c r="G262"/>
  <c r="G231"/>
  <c r="G199"/>
  <c r="G167"/>
  <c r="G136"/>
  <c r="G105"/>
  <c r="G73"/>
  <c r="G36"/>
  <c r="G4"/>
  <c r="G297"/>
  <c r="G257"/>
  <c r="G212"/>
  <c r="G178"/>
  <c r="G143"/>
  <c r="G108"/>
  <c r="G76"/>
  <c r="G39"/>
  <c r="G7"/>
  <c r="G304"/>
  <c r="G275"/>
  <c r="G236"/>
  <c r="G207"/>
  <c r="G163"/>
  <c r="G132"/>
  <c r="G99"/>
  <c r="G68"/>
  <c r="G34"/>
  <c r="G2"/>
  <c r="H437" i="34"/>
  <c r="G437"/>
  <c r="G398" i="35"/>
  <c r="G402"/>
  <c r="G406"/>
  <c r="G382"/>
  <c r="G386"/>
  <c r="G390"/>
  <c r="G394"/>
  <c r="G399"/>
  <c r="G403"/>
  <c r="G407"/>
  <c r="G383"/>
  <c r="G387"/>
  <c r="G391"/>
  <c r="G395"/>
  <c r="G400"/>
  <c r="G404"/>
  <c r="G408"/>
  <c r="G384"/>
  <c r="G388"/>
  <c r="G392"/>
  <c r="G396"/>
  <c r="G401"/>
  <c r="G405"/>
  <c r="G385"/>
  <c r="G389"/>
  <c r="G393"/>
  <c r="G397"/>
  <c r="AB31" i="32"/>
  <c r="D12" i="10" s="1"/>
  <c r="H358" i="35"/>
  <c r="H214"/>
  <c r="H350"/>
  <c r="H126"/>
  <c r="H262"/>
  <c r="H344"/>
  <c r="H249"/>
  <c r="H306"/>
  <c r="H148"/>
  <c r="H282"/>
  <c r="P8" i="33" a="1"/>
  <c r="P8" s="1"/>
  <c r="H171" i="35"/>
  <c r="H239"/>
  <c r="H142"/>
  <c r="B15" i="37"/>
  <c r="O8" i="33" a="1"/>
  <c r="O8" s="1"/>
  <c r="H338" i="35"/>
  <c r="H276"/>
  <c r="H189"/>
  <c r="H106"/>
  <c r="H329"/>
  <c r="H213"/>
  <c r="H100"/>
  <c r="H328"/>
  <c r="H231"/>
  <c r="H109"/>
  <c r="H311"/>
  <c r="H155"/>
  <c r="H220"/>
  <c r="H79"/>
  <c r="B5" i="37"/>
  <c r="H322" i="35"/>
  <c r="H259"/>
  <c r="H168"/>
  <c r="H85"/>
  <c r="H305"/>
  <c r="H187"/>
  <c r="H73"/>
  <c r="H304"/>
  <c r="H198"/>
  <c r="H82"/>
  <c r="H280"/>
  <c r="H108"/>
  <c r="H184"/>
  <c r="B10" i="37"/>
  <c r="B401" i="35"/>
  <c r="H407"/>
  <c r="B387"/>
  <c r="B395"/>
  <c r="H385"/>
  <c r="H393"/>
  <c r="C5" i="38"/>
  <c r="C9"/>
  <c r="C13"/>
  <c r="C17"/>
  <c r="C21"/>
  <c r="C25"/>
  <c r="C29"/>
  <c r="C33"/>
  <c r="C37"/>
  <c r="C41"/>
  <c r="C45"/>
  <c r="C49"/>
  <c r="C201"/>
  <c r="C207"/>
  <c r="C212"/>
  <c r="C217"/>
  <c r="C223"/>
  <c r="C228"/>
  <c r="C233"/>
  <c r="C239"/>
  <c r="C244"/>
  <c r="C249"/>
  <c r="C255"/>
  <c r="C260"/>
  <c r="C265"/>
  <c r="C271"/>
  <c r="C276"/>
  <c r="B407" i="35"/>
  <c r="H405"/>
  <c r="B385"/>
  <c r="B393"/>
  <c r="H383"/>
  <c r="H391"/>
  <c r="H399"/>
  <c r="C415" i="38"/>
  <c r="C4"/>
  <c r="C8"/>
  <c r="C12"/>
  <c r="C16"/>
  <c r="C20"/>
  <c r="C24"/>
  <c r="C28"/>
  <c r="C32"/>
  <c r="C36"/>
  <c r="C40"/>
  <c r="C44"/>
  <c r="C48"/>
  <c r="C205"/>
  <c r="C211"/>
  <c r="C216"/>
  <c r="C221"/>
  <c r="C227"/>
  <c r="C232"/>
  <c r="C237"/>
  <c r="C243"/>
  <c r="C248"/>
  <c r="C253"/>
  <c r="C259"/>
  <c r="C264"/>
  <c r="C269"/>
  <c r="C275"/>
  <c r="C279"/>
  <c r="C283"/>
  <c r="C289"/>
  <c r="C294"/>
  <c r="C298"/>
  <c r="C302"/>
  <c r="C306"/>
  <c r="C310"/>
  <c r="B405" i="35"/>
  <c r="B397"/>
  <c r="H395"/>
  <c r="C7" i="38"/>
  <c r="C15"/>
  <c r="C23"/>
  <c r="C31"/>
  <c r="C39"/>
  <c r="C47"/>
  <c r="C209"/>
  <c r="C220"/>
  <c r="C231"/>
  <c r="C241"/>
  <c r="C252"/>
  <c r="C263"/>
  <c r="C273"/>
  <c r="C281"/>
  <c r="C287"/>
  <c r="C295"/>
  <c r="C300"/>
  <c r="C305"/>
  <c r="C311"/>
  <c r="C315"/>
  <c r="C319"/>
  <c r="C323"/>
  <c r="C327"/>
  <c r="C331"/>
  <c r="C335"/>
  <c r="C339"/>
  <c r="C343"/>
  <c r="C347"/>
  <c r="C351"/>
  <c r="C355"/>
  <c r="C359"/>
  <c r="C363"/>
  <c r="C367"/>
  <c r="C371"/>
  <c r="C375"/>
  <c r="C379"/>
  <c r="C383"/>
  <c r="C387"/>
  <c r="C391"/>
  <c r="C395"/>
  <c r="C399"/>
  <c r="C403"/>
  <c r="C407"/>
  <c r="B34" i="37"/>
  <c r="B25"/>
  <c r="B29"/>
  <c r="B383" i="35"/>
  <c r="B399"/>
  <c r="H397"/>
  <c r="C411" i="38"/>
  <c r="C2"/>
  <c r="C10"/>
  <c r="C18"/>
  <c r="C26"/>
  <c r="C34"/>
  <c r="C42"/>
  <c r="C203"/>
  <c r="C213"/>
  <c r="C224"/>
  <c r="C235"/>
  <c r="C245"/>
  <c r="C256"/>
  <c r="C267"/>
  <c r="C277"/>
  <c r="C282"/>
  <c r="C290"/>
  <c r="C296"/>
  <c r="C301"/>
  <c r="C307"/>
  <c r="C312"/>
  <c r="C316"/>
  <c r="C320"/>
  <c r="C324"/>
  <c r="C328"/>
  <c r="C332"/>
  <c r="C336"/>
  <c r="C340"/>
  <c r="C344"/>
  <c r="C348"/>
  <c r="C352"/>
  <c r="C356"/>
  <c r="C360"/>
  <c r="C364"/>
  <c r="C368"/>
  <c r="C372"/>
  <c r="C376"/>
  <c r="C380"/>
  <c r="C384"/>
  <c r="C388"/>
  <c r="C392"/>
  <c r="C396"/>
  <c r="C400"/>
  <c r="C404"/>
  <c r="C408"/>
  <c r="B33" i="37"/>
  <c r="B32"/>
  <c r="B28"/>
  <c r="H69" i="35"/>
  <c r="B403"/>
  <c r="H389"/>
  <c r="C11" i="38"/>
  <c r="C27"/>
  <c r="C43"/>
  <c r="C204"/>
  <c r="C225"/>
  <c r="C247"/>
  <c r="C268"/>
  <c r="C285"/>
  <c r="C297"/>
  <c r="C308"/>
  <c r="C317"/>
  <c r="C325"/>
  <c r="C333"/>
  <c r="C341"/>
  <c r="C349"/>
  <c r="C357"/>
  <c r="C365"/>
  <c r="C373"/>
  <c r="C381"/>
  <c r="C389"/>
  <c r="C397"/>
  <c r="C405"/>
  <c r="B30" i="37"/>
  <c r="B69" i="35"/>
  <c r="B389"/>
  <c r="C14" i="38"/>
  <c r="C30"/>
  <c r="C46"/>
  <c r="C208"/>
  <c r="C229"/>
  <c r="C251"/>
  <c r="C272"/>
  <c r="C286"/>
  <c r="C299"/>
  <c r="C309"/>
  <c r="C318"/>
  <c r="C326"/>
  <c r="C334"/>
  <c r="C342"/>
  <c r="C350"/>
  <c r="C358"/>
  <c r="C366"/>
  <c r="C374"/>
  <c r="C382"/>
  <c r="C390"/>
  <c r="C398"/>
  <c r="C406"/>
  <c r="B27" i="37"/>
  <c r="H401" i="35"/>
  <c r="B391"/>
  <c r="C3" i="38"/>
  <c r="C19"/>
  <c r="C35"/>
  <c r="C215"/>
  <c r="C236"/>
  <c r="C257"/>
  <c r="C291"/>
  <c r="C313"/>
  <c r="C329"/>
  <c r="C345"/>
  <c r="C361"/>
  <c r="C377"/>
  <c r="C393"/>
  <c r="C409"/>
  <c r="B31" i="37"/>
  <c r="H403" i="35"/>
  <c r="C413" i="38"/>
  <c r="C6"/>
  <c r="C219"/>
  <c r="C293"/>
  <c r="C314"/>
  <c r="C330"/>
  <c r="C346"/>
  <c r="C362"/>
  <c r="C378"/>
  <c r="C394"/>
  <c r="E2" i="34"/>
  <c r="C21" i="1" s="1"/>
  <c r="C22" i="38"/>
  <c r="C240"/>
  <c r="C303"/>
  <c r="C321"/>
  <c r="C337"/>
  <c r="C353"/>
  <c r="C369"/>
  <c r="C385"/>
  <c r="C401"/>
  <c r="C338"/>
  <c r="C402"/>
  <c r="C386"/>
  <c r="C261"/>
  <c r="C354"/>
  <c r="C322"/>
  <c r="H387" i="35"/>
  <c r="C38" i="38"/>
  <c r="C304"/>
  <c r="C370"/>
  <c r="B26" i="37"/>
  <c r="H386" i="35"/>
  <c r="B388"/>
  <c r="H400"/>
  <c r="C284" i="38"/>
  <c r="C270"/>
  <c r="C254"/>
  <c r="C238"/>
  <c r="C222"/>
  <c r="C206"/>
  <c r="C410"/>
  <c r="H388" i="35"/>
  <c r="B390"/>
  <c r="H402"/>
  <c r="B386"/>
  <c r="B382"/>
  <c r="B392"/>
  <c r="C288" i="38"/>
  <c r="C226"/>
  <c r="C414"/>
  <c r="H406" i="35"/>
  <c r="C416" i="38"/>
  <c r="H398" i="35"/>
  <c r="H382"/>
  <c r="B384"/>
  <c r="B408"/>
  <c r="C280" i="38"/>
  <c r="C266"/>
  <c r="C250"/>
  <c r="C234"/>
  <c r="C218"/>
  <c r="C202"/>
  <c r="H384" i="35"/>
  <c r="B406"/>
  <c r="B398"/>
  <c r="H404"/>
  <c r="C258" i="38"/>
  <c r="C210"/>
  <c r="H392" i="35"/>
  <c r="C412" i="38"/>
  <c r="H394" i="35"/>
  <c r="B396"/>
  <c r="H408"/>
  <c r="B404"/>
  <c r="C292" i="38"/>
  <c r="C278"/>
  <c r="C262"/>
  <c r="C246"/>
  <c r="C230"/>
  <c r="C214"/>
  <c r="H396" i="35"/>
  <c r="B402"/>
  <c r="H390"/>
  <c r="B400"/>
  <c r="C274" i="38"/>
  <c r="C242"/>
  <c r="B394" i="35"/>
  <c r="E3" i="34"/>
  <c r="C22" i="1" s="1"/>
  <c r="D402" i="35"/>
  <c r="D406"/>
  <c r="D383"/>
  <c r="D387"/>
  <c r="D391"/>
  <c r="D395"/>
  <c r="D399"/>
  <c r="D386"/>
  <c r="D394"/>
  <c r="D403"/>
  <c r="D407"/>
  <c r="D384"/>
  <c r="D388"/>
  <c r="D392"/>
  <c r="D396"/>
  <c r="D405"/>
  <c r="D400"/>
  <c r="D404"/>
  <c r="D408"/>
  <c r="D385"/>
  <c r="D389"/>
  <c r="D393"/>
  <c r="D397"/>
  <c r="D401"/>
  <c r="D382"/>
  <c r="D390"/>
  <c r="D398"/>
  <c r="J441" i="34"/>
  <c r="C31" i="37"/>
  <c r="C27"/>
  <c r="C30"/>
  <c r="C26"/>
  <c r="C34"/>
  <c r="C25"/>
  <c r="C29"/>
  <c r="C32"/>
  <c r="C33"/>
  <c r="C28"/>
  <c r="D69" i="35"/>
  <c r="F429" i="34"/>
  <c r="D29" i="10" s="1"/>
  <c r="H453" i="34"/>
  <c r="G60" i="31"/>
  <c r="F57"/>
  <c r="F62"/>
  <c r="G62" s="1"/>
  <c r="D15" i="10" s="1"/>
  <c r="D57" i="31"/>
  <c r="H31" i="37"/>
  <c r="H27"/>
  <c r="H30"/>
  <c r="H26"/>
  <c r="G69" i="35"/>
  <c r="H34" i="37"/>
  <c r="H25"/>
  <c r="H29"/>
  <c r="H33"/>
  <c r="H32"/>
  <c r="H28"/>
  <c r="F437" i="34"/>
  <c r="Q33" i="10"/>
  <c r="C18" i="1"/>
  <c r="D18" i="8"/>
  <c r="D18" i="2"/>
  <c r="C11" i="1"/>
  <c r="Q28" i="10"/>
  <c r="Q29" s="1"/>
  <c r="O29"/>
  <c r="N18"/>
  <c r="P17"/>
  <c r="K19" i="14"/>
  <c r="C18" i="8"/>
  <c r="L19"/>
  <c r="M55" i="10"/>
  <c r="I43" i="36"/>
  <c r="C8"/>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c r="F43" i="36"/>
  <c r="H55" i="10"/>
  <c r="C5" i="14"/>
  <c r="C5" i="8"/>
  <c r="C5" i="36"/>
  <c r="C5" i="1"/>
  <c r="Q6" i="10"/>
  <c r="L6" i="8"/>
  <c r="K6" i="14"/>
  <c r="L6" i="36"/>
  <c r="C148" i="2"/>
  <c r="P6" i="33" a="1"/>
  <c r="P6" s="1"/>
  <c r="I22" i="1"/>
  <c r="H330" i="35"/>
  <c r="H298"/>
  <c r="H268"/>
  <c r="H226"/>
  <c r="H179"/>
  <c r="H117"/>
  <c r="H337"/>
  <c r="H297"/>
  <c r="H237"/>
  <c r="H172"/>
  <c r="H116"/>
  <c r="H336"/>
  <c r="H296"/>
  <c r="H246"/>
  <c r="H362"/>
  <c r="H343"/>
  <c r="H326"/>
  <c r="H310"/>
  <c r="H294"/>
  <c r="H279"/>
  <c r="H264"/>
  <c r="H243"/>
  <c r="H222"/>
  <c r="H194"/>
  <c r="H175"/>
  <c r="H153"/>
  <c r="H134"/>
  <c r="H112"/>
  <c r="H90"/>
  <c r="H354"/>
  <c r="H333"/>
  <c r="H313"/>
  <c r="H286"/>
  <c r="H258"/>
  <c r="H232"/>
  <c r="H193"/>
  <c r="H167"/>
  <c r="H136"/>
  <c r="H105"/>
  <c r="H78"/>
  <c r="H353"/>
  <c r="H332"/>
  <c r="H312"/>
  <c r="H289"/>
  <c r="H270"/>
  <c r="H241"/>
  <c r="H202"/>
  <c r="H177"/>
  <c r="H151"/>
  <c r="H114"/>
  <c r="H88"/>
  <c r="H355"/>
  <c r="H323"/>
  <c r="H291"/>
  <c r="H261"/>
  <c r="H210"/>
  <c r="H170"/>
  <c r="H124"/>
  <c r="H81"/>
  <c r="H266"/>
  <c r="H230"/>
  <c r="H197"/>
  <c r="H154"/>
  <c r="H123"/>
  <c r="H91"/>
  <c r="B7" i="37"/>
  <c r="B17"/>
  <c r="B12"/>
  <c r="O5" i="33" a="1"/>
  <c r="O5" s="1"/>
  <c r="H351" i="35"/>
  <c r="H334"/>
  <c r="H318"/>
  <c r="H302"/>
  <c r="H287"/>
  <c r="H272"/>
  <c r="H255"/>
  <c r="H229"/>
  <c r="H209"/>
  <c r="H183"/>
  <c r="H164"/>
  <c r="H143"/>
  <c r="H122"/>
  <c r="H101"/>
  <c r="H74"/>
  <c r="H346"/>
  <c r="H321"/>
  <c r="H301"/>
  <c r="H271"/>
  <c r="H242"/>
  <c r="H208"/>
  <c r="H182"/>
  <c r="H147"/>
  <c r="H121"/>
  <c r="H94"/>
  <c r="H364"/>
  <c r="H345"/>
  <c r="H320"/>
  <c r="H300"/>
  <c r="H281"/>
  <c r="H253"/>
  <c r="H217"/>
  <c r="H191"/>
  <c r="H162"/>
  <c r="H131"/>
  <c r="H104"/>
  <c r="H72"/>
  <c r="H339"/>
  <c r="H307"/>
  <c r="H277"/>
  <c r="H234"/>
  <c r="H190"/>
  <c r="H149"/>
  <c r="H102"/>
  <c r="H244"/>
  <c r="H215"/>
  <c r="H174"/>
  <c r="H138"/>
  <c r="H107"/>
  <c r="H75"/>
  <c r="B6" i="37"/>
  <c r="B2"/>
  <c r="P7" i="33" a="1"/>
  <c r="P7" s="1"/>
  <c r="H347" i="35"/>
  <c r="H314"/>
  <c r="H283"/>
  <c r="H250"/>
  <c r="H200"/>
  <c r="H160"/>
  <c r="H137"/>
  <c r="H96"/>
  <c r="H361"/>
  <c r="H317"/>
  <c r="H263"/>
  <c r="H203"/>
  <c r="H141"/>
  <c r="H84"/>
  <c r="H360"/>
  <c r="H316"/>
  <c r="H275"/>
  <c r="H212"/>
  <c r="H181"/>
  <c r="H156"/>
  <c r="H125"/>
  <c r="H93"/>
  <c r="H359"/>
  <c r="H327"/>
  <c r="H295"/>
  <c r="H265"/>
  <c r="H216"/>
  <c r="H176"/>
  <c r="H129"/>
  <c r="H86"/>
  <c r="H233"/>
  <c r="H204"/>
  <c r="H158"/>
  <c r="H127"/>
  <c r="H95"/>
  <c r="B19" i="37"/>
  <c r="B16"/>
  <c r="O9" i="33" a="1"/>
  <c r="O9" s="1"/>
  <c r="O7" a="1"/>
  <c r="O7" s="1"/>
  <c r="B4" i="37"/>
  <c r="B20"/>
  <c r="B9"/>
  <c r="B18"/>
  <c r="H83" i="35"/>
  <c r="H99"/>
  <c r="H115"/>
  <c r="H132"/>
  <c r="H146"/>
  <c r="H163"/>
  <c r="H188"/>
  <c r="H207"/>
  <c r="H225"/>
  <c r="H236"/>
  <c r="H256"/>
  <c r="H70"/>
  <c r="H92"/>
  <c r="H113"/>
  <c r="H139"/>
  <c r="H161"/>
  <c r="H180"/>
  <c r="H201"/>
  <c r="H223"/>
  <c r="H245"/>
  <c r="H269"/>
  <c r="H284"/>
  <c r="H299"/>
  <c r="H315"/>
  <c r="H331"/>
  <c r="H348"/>
  <c r="H363"/>
  <c r="H77"/>
  <c r="H98"/>
  <c r="H120"/>
  <c r="H145"/>
  <c r="H166"/>
  <c r="H186"/>
  <c r="H206"/>
  <c r="H235"/>
  <c r="H257"/>
  <c r="H278"/>
  <c r="H292"/>
  <c r="H308"/>
  <c r="H324"/>
  <c r="H340"/>
  <c r="H356"/>
  <c r="H89"/>
  <c r="H110"/>
  <c r="H133"/>
  <c r="H152"/>
  <c r="H178"/>
  <c r="H199"/>
  <c r="H219"/>
  <c r="H247"/>
  <c r="H267"/>
  <c r="H293"/>
  <c r="H309"/>
  <c r="H325"/>
  <c r="H341"/>
  <c r="H357"/>
  <c r="H80"/>
  <c r="O6" i="33" a="1"/>
  <c r="O6" s="1"/>
  <c r="B8" i="37"/>
  <c r="B11"/>
  <c r="B13"/>
  <c r="B3"/>
  <c r="H71" i="35"/>
  <c r="H87"/>
  <c r="H103"/>
  <c r="H119"/>
  <c r="H135"/>
  <c r="H150"/>
  <c r="H169"/>
  <c r="H192"/>
  <c r="H211"/>
  <c r="H228"/>
  <c r="H240"/>
  <c r="H260"/>
  <c r="H76"/>
  <c r="H97"/>
  <c r="H118"/>
  <c r="H144"/>
  <c r="H165"/>
  <c r="H185"/>
  <c r="H205"/>
  <c r="H227"/>
  <c r="H252"/>
  <c r="H273"/>
  <c r="H288"/>
  <c r="H303"/>
  <c r="H319"/>
  <c r="H335"/>
  <c r="H352"/>
  <c r="P9" i="33" a="1"/>
  <c r="P9" s="1"/>
  <c r="AB52" i="32"/>
  <c r="AB10"/>
  <c r="W3" i="33"/>
  <c r="X3" s="1"/>
  <c r="AB43" i="32"/>
  <c r="D168" i="1" s="1"/>
  <c r="N8"/>
  <c r="K18" i="36"/>
  <c r="D18" i="1"/>
  <c r="C9"/>
  <c r="D89"/>
  <c r="D18" i="14"/>
  <c r="AA64" i="32"/>
  <c r="Y64" s="1"/>
  <c r="K18" i="2"/>
  <c r="I18" i="1"/>
  <c r="I89"/>
  <c r="F2" i="34"/>
  <c r="I21" i="1"/>
  <c r="D12" i="35"/>
  <c r="D17"/>
  <c r="D325"/>
  <c r="Y4" i="33"/>
  <c r="I441" i="34" s="1"/>
  <c r="I1" i="33"/>
  <c r="H35" i="37"/>
  <c r="H24"/>
  <c r="I18" i="14"/>
  <c r="D134" i="35"/>
  <c r="G17" i="10"/>
  <c r="C13" i="37"/>
  <c r="B24"/>
  <c r="B35"/>
  <c r="D332" i="35"/>
  <c r="C35" i="37"/>
  <c r="C24"/>
  <c r="AB22" i="32"/>
  <c r="B19"/>
  <c r="K19" i="36"/>
  <c r="N6" i="1"/>
  <c r="I18" i="36"/>
  <c r="I18" i="8"/>
  <c r="D268" i="35"/>
  <c r="K19" i="2"/>
  <c r="Y35" i="32"/>
  <c r="Q16" i="10"/>
  <c r="C146" i="2"/>
  <c r="C89" i="1"/>
  <c r="N18"/>
  <c r="B5" i="35"/>
  <c r="B9"/>
  <c r="B13"/>
  <c r="B17"/>
  <c r="B21"/>
  <c r="B25"/>
  <c r="B29"/>
  <c r="B33"/>
  <c r="B37"/>
  <c r="B41"/>
  <c r="B45"/>
  <c r="B49"/>
  <c r="B53"/>
  <c r="B57"/>
  <c r="B61"/>
  <c r="B65"/>
  <c r="B71"/>
  <c r="B75"/>
  <c r="B79"/>
  <c r="B83"/>
  <c r="B87"/>
  <c r="B91"/>
  <c r="B95"/>
  <c r="B99"/>
  <c r="B103"/>
  <c r="B107"/>
  <c r="B111"/>
  <c r="B115"/>
  <c r="B119"/>
  <c r="B123"/>
  <c r="B127"/>
  <c r="B131"/>
  <c r="B135"/>
  <c r="B139"/>
  <c r="B143"/>
  <c r="B147"/>
  <c r="B151"/>
  <c r="B155"/>
  <c r="B159"/>
  <c r="B163"/>
  <c r="B167"/>
  <c r="B171"/>
  <c r="B175"/>
  <c r="B179"/>
  <c r="B183"/>
  <c r="B187"/>
  <c r="B191"/>
  <c r="B195"/>
  <c r="B199"/>
  <c r="B203"/>
  <c r="B207"/>
  <c r="B211"/>
  <c r="B215"/>
  <c r="B219"/>
  <c r="B223"/>
  <c r="B227"/>
  <c r="B231"/>
  <c r="B235"/>
  <c r="B239"/>
  <c r="B243"/>
  <c r="B247"/>
  <c r="B251"/>
  <c r="B255"/>
  <c r="B259"/>
  <c r="B263"/>
  <c r="B267"/>
  <c r="B271"/>
  <c r="B275"/>
  <c r="B279"/>
  <c r="B283"/>
  <c r="B287"/>
  <c r="B291"/>
  <c r="B295"/>
  <c r="B299"/>
  <c r="B303"/>
  <c r="B307"/>
  <c r="B311"/>
  <c r="B315"/>
  <c r="B319"/>
  <c r="B323"/>
  <c r="B327"/>
  <c r="B331"/>
  <c r="B335"/>
  <c r="B339"/>
  <c r="B2"/>
  <c r="B6"/>
  <c r="B10"/>
  <c r="B14"/>
  <c r="B18"/>
  <c r="B22"/>
  <c r="B26"/>
  <c r="B30"/>
  <c r="B34"/>
  <c r="B38"/>
  <c r="B42"/>
  <c r="B46"/>
  <c r="B50"/>
  <c r="B54"/>
  <c r="B58"/>
  <c r="B62"/>
  <c r="B66"/>
  <c r="B72"/>
  <c r="B76"/>
  <c r="B80"/>
  <c r="B84"/>
  <c r="B88"/>
  <c r="B92"/>
  <c r="B96"/>
  <c r="B100"/>
  <c r="B104"/>
  <c r="B108"/>
  <c r="B112"/>
  <c r="B116"/>
  <c r="B120"/>
  <c r="B124"/>
  <c r="B128"/>
  <c r="B132"/>
  <c r="B136"/>
  <c r="B140"/>
  <c r="B144"/>
  <c r="B148"/>
  <c r="B152"/>
  <c r="B156"/>
  <c r="B160"/>
  <c r="B164"/>
  <c r="B168"/>
  <c r="B172"/>
  <c r="B176"/>
  <c r="B180"/>
  <c r="B184"/>
  <c r="B188"/>
  <c r="B192"/>
  <c r="B196"/>
  <c r="B200"/>
  <c r="B204"/>
  <c r="B208"/>
  <c r="B212"/>
  <c r="B216"/>
  <c r="B220"/>
  <c r="B224"/>
  <c r="B228"/>
  <c r="B232"/>
  <c r="B236"/>
  <c r="B240"/>
  <c r="B244"/>
  <c r="B248"/>
  <c r="B252"/>
  <c r="B256"/>
  <c r="B260"/>
  <c r="B264"/>
  <c r="B268"/>
  <c r="B272"/>
  <c r="B276"/>
  <c r="B280"/>
  <c r="B284"/>
  <c r="B288"/>
  <c r="B292"/>
  <c r="B296"/>
  <c r="B300"/>
  <c r="B304"/>
  <c r="B308"/>
  <c r="B312"/>
  <c r="B3"/>
  <c r="B7"/>
  <c r="B11"/>
  <c r="B15"/>
  <c r="B19"/>
  <c r="B23"/>
  <c r="B27"/>
  <c r="B31"/>
  <c r="B35"/>
  <c r="B39"/>
  <c r="B43"/>
  <c r="B47"/>
  <c r="B51"/>
  <c r="B55"/>
  <c r="B59"/>
  <c r="B63"/>
  <c r="B68"/>
  <c r="B73"/>
  <c r="B77"/>
  <c r="B81"/>
  <c r="B85"/>
  <c r="B89"/>
  <c r="B93"/>
  <c r="B97"/>
  <c r="B101"/>
  <c r="B105"/>
  <c r="B109"/>
  <c r="B113"/>
  <c r="B117"/>
  <c r="B121"/>
  <c r="B125"/>
  <c r="B129"/>
  <c r="B133"/>
  <c r="B137"/>
  <c r="B141"/>
  <c r="B145"/>
  <c r="B149"/>
  <c r="B153"/>
  <c r="B157"/>
  <c r="B161"/>
  <c r="B165"/>
  <c r="B169"/>
  <c r="B173"/>
  <c r="B177"/>
  <c r="B181"/>
  <c r="B185"/>
  <c r="B189"/>
  <c r="B193"/>
  <c r="B197"/>
  <c r="B201"/>
  <c r="B205"/>
  <c r="B209"/>
  <c r="B213"/>
  <c r="B217"/>
  <c r="B221"/>
  <c r="B225"/>
  <c r="B229"/>
  <c r="B233"/>
  <c r="B237"/>
  <c r="B241"/>
  <c r="B245"/>
  <c r="B249"/>
  <c r="B253"/>
  <c r="B257"/>
  <c r="B261"/>
  <c r="B265"/>
  <c r="B269"/>
  <c r="B273"/>
  <c r="B277"/>
  <c r="B281"/>
  <c r="B285"/>
  <c r="B289"/>
  <c r="B293"/>
  <c r="B297"/>
  <c r="B301"/>
  <c r="B305"/>
  <c r="B309"/>
  <c r="B313"/>
  <c r="B317"/>
  <c r="B321"/>
  <c r="B325"/>
  <c r="B329"/>
  <c r="B333"/>
  <c r="B337"/>
  <c r="B341"/>
  <c r="B4"/>
  <c r="B8"/>
  <c r="B12"/>
  <c r="B16"/>
  <c r="B20"/>
  <c r="B24"/>
  <c r="B28"/>
  <c r="B32"/>
  <c r="B36"/>
  <c r="B40"/>
  <c r="B44"/>
  <c r="B48"/>
  <c r="B52"/>
  <c r="B56"/>
  <c r="B60"/>
  <c r="B64"/>
  <c r="B70"/>
  <c r="B74"/>
  <c r="B78"/>
  <c r="B82"/>
  <c r="B86"/>
  <c r="B90"/>
  <c r="B94"/>
  <c r="B98"/>
  <c r="B102"/>
  <c r="B106"/>
  <c r="B110"/>
  <c r="B114"/>
  <c r="B118"/>
  <c r="B122"/>
  <c r="B126"/>
  <c r="B130"/>
  <c r="B134"/>
  <c r="B138"/>
  <c r="B142"/>
  <c r="B146"/>
  <c r="B150"/>
  <c r="B154"/>
  <c r="B158"/>
  <c r="B162"/>
  <c r="B166"/>
  <c r="B170"/>
  <c r="B174"/>
  <c r="B178"/>
  <c r="B182"/>
  <c r="B186"/>
  <c r="B190"/>
  <c r="B194"/>
  <c r="B198"/>
  <c r="B202"/>
  <c r="B206"/>
  <c r="B210"/>
  <c r="B214"/>
  <c r="B218"/>
  <c r="B222"/>
  <c r="B226"/>
  <c r="B230"/>
  <c r="B234"/>
  <c r="B238"/>
  <c r="B242"/>
  <c r="B246"/>
  <c r="B250"/>
  <c r="B254"/>
  <c r="B258"/>
  <c r="B262"/>
  <c r="B266"/>
  <c r="B270"/>
  <c r="B274"/>
  <c r="B278"/>
  <c r="B282"/>
  <c r="B298"/>
  <c r="B314"/>
  <c r="B322"/>
  <c r="B330"/>
  <c r="B338"/>
  <c r="B344"/>
  <c r="B348"/>
  <c r="B352"/>
  <c r="B356"/>
  <c r="B360"/>
  <c r="B364"/>
  <c r="B368"/>
  <c r="B372"/>
  <c r="B376"/>
  <c r="B380"/>
  <c r="B286"/>
  <c r="B302"/>
  <c r="B316"/>
  <c r="B324"/>
  <c r="B332"/>
  <c r="B340"/>
  <c r="B345"/>
  <c r="B349"/>
  <c r="B353"/>
  <c r="B357"/>
  <c r="B361"/>
  <c r="B365"/>
  <c r="B369"/>
  <c r="B373"/>
  <c r="B377"/>
  <c r="B381"/>
  <c r="B290"/>
  <c r="B306"/>
  <c r="B318"/>
  <c r="B326"/>
  <c r="B334"/>
  <c r="B342"/>
  <c r="B346"/>
  <c r="B350"/>
  <c r="B354"/>
  <c r="B358"/>
  <c r="B362"/>
  <c r="B366"/>
  <c r="B370"/>
  <c r="B374"/>
  <c r="B378"/>
  <c r="P4" i="33" a="1"/>
  <c r="P4" s="1"/>
  <c r="B294" i="35"/>
  <c r="B310"/>
  <c r="B320"/>
  <c r="B328"/>
  <c r="B336"/>
  <c r="B343"/>
  <c r="B347"/>
  <c r="B351"/>
  <c r="B355"/>
  <c r="B359"/>
  <c r="B363"/>
  <c r="B367"/>
  <c r="B371"/>
  <c r="B375"/>
  <c r="B379"/>
  <c r="O4" i="33" a="1"/>
  <c r="O4" s="1"/>
  <c r="H379" i="35"/>
  <c r="H365"/>
  <c r="H369"/>
  <c r="H373"/>
  <c r="H377"/>
  <c r="B21" i="37"/>
  <c r="H380" i="35"/>
  <c r="H366"/>
  <c r="H370"/>
  <c r="H374"/>
  <c r="H378"/>
  <c r="B23" i="37"/>
  <c r="H372" i="35"/>
  <c r="B22" i="37"/>
  <c r="H381" i="35"/>
  <c r="H367"/>
  <c r="H371"/>
  <c r="H375"/>
  <c r="H368"/>
  <c r="H376"/>
  <c r="F3" i="34"/>
  <c r="L17" i="2"/>
  <c r="Z35" i="32"/>
  <c r="B22"/>
  <c r="D177" i="35"/>
  <c r="D40"/>
  <c r="D189"/>
  <c r="D267"/>
  <c r="D64"/>
  <c r="D330"/>
  <c r="D167"/>
  <c r="D327"/>
  <c r="D13"/>
  <c r="D157"/>
  <c r="D19"/>
  <c r="D255"/>
  <c r="D45"/>
  <c r="D347"/>
  <c r="D158"/>
  <c r="C8" i="37"/>
  <c r="D132" i="35"/>
  <c r="D8"/>
  <c r="D143"/>
  <c r="D162"/>
  <c r="D54"/>
  <c r="D230"/>
  <c r="D109"/>
  <c r="D220"/>
  <c r="D129"/>
  <c r="D311"/>
  <c r="D320"/>
  <c r="D94"/>
  <c r="D165"/>
  <c r="D170"/>
  <c r="D359"/>
  <c r="D160"/>
  <c r="D236"/>
  <c r="D308"/>
  <c r="D113"/>
  <c r="D176"/>
  <c r="D314"/>
  <c r="D34"/>
  <c r="D206"/>
  <c r="D122"/>
  <c r="D266"/>
  <c r="D306"/>
  <c r="D287"/>
  <c r="D43"/>
  <c r="C16" i="37"/>
  <c r="D91" i="35"/>
  <c r="D322"/>
  <c r="D90"/>
  <c r="D166"/>
  <c r="D101"/>
  <c r="D23"/>
  <c r="D24"/>
  <c r="D272"/>
  <c r="D335"/>
  <c r="D85"/>
  <c r="D284"/>
  <c r="D222"/>
  <c r="D215"/>
  <c r="D282"/>
  <c r="D211"/>
  <c r="D216"/>
  <c r="D235"/>
  <c r="D110"/>
  <c r="D138"/>
  <c r="D169"/>
  <c r="D136"/>
  <c r="D25"/>
  <c r="D228"/>
  <c r="D353"/>
  <c r="D73"/>
  <c r="D232"/>
  <c r="D276"/>
  <c r="D185"/>
  <c r="C14" i="37"/>
  <c r="D285" i="35"/>
  <c r="D116"/>
  <c r="D289"/>
  <c r="C4" i="37"/>
  <c r="D112" i="35"/>
  <c r="D115"/>
  <c r="D260"/>
  <c r="D53"/>
  <c r="D144"/>
  <c r="D33"/>
  <c r="D264"/>
  <c r="D175"/>
  <c r="D141"/>
  <c r="D172"/>
  <c r="D288"/>
  <c r="D184"/>
  <c r="D246"/>
  <c r="D279"/>
  <c r="C17" i="37"/>
  <c r="D131" i="35"/>
  <c r="D354"/>
  <c r="D312"/>
  <c r="D319"/>
  <c r="D163"/>
  <c r="D154"/>
  <c r="C5" i="37"/>
  <c r="D261" i="35"/>
  <c r="D51"/>
  <c r="D55"/>
  <c r="D252"/>
  <c r="D346"/>
  <c r="D291"/>
  <c r="D121"/>
  <c r="D83"/>
  <c r="D16"/>
  <c r="D253"/>
  <c r="D48"/>
  <c r="C10" i="37"/>
  <c r="D271" i="35"/>
  <c r="D150"/>
  <c r="D106"/>
  <c r="D104"/>
  <c r="D324"/>
  <c r="D194"/>
  <c r="D344"/>
  <c r="D201"/>
  <c r="D304"/>
  <c r="D71"/>
  <c r="D192"/>
  <c r="D237"/>
  <c r="D95"/>
  <c r="D114"/>
  <c r="D262"/>
  <c r="D212"/>
  <c r="D358"/>
  <c r="Z74" i="32"/>
  <c r="AB74" s="1"/>
  <c r="M89" i="1"/>
  <c r="K17" i="8"/>
  <c r="I146" i="2"/>
  <c r="C18"/>
  <c r="N17" i="1"/>
  <c r="C8"/>
  <c r="D36" i="35"/>
  <c r="L17" i="36"/>
  <c r="D202" i="35"/>
  <c r="D98"/>
  <c r="D210"/>
  <c r="D156"/>
  <c r="D281"/>
  <c r="D183"/>
  <c r="D242"/>
  <c r="D59"/>
  <c r="D32"/>
  <c r="D119"/>
  <c r="D294"/>
  <c r="D14"/>
  <c r="D133"/>
  <c r="D147"/>
  <c r="D334"/>
  <c r="D357"/>
  <c r="D213"/>
  <c r="D303"/>
  <c r="D226"/>
  <c r="D75"/>
  <c r="D135"/>
  <c r="D292"/>
  <c r="D153"/>
  <c r="D5"/>
  <c r="D338"/>
  <c r="D352"/>
  <c r="C12" i="37"/>
  <c r="D47" i="35"/>
  <c r="G380"/>
  <c r="H21" i="37"/>
  <c r="G381" i="35"/>
  <c r="G366"/>
  <c r="G370"/>
  <c r="G374"/>
  <c r="G378"/>
  <c r="H22" i="37"/>
  <c r="G367" i="35"/>
  <c r="G371"/>
  <c r="G375"/>
  <c r="H23" i="37"/>
  <c r="G379" i="35"/>
  <c r="G368"/>
  <c r="G372"/>
  <c r="G376"/>
  <c r="G365"/>
  <c r="G369"/>
  <c r="G373"/>
  <c r="G377"/>
  <c r="D139"/>
  <c r="C21" i="37"/>
  <c r="D381" i="35"/>
  <c r="D365"/>
  <c r="D377"/>
  <c r="C22" i="37"/>
  <c r="D366" i="35"/>
  <c r="D370"/>
  <c r="D374"/>
  <c r="D378"/>
  <c r="C23" i="37"/>
  <c r="D379" i="35"/>
  <c r="D367"/>
  <c r="D371"/>
  <c r="D375"/>
  <c r="D380"/>
  <c r="D368"/>
  <c r="D372"/>
  <c r="D376"/>
  <c r="D369"/>
  <c r="D373"/>
  <c r="D70"/>
  <c r="D186"/>
  <c r="D18"/>
  <c r="D117"/>
  <c r="D68"/>
  <c r="C11" i="37"/>
  <c r="D231" i="35"/>
  <c r="D100"/>
  <c r="D21"/>
  <c r="D88"/>
  <c r="D151"/>
  <c r="D339"/>
  <c r="D127"/>
  <c r="D2"/>
  <c r="D123"/>
  <c r="D11"/>
  <c r="D31"/>
  <c r="D259"/>
  <c r="D38"/>
  <c r="C20" i="37"/>
  <c r="D188" i="35"/>
  <c r="D7"/>
  <c r="D174"/>
  <c r="D92"/>
  <c r="D301"/>
  <c r="D93"/>
  <c r="D111"/>
  <c r="D77"/>
  <c r="D362"/>
  <c r="D293"/>
  <c r="C2" i="37"/>
  <c r="D257" i="35"/>
  <c r="D233"/>
  <c r="B24" i="32"/>
  <c r="L19" i="2"/>
  <c r="D207" i="35"/>
  <c r="D305"/>
  <c r="D193"/>
  <c r="D198"/>
  <c r="D84"/>
  <c r="D57"/>
  <c r="D361"/>
  <c r="D258"/>
  <c r="D60"/>
  <c r="D42" i="32"/>
  <c r="D28" i="35"/>
  <c r="D9"/>
  <c r="D203"/>
  <c r="D82"/>
  <c r="D340"/>
  <c r="D290"/>
  <c r="AB17" i="32"/>
  <c r="L7" i="2" s="1"/>
  <c r="AB47" i="32"/>
  <c r="D323" i="35"/>
  <c r="D204"/>
  <c r="D102"/>
  <c r="D190"/>
  <c r="D6"/>
  <c r="D197"/>
  <c r="D234"/>
  <c r="D345"/>
  <c r="AB56" i="32"/>
  <c r="AB40"/>
  <c r="D166" i="1" s="1"/>
  <c r="D273" i="35"/>
  <c r="C3" i="37"/>
  <c r="D124" i="35"/>
  <c r="D12" i="32"/>
  <c r="AB12" s="1"/>
  <c r="D239" i="35"/>
  <c r="D245"/>
  <c r="D283"/>
  <c r="D42"/>
  <c r="D343"/>
  <c r="Z27" i="32"/>
  <c r="AB27" s="1"/>
  <c r="Z24"/>
  <c r="AB24" s="1"/>
  <c r="E67" i="35" s="1"/>
  <c r="D309"/>
  <c r="D148"/>
  <c r="D76"/>
  <c r="D297"/>
  <c r="D313"/>
  <c r="D209"/>
  <c r="D223"/>
  <c r="D22"/>
  <c r="D182"/>
  <c r="D39"/>
  <c r="Y33" i="32"/>
  <c r="D20" i="35"/>
  <c r="D105"/>
  <c r="D280"/>
  <c r="D191"/>
  <c r="D26"/>
  <c r="D355"/>
  <c r="D270"/>
  <c r="D329"/>
  <c r="D29"/>
  <c r="D363"/>
  <c r="D108"/>
  <c r="D265"/>
  <c r="N5" i="1"/>
  <c r="D348" i="35"/>
  <c r="C6" i="37"/>
  <c r="D238" i="35"/>
  <c r="D299"/>
  <c r="D217"/>
  <c r="D278"/>
  <c r="D349"/>
  <c r="D44"/>
  <c r="D227"/>
  <c r="D178"/>
  <c r="D81"/>
  <c r="D107"/>
  <c r="D78"/>
  <c r="D35"/>
  <c r="D317"/>
  <c r="D62"/>
  <c r="D214"/>
  <c r="D79"/>
  <c r="D310"/>
  <c r="D337"/>
  <c r="D137"/>
  <c r="D256"/>
  <c r="D350"/>
  <c r="D89"/>
  <c r="D316"/>
  <c r="D152"/>
  <c r="C42" i="14"/>
  <c r="C38"/>
  <c r="C34"/>
  <c r="C30"/>
  <c r="C26"/>
  <c r="C22"/>
  <c r="C87"/>
  <c r="C74"/>
  <c r="C70"/>
  <c r="C66"/>
  <c r="C61"/>
  <c r="C57"/>
  <c r="C53"/>
  <c r="C49"/>
  <c r="C63"/>
  <c r="C86"/>
  <c r="C82"/>
  <c r="C25"/>
  <c r="C77"/>
  <c r="C73"/>
  <c r="C69"/>
  <c r="C65"/>
  <c r="C60"/>
  <c r="C56"/>
  <c r="C52"/>
  <c r="C48"/>
  <c r="C85"/>
  <c r="C81"/>
  <c r="C44"/>
  <c r="C40"/>
  <c r="C36"/>
  <c r="C32"/>
  <c r="C28"/>
  <c r="C24"/>
  <c r="C76"/>
  <c r="C72"/>
  <c r="C68"/>
  <c r="C64"/>
  <c r="C59"/>
  <c r="C55"/>
  <c r="D55"/>
  <c r="C51"/>
  <c r="C47"/>
  <c r="C84"/>
  <c r="C80"/>
  <c r="H274" i="35"/>
  <c r="H251"/>
  <c r="H248"/>
  <c r="H224"/>
  <c r="H221"/>
  <c r="H218"/>
  <c r="H196"/>
  <c r="H173"/>
  <c r="H159"/>
  <c r="H130"/>
  <c r="C43" i="14"/>
  <c r="D39"/>
  <c r="C39"/>
  <c r="C31"/>
  <c r="C27"/>
  <c r="C75"/>
  <c r="C71"/>
  <c r="C67"/>
  <c r="C62"/>
  <c r="C58"/>
  <c r="C54"/>
  <c r="C50"/>
  <c r="C46"/>
  <c r="C83"/>
  <c r="C79"/>
  <c r="D336" i="35"/>
  <c r="H342"/>
  <c r="C14" i="1"/>
  <c r="D248" i="35"/>
  <c r="D224"/>
  <c r="D196"/>
  <c r="D159"/>
  <c r="D130"/>
  <c r="D342"/>
  <c r="D274"/>
  <c r="D251"/>
  <c r="D221"/>
  <c r="D218"/>
  <c r="D173"/>
  <c r="D66"/>
  <c r="D295"/>
  <c r="AB49" i="32"/>
  <c r="K44" i="36" s="1"/>
  <c r="AB20" i="32"/>
  <c r="C7" i="36" s="1"/>
  <c r="G359" i="35"/>
  <c r="G342"/>
  <c r="G274"/>
  <c r="G251"/>
  <c r="G248"/>
  <c r="G224"/>
  <c r="G221"/>
  <c r="G218"/>
  <c r="G196"/>
  <c r="G173"/>
  <c r="G159"/>
  <c r="G130"/>
  <c r="G66"/>
  <c r="D41"/>
  <c r="D140"/>
  <c r="D56"/>
  <c r="D181"/>
  <c r="D243"/>
  <c r="D331"/>
  <c r="D298"/>
  <c r="D205"/>
  <c r="D126"/>
  <c r="C18" i="37"/>
  <c r="D328" i="35"/>
  <c r="D128"/>
  <c r="D263"/>
  <c r="D87"/>
  <c r="D15"/>
  <c r="D307"/>
  <c r="D269"/>
  <c r="D333"/>
  <c r="D171"/>
  <c r="D46"/>
  <c r="D240"/>
  <c r="D27"/>
  <c r="D168"/>
  <c r="D180"/>
  <c r="D58"/>
  <c r="D4"/>
  <c r="D296"/>
  <c r="D300"/>
  <c r="D315"/>
  <c r="D30"/>
  <c r="D37"/>
  <c r="D341"/>
  <c r="D80"/>
  <c r="D142"/>
  <c r="D65"/>
  <c r="D244"/>
  <c r="D321"/>
  <c r="D155"/>
  <c r="D61"/>
  <c r="D208"/>
  <c r="D318"/>
  <c r="D200"/>
  <c r="D125"/>
  <c r="D3"/>
  <c r="D277"/>
  <c r="D254"/>
  <c r="D250"/>
  <c r="D219"/>
  <c r="D50"/>
  <c r="D286"/>
  <c r="D97"/>
  <c r="D49"/>
  <c r="D351"/>
  <c r="D161"/>
  <c r="D187"/>
  <c r="C7" i="37"/>
  <c r="D356" i="35"/>
  <c r="D164"/>
  <c r="D63"/>
  <c r="C19" i="37"/>
  <c r="D118" i="35"/>
  <c r="C15" i="37"/>
  <c r="D145" i="35"/>
  <c r="D249"/>
  <c r="D241"/>
  <c r="C9" i="37"/>
  <c r="D195" i="35"/>
  <c r="D229"/>
  <c r="D86"/>
  <c r="D146"/>
  <c r="D103"/>
  <c r="D120"/>
  <c r="D10"/>
  <c r="D360"/>
  <c r="D74"/>
  <c r="D199"/>
  <c r="D247"/>
  <c r="D275"/>
  <c r="D302"/>
  <c r="D99"/>
  <c r="D179"/>
  <c r="D72"/>
  <c r="D326"/>
  <c r="D52"/>
  <c r="D96"/>
  <c r="D364"/>
  <c r="D225"/>
  <c r="AB8" i="32"/>
  <c r="G348" i="38"/>
  <c r="G306"/>
  <c r="G283"/>
  <c r="G297"/>
  <c r="G313"/>
  <c r="G270"/>
  <c r="G315"/>
  <c r="G268"/>
  <c r="G335"/>
  <c r="G299"/>
  <c r="G275"/>
  <c r="G330"/>
  <c r="G301"/>
  <c r="G307"/>
  <c r="G287"/>
  <c r="G295"/>
  <c r="G274"/>
  <c r="G308"/>
  <c r="G310"/>
  <c r="G345"/>
  <c r="G273"/>
  <c r="G339"/>
  <c r="G311"/>
  <c r="G302"/>
  <c r="G305"/>
  <c r="G319"/>
  <c r="G324"/>
  <c r="G317"/>
  <c r="G285"/>
  <c r="G326"/>
  <c r="G267"/>
  <c r="G298"/>
  <c r="G347"/>
  <c r="G321"/>
  <c r="G291"/>
  <c r="G323"/>
  <c r="G342"/>
  <c r="G312"/>
  <c r="G341"/>
  <c r="G334"/>
  <c r="G333"/>
  <c r="G318"/>
  <c r="G290"/>
  <c r="G340"/>
  <c r="G288"/>
  <c r="G296"/>
  <c r="G331"/>
  <c r="G260"/>
  <c r="G338"/>
  <c r="G272"/>
  <c r="G327"/>
  <c r="G292"/>
  <c r="G289"/>
  <c r="G332"/>
  <c r="G346"/>
  <c r="G278"/>
  <c r="G328"/>
  <c r="G337"/>
  <c r="G320"/>
  <c r="G266"/>
  <c r="G314"/>
  <c r="G286"/>
  <c r="G269"/>
  <c r="G300"/>
  <c r="G343"/>
  <c r="G264"/>
  <c r="G304"/>
  <c r="G309"/>
  <c r="G284"/>
  <c r="G293"/>
  <c r="G276"/>
  <c r="G280"/>
  <c r="G282"/>
  <c r="G303"/>
  <c r="G262"/>
  <c r="G265"/>
  <c r="G277"/>
  <c r="G271"/>
  <c r="G349"/>
  <c r="G294"/>
  <c r="G316"/>
  <c r="G336"/>
  <c r="G325"/>
  <c r="G344"/>
  <c r="G322"/>
  <c r="G329"/>
  <c r="G261"/>
  <c r="D42"/>
  <c r="F262"/>
  <c r="E348"/>
  <c r="E357"/>
  <c r="F202"/>
  <c r="F237"/>
  <c r="F263"/>
  <c r="F243"/>
  <c r="E315"/>
  <c r="D114"/>
  <c r="F275"/>
  <c r="D31"/>
  <c r="D28"/>
  <c r="F206"/>
  <c r="E347"/>
  <c r="D32"/>
  <c r="E333"/>
  <c r="E336"/>
  <c r="F207"/>
  <c r="F297"/>
  <c r="F238"/>
  <c r="E385"/>
  <c r="E360"/>
  <c r="E342"/>
  <c r="E353"/>
  <c r="E373"/>
  <c r="F246"/>
  <c r="D104"/>
  <c r="F299"/>
  <c r="E312"/>
  <c r="E306"/>
  <c r="F289"/>
  <c r="E308"/>
  <c r="F283"/>
  <c r="E350"/>
  <c r="F249"/>
  <c r="F269"/>
  <c r="E369"/>
  <c r="D39"/>
  <c r="D113"/>
  <c r="E393"/>
  <c r="E328"/>
  <c r="F259"/>
  <c r="F222"/>
  <c r="F247"/>
  <c r="E325"/>
  <c r="D122"/>
  <c r="F232"/>
  <c r="D45"/>
  <c r="F234"/>
  <c r="E400"/>
  <c r="D68"/>
  <c r="E307"/>
  <c r="E334"/>
  <c r="D52"/>
  <c r="E376"/>
  <c r="E377"/>
  <c r="E397"/>
  <c r="F272"/>
  <c r="F296"/>
  <c r="F286"/>
  <c r="D130"/>
  <c r="D129"/>
  <c r="E381"/>
  <c r="F256"/>
  <c r="D115"/>
  <c r="F253"/>
  <c r="E367"/>
  <c r="F264"/>
  <c r="F251"/>
  <c r="E358"/>
  <c r="E345"/>
  <c r="F210"/>
  <c r="D25"/>
  <c r="D46"/>
  <c r="E380"/>
  <c r="E361"/>
  <c r="F300"/>
  <c r="E332"/>
  <c r="D47"/>
  <c r="F219"/>
  <c r="F281"/>
  <c r="E387"/>
  <c r="F257"/>
  <c r="E303"/>
  <c r="F268"/>
  <c r="E340"/>
  <c r="E359"/>
  <c r="E384"/>
  <c r="D41"/>
  <c r="F205"/>
  <c r="F252"/>
  <c r="D23"/>
  <c r="E356"/>
  <c r="E365"/>
  <c r="F271"/>
  <c r="D138"/>
  <c r="F208"/>
  <c r="F240"/>
  <c r="F265"/>
  <c r="F204"/>
  <c r="E329"/>
  <c r="E346"/>
  <c r="F212"/>
  <c r="E309"/>
  <c r="E383"/>
  <c r="D29"/>
  <c r="D50"/>
  <c r="E343"/>
  <c r="E319"/>
  <c r="E368"/>
  <c r="F229"/>
  <c r="F211"/>
  <c r="E320"/>
  <c r="E390"/>
  <c r="D131"/>
  <c r="F288"/>
  <c r="D54"/>
  <c r="E324"/>
  <c r="D56"/>
  <c r="F285"/>
  <c r="E391"/>
  <c r="F244"/>
  <c r="E335"/>
  <c r="D126"/>
  <c r="E349"/>
  <c r="F230"/>
  <c r="F255"/>
  <c r="E302"/>
  <c r="D51"/>
  <c r="D21"/>
  <c r="D135"/>
  <c r="E304"/>
  <c r="F292"/>
  <c r="E318"/>
  <c r="E351"/>
  <c r="D35"/>
  <c r="E386"/>
  <c r="D112"/>
  <c r="D49"/>
  <c r="F242"/>
  <c r="D30"/>
  <c r="D61"/>
  <c r="E338"/>
  <c r="E331"/>
  <c r="F241"/>
  <c r="E317"/>
  <c r="F235"/>
  <c r="F223"/>
  <c r="E388"/>
  <c r="F216"/>
  <c r="D101"/>
  <c r="D106"/>
  <c r="D137"/>
  <c r="F282"/>
  <c r="E378"/>
  <c r="D102"/>
  <c r="D136"/>
  <c r="F278"/>
  <c r="D121"/>
  <c r="F225"/>
  <c r="E341"/>
  <c r="D37"/>
  <c r="F226"/>
  <c r="F201"/>
  <c r="F231"/>
  <c r="E394"/>
  <c r="E326"/>
  <c r="D33"/>
  <c r="D103"/>
  <c r="E352"/>
  <c r="D128"/>
  <c r="D60"/>
  <c r="D26"/>
  <c r="D110"/>
  <c r="E395"/>
  <c r="F239"/>
  <c r="E389"/>
  <c r="F245"/>
  <c r="D105"/>
  <c r="E366"/>
  <c r="D66"/>
  <c r="F276"/>
  <c r="D40"/>
  <c r="D57"/>
  <c r="E371"/>
  <c r="E337"/>
  <c r="E322"/>
  <c r="E301"/>
  <c r="D34"/>
  <c r="F215"/>
  <c r="E355"/>
  <c r="D132"/>
  <c r="D62"/>
  <c r="F273"/>
  <c r="D127"/>
  <c r="F220"/>
  <c r="F236"/>
  <c r="F279"/>
  <c r="F261"/>
  <c r="F221"/>
  <c r="E323"/>
  <c r="E354"/>
  <c r="E363"/>
  <c r="F258"/>
  <c r="F214"/>
  <c r="E314"/>
  <c r="D38"/>
  <c r="D108"/>
  <c r="D63"/>
  <c r="E362"/>
  <c r="D118"/>
  <c r="F250"/>
  <c r="F287"/>
  <c r="F217"/>
  <c r="E330"/>
  <c r="E399"/>
  <c r="D67"/>
  <c r="E300"/>
  <c r="D59"/>
  <c r="D123"/>
  <c r="F290"/>
  <c r="F209"/>
  <c r="D44"/>
  <c r="D134"/>
  <c r="E327"/>
  <c r="F228"/>
  <c r="D116"/>
  <c r="F266"/>
  <c r="D58"/>
  <c r="D117"/>
  <c r="F284"/>
  <c r="D53"/>
  <c r="E313"/>
  <c r="F224"/>
  <c r="F227"/>
  <c r="E375"/>
  <c r="D65"/>
  <c r="F270"/>
  <c r="D64"/>
  <c r="E311"/>
  <c r="D120"/>
  <c r="E382"/>
  <c r="E372"/>
  <c r="F213"/>
  <c r="F274"/>
  <c r="E379"/>
  <c r="F248"/>
  <c r="E321"/>
  <c r="D24"/>
  <c r="E339"/>
  <c r="D22"/>
  <c r="F277"/>
  <c r="F254"/>
  <c r="D133"/>
  <c r="F203"/>
  <c r="E344"/>
  <c r="D36"/>
  <c r="D111"/>
  <c r="D27"/>
  <c r="E310"/>
  <c r="D125"/>
  <c r="E398"/>
  <c r="D43"/>
  <c r="D109"/>
  <c r="D119"/>
  <c r="E305"/>
  <c r="D107"/>
  <c r="F260"/>
  <c r="E374"/>
  <c r="F295"/>
  <c r="E316"/>
  <c r="D124"/>
  <c r="E370"/>
  <c r="E396"/>
  <c r="F267"/>
  <c r="D55"/>
  <c r="F293"/>
  <c r="E392"/>
  <c r="F294"/>
  <c r="F291"/>
  <c r="F280"/>
  <c r="D48"/>
  <c r="E364"/>
  <c r="F233"/>
  <c r="F218"/>
  <c r="F298"/>
  <c r="L86" i="1" l="1"/>
  <c r="M21"/>
  <c r="M161"/>
  <c r="C51" i="11"/>
  <c r="G95" i="14"/>
  <c r="K57" i="10"/>
  <c r="G44" i="36"/>
  <c r="G91" i="8"/>
  <c r="D51" i="11"/>
  <c r="D50"/>
  <c r="D49"/>
  <c r="L167" i="1"/>
  <c r="K148" i="2"/>
  <c r="H167" i="1"/>
  <c r="G148" i="2"/>
  <c r="E55" i="10"/>
  <c r="D94" i="14"/>
  <c r="C12" i="2"/>
  <c r="C13" i="1"/>
  <c r="D13" i="10"/>
  <c r="C13" i="8"/>
  <c r="C13" i="14"/>
  <c r="C13" i="2"/>
  <c r="Y5" i="32"/>
  <c r="C13" i="36"/>
  <c r="F453" i="34"/>
  <c r="G58" i="31"/>
  <c r="G59"/>
  <c r="C16" i="8" s="1"/>
  <c r="C12" i="1"/>
  <c r="C12" i="36"/>
  <c r="C12" i="8"/>
  <c r="C12" i="14"/>
  <c r="J95"/>
  <c r="K91" i="8"/>
  <c r="G57" i="31"/>
  <c r="C16" i="1" s="1"/>
  <c r="I437" i="34"/>
  <c r="AB64" i="32"/>
  <c r="E401" i="35"/>
  <c r="E405"/>
  <c r="E385"/>
  <c r="E389"/>
  <c r="E393"/>
  <c r="E397"/>
  <c r="E400"/>
  <c r="E408"/>
  <c r="E384"/>
  <c r="E392"/>
  <c r="E402"/>
  <c r="E406"/>
  <c r="E382"/>
  <c r="E386"/>
  <c r="E390"/>
  <c r="E394"/>
  <c r="E398"/>
  <c r="E403"/>
  <c r="E407"/>
  <c r="E383"/>
  <c r="E387"/>
  <c r="E391"/>
  <c r="E395"/>
  <c r="E399"/>
  <c r="E404"/>
  <c r="E388"/>
  <c r="E396"/>
  <c r="Y3" i="33"/>
  <c r="I453" i="34" s="1"/>
  <c r="D33" i="37"/>
  <c r="D32"/>
  <c r="D28"/>
  <c r="D31"/>
  <c r="D27"/>
  <c r="E69" i="35"/>
  <c r="D29" i="37"/>
  <c r="D34"/>
  <c r="D25"/>
  <c r="D30"/>
  <c r="D26"/>
  <c r="D48" i="11"/>
  <c r="D22" i="1"/>
  <c r="D2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c r="D8" i="36"/>
  <c r="E8" i="10"/>
  <c r="D8" i="14"/>
  <c r="D8" i="2"/>
  <c r="E249" i="35"/>
  <c r="E218"/>
  <c r="E160"/>
  <c r="Z5" i="32"/>
  <c r="F425" i="34"/>
  <c r="D25" i="10" s="1"/>
  <c r="F421" i="34"/>
  <c r="E225" i="35"/>
  <c r="D35" i="37"/>
  <c r="D24"/>
  <c r="D8" i="1"/>
  <c r="E42" i="35"/>
  <c r="E138"/>
  <c r="E28"/>
  <c r="E126"/>
  <c r="E229"/>
  <c r="D17" i="37"/>
  <c r="E301" i="35"/>
  <c r="D6" i="37"/>
  <c r="M83" i="1"/>
  <c r="E216" i="35"/>
  <c r="E342"/>
  <c r="E45"/>
  <c r="E167"/>
  <c r="E94"/>
  <c r="E70"/>
  <c r="E155"/>
  <c r="E66"/>
  <c r="E50"/>
  <c r="E257"/>
  <c r="E187"/>
  <c r="E23"/>
  <c r="E188"/>
  <c r="E238"/>
  <c r="E196"/>
  <c r="E324"/>
  <c r="E209"/>
  <c r="E305"/>
  <c r="E17"/>
  <c r="E260"/>
  <c r="E234"/>
  <c r="E91"/>
  <c r="E110"/>
  <c r="E299"/>
  <c r="E248"/>
  <c r="E337"/>
  <c r="E206"/>
  <c r="E100"/>
  <c r="E325"/>
  <c r="L9" i="1"/>
  <c r="E19" i="35"/>
  <c r="E236"/>
  <c r="E99"/>
  <c r="E83"/>
  <c r="E183"/>
  <c r="E351"/>
  <c r="E226"/>
  <c r="D13" i="37"/>
  <c r="E22" i="35"/>
  <c r="E356"/>
  <c r="E272"/>
  <c r="E284"/>
  <c r="E173"/>
  <c r="E251"/>
  <c r="E269"/>
  <c r="E333"/>
  <c r="E108"/>
  <c r="E58"/>
  <c r="E129"/>
  <c r="E11"/>
  <c r="E16"/>
  <c r="E244"/>
  <c r="E43"/>
  <c r="E174"/>
  <c r="E115"/>
  <c r="E344"/>
  <c r="E315"/>
  <c r="E283"/>
  <c r="D12" i="37"/>
  <c r="E131" i="35"/>
  <c r="E348"/>
  <c r="E240"/>
  <c r="E77"/>
  <c r="E82"/>
  <c r="E329"/>
  <c r="E294"/>
  <c r="D8" i="37"/>
  <c r="E243" i="35"/>
  <c r="E304"/>
  <c r="E199"/>
  <c r="E247"/>
  <c r="E137"/>
  <c r="E275"/>
  <c r="E130"/>
  <c r="E224"/>
  <c r="E331"/>
  <c r="D5" i="37"/>
  <c r="E273" i="35"/>
  <c r="E316"/>
  <c r="E345"/>
  <c r="E217"/>
  <c r="E289"/>
  <c r="E186"/>
  <c r="E168"/>
  <c r="E31"/>
  <c r="E180"/>
  <c r="E189"/>
  <c r="E25"/>
  <c r="E59"/>
  <c r="D20" i="37"/>
  <c r="E8" i="35"/>
  <c r="E145"/>
  <c r="E254"/>
  <c r="E5"/>
  <c r="E24"/>
  <c r="E205"/>
  <c r="E49"/>
  <c r="E118"/>
  <c r="E93"/>
  <c r="E111"/>
  <c r="E327"/>
  <c r="E159"/>
  <c r="E221"/>
  <c r="E274"/>
  <c r="D9" i="37"/>
  <c r="E81" i="35"/>
  <c r="E121"/>
  <c r="E156"/>
  <c r="E200"/>
  <c r="D7" i="37"/>
  <c r="E197" i="35"/>
  <c r="E227"/>
  <c r="D14" i="37"/>
  <c r="E293" i="35"/>
  <c r="E193"/>
  <c r="E147"/>
  <c r="E125"/>
  <c r="E201"/>
  <c r="E73"/>
  <c r="E194"/>
  <c r="E271"/>
  <c r="E119"/>
  <c r="E61"/>
  <c r="E128"/>
  <c r="D4" i="37"/>
  <c r="E363" i="35"/>
  <c r="E56"/>
  <c r="E74"/>
  <c r="E102"/>
  <c r="F435" i="34"/>
  <c r="F441"/>
  <c r="D44" i="10" s="1"/>
  <c r="E87" i="35"/>
  <c r="E135"/>
  <c r="E63"/>
  <c r="E277"/>
  <c r="E120"/>
  <c r="E169"/>
  <c r="E266"/>
  <c r="E207"/>
  <c r="E314"/>
  <c r="E104"/>
  <c r="E335"/>
  <c r="E307"/>
  <c r="D21" i="37"/>
  <c r="E371" i="35"/>
  <c r="D22" i="37"/>
  <c r="E379" i="35"/>
  <c r="E368"/>
  <c r="E372"/>
  <c r="E376"/>
  <c r="D23" i="37"/>
  <c r="E380" i="35"/>
  <c r="E365"/>
  <c r="E369"/>
  <c r="E373"/>
  <c r="E377"/>
  <c r="E381"/>
  <c r="E366"/>
  <c r="E370"/>
  <c r="E374"/>
  <c r="E378"/>
  <c r="E367"/>
  <c r="E375"/>
  <c r="E235"/>
  <c r="N7" i="1"/>
  <c r="E141" i="35"/>
  <c r="E292"/>
  <c r="E192"/>
  <c r="E276"/>
  <c r="E338"/>
  <c r="E85"/>
  <c r="E246"/>
  <c r="E309"/>
  <c r="E144"/>
  <c r="E54"/>
  <c r="E97"/>
  <c r="E98"/>
  <c r="E4"/>
  <c r="D18" i="37"/>
  <c r="E242" i="35"/>
  <c r="E355"/>
  <c r="E267"/>
  <c r="E279"/>
  <c r="E150"/>
  <c r="E328"/>
  <c r="E68"/>
  <c r="E72"/>
  <c r="E231"/>
  <c r="E171"/>
  <c r="E75"/>
  <c r="E302"/>
  <c r="E184"/>
  <c r="E79"/>
  <c r="E164"/>
  <c r="E291"/>
  <c r="E195"/>
  <c r="E170"/>
  <c r="E14"/>
  <c r="E256"/>
  <c r="E114"/>
  <c r="E65"/>
  <c r="E152"/>
  <c r="E124"/>
  <c r="E352"/>
  <c r="E44"/>
  <c r="E312"/>
  <c r="E172"/>
  <c r="D2" i="37"/>
  <c r="E47" i="35"/>
  <c r="E332"/>
  <c r="E163"/>
  <c r="E354"/>
  <c r="D16" i="37"/>
  <c r="E185" i="35"/>
  <c r="E52"/>
  <c r="E32"/>
  <c r="E90"/>
  <c r="E78"/>
  <c r="E346"/>
  <c r="D10" i="37"/>
  <c r="E359" i="35"/>
  <c r="E349"/>
  <c r="E84"/>
  <c r="E353"/>
  <c r="E29"/>
  <c r="E347"/>
  <c r="E290"/>
  <c r="E36"/>
  <c r="E268"/>
  <c r="E317"/>
  <c r="E263"/>
  <c r="E122"/>
  <c r="E296"/>
  <c r="E286"/>
  <c r="E261"/>
  <c r="E64"/>
  <c r="E241"/>
  <c r="E178"/>
  <c r="E33"/>
  <c r="E107"/>
  <c r="E176"/>
  <c r="E161"/>
  <c r="E278"/>
  <c r="D3" i="37"/>
  <c r="E95" i="35"/>
  <c r="E334"/>
  <c r="E280"/>
  <c r="E320"/>
  <c r="E336"/>
  <c r="E41"/>
  <c r="E360"/>
  <c r="E281"/>
  <c r="E323"/>
  <c r="E258"/>
  <c r="E358"/>
  <c r="E51"/>
  <c r="E123"/>
  <c r="E46"/>
  <c r="E92"/>
  <c r="E311"/>
  <c r="E39"/>
  <c r="E2"/>
  <c r="E103"/>
  <c r="E48"/>
  <c r="E157"/>
  <c r="D11" i="37"/>
  <c r="E146" i="35"/>
  <c r="E175"/>
  <c r="E34"/>
  <c r="E211"/>
  <c r="E297"/>
  <c r="E339"/>
  <c r="E37"/>
  <c r="E288"/>
  <c r="E40"/>
  <c r="E282"/>
  <c r="E287"/>
  <c r="E142"/>
  <c r="E357"/>
  <c r="E27"/>
  <c r="E214"/>
  <c r="E106"/>
  <c r="E153"/>
  <c r="E177"/>
  <c r="E139"/>
  <c r="E318"/>
  <c r="E250"/>
  <c r="E215"/>
  <c r="D15" i="37"/>
  <c r="E62" i="35"/>
  <c r="E21"/>
  <c r="E18"/>
  <c r="E208"/>
  <c r="E105"/>
  <c r="E265"/>
  <c r="E35"/>
  <c r="E53"/>
  <c r="E362"/>
  <c r="E112"/>
  <c r="E232"/>
  <c r="E117"/>
  <c r="E20"/>
  <c r="E101"/>
  <c r="E262"/>
  <c r="E3"/>
  <c r="E230"/>
  <c r="E321"/>
  <c r="E330"/>
  <c r="E166"/>
  <c r="E222"/>
  <c r="E190"/>
  <c r="E306"/>
  <c r="E162"/>
  <c r="E7"/>
  <c r="E303"/>
  <c r="E326"/>
  <c r="E264"/>
  <c r="E182"/>
  <c r="E26"/>
  <c r="E38"/>
  <c r="E13"/>
  <c r="E308"/>
  <c r="E319"/>
  <c r="D19" i="37"/>
  <c r="E364" i="35"/>
  <c r="E361"/>
  <c r="E223"/>
  <c r="E86"/>
  <c r="E132"/>
  <c r="E204"/>
  <c r="E76"/>
  <c r="E10"/>
  <c r="E245"/>
  <c r="E181"/>
  <c r="E149"/>
  <c r="E259"/>
  <c r="E133"/>
  <c r="E136"/>
  <c r="E298"/>
  <c r="E55"/>
  <c r="E9"/>
  <c r="E191"/>
  <c r="E350"/>
  <c r="E212"/>
  <c r="E80"/>
  <c r="E270"/>
  <c r="E285"/>
  <c r="E96"/>
  <c r="E60"/>
  <c r="E198"/>
  <c r="E158"/>
  <c r="E295"/>
  <c r="E300"/>
  <c r="E313"/>
  <c r="E322"/>
  <c r="E213"/>
  <c r="E228"/>
  <c r="E127"/>
  <c r="E148"/>
  <c r="E341"/>
  <c r="E134"/>
  <c r="E57"/>
  <c r="E88"/>
  <c r="E220"/>
  <c r="E179"/>
  <c r="E116"/>
  <c r="E109"/>
  <c r="E253"/>
  <c r="E252"/>
  <c r="E154"/>
  <c r="E30"/>
  <c r="E15"/>
  <c r="E203"/>
  <c r="E71"/>
  <c r="E89"/>
  <c r="E202"/>
  <c r="E113"/>
  <c r="E140"/>
  <c r="E237"/>
  <c r="E12"/>
  <c r="E219"/>
  <c r="E233"/>
  <c r="E255"/>
  <c r="E151"/>
  <c r="E210"/>
  <c r="E6"/>
  <c r="E340"/>
  <c r="E239"/>
  <c r="E143"/>
  <c r="E165"/>
  <c r="E310"/>
  <c r="E343"/>
  <c r="C10" i="1"/>
  <c r="D27" i="10"/>
  <c r="C7" i="1"/>
  <c r="M85"/>
  <c r="C16" i="36" l="1"/>
  <c r="C16" i="2"/>
  <c r="D50" i="10"/>
  <c r="D51"/>
  <c r="D53"/>
  <c r="D52"/>
  <c r="D42"/>
  <c r="D43"/>
  <c r="N21" i="1"/>
  <c r="N86" s="1"/>
  <c r="D47" i="11" s="1"/>
  <c r="M86" i="1"/>
  <c r="D30" i="10"/>
  <c r="D37"/>
  <c r="D21"/>
  <c r="D26"/>
  <c r="D40"/>
  <c r="D22"/>
  <c r="D35"/>
  <c r="D28"/>
  <c r="D38"/>
  <c r="D39"/>
  <c r="D33"/>
  <c r="D41"/>
  <c r="D34"/>
  <c r="D36"/>
  <c r="D31"/>
  <c r="D32"/>
  <c r="M87" i="1"/>
  <c r="C48" i="11" s="1"/>
  <c r="C47" l="1"/>
  <c r="O31" i="10" l="1"/>
  <c r="O34" l="1"/>
  <c r="Q31"/>
  <c r="O37" l="1"/>
  <c r="D52" i="11" s="1"/>
  <c r="Q34" i="10"/>
  <c r="Q37" l="1"/>
  <c r="Q41" s="1"/>
  <c r="O41"/>
  <c r="O53" s="1"/>
  <c r="C53" i="11" s="1"/>
  <c r="Q53" i="10" l="1"/>
  <c r="C49" i="11" l="1"/>
  <c r="C50"/>
  <c r="K21" i="36"/>
  <c r="K38" l="1"/>
  <c r="G204" i="38"/>
  <c r="G135"/>
  <c r="G234"/>
  <c r="I35"/>
  <c r="G247"/>
  <c r="I25"/>
  <c r="G206"/>
  <c r="G166"/>
  <c r="G224"/>
  <c r="G210"/>
  <c r="G107"/>
  <c r="G223"/>
  <c r="G103"/>
  <c r="G186"/>
  <c r="G199"/>
  <c r="G128"/>
  <c r="G133"/>
  <c r="G259"/>
  <c r="G181"/>
  <c r="G236"/>
  <c r="I28"/>
  <c r="G182"/>
  <c r="G146"/>
  <c r="G124"/>
  <c r="G137"/>
  <c r="G222"/>
  <c r="G235"/>
  <c r="G227"/>
  <c r="G138"/>
  <c r="I47"/>
  <c r="G200"/>
  <c r="G132"/>
  <c r="G219"/>
  <c r="G139"/>
  <c r="G150"/>
  <c r="G88"/>
  <c r="G169"/>
  <c r="G131"/>
  <c r="G151"/>
  <c r="I54"/>
  <c r="G229"/>
  <c r="G81"/>
  <c r="G155"/>
  <c r="G233"/>
  <c r="G142"/>
  <c r="G228"/>
  <c r="G116"/>
  <c r="I5"/>
  <c r="G78"/>
  <c r="G96"/>
  <c r="G213"/>
  <c r="I4"/>
  <c r="G140"/>
  <c r="G160"/>
  <c r="G202"/>
  <c r="I45"/>
  <c r="G83"/>
  <c r="I19"/>
  <c r="G167"/>
  <c r="G177"/>
  <c r="G125"/>
  <c r="G189"/>
  <c r="G112"/>
  <c r="G117"/>
  <c r="G94"/>
  <c r="G218"/>
  <c r="G251"/>
  <c r="I55"/>
  <c r="G91"/>
  <c r="I31"/>
  <c r="I52"/>
  <c r="I27"/>
  <c r="G147"/>
  <c r="G180"/>
  <c r="G216"/>
  <c r="I37"/>
  <c r="G158"/>
  <c r="I2"/>
  <c r="G184"/>
  <c r="I3"/>
  <c r="G176"/>
  <c r="G197"/>
  <c r="G198"/>
  <c r="I12"/>
  <c r="G165"/>
  <c r="I11"/>
  <c r="G187"/>
  <c r="G196"/>
  <c r="G71"/>
  <c r="I61"/>
  <c r="I15"/>
  <c r="G134"/>
  <c r="G145"/>
  <c r="G144"/>
  <c r="G244"/>
  <c r="G118"/>
  <c r="G209"/>
  <c r="G237"/>
  <c r="I48"/>
  <c r="G104"/>
  <c r="G161"/>
  <c r="I41"/>
  <c r="G188"/>
  <c r="G111"/>
  <c r="G109"/>
  <c r="G141"/>
  <c r="G126"/>
  <c r="G130"/>
  <c r="G98"/>
  <c r="G101"/>
  <c r="G190"/>
  <c r="G76"/>
  <c r="G136"/>
  <c r="G201"/>
  <c r="G194"/>
  <c r="G185"/>
  <c r="I10"/>
  <c r="I7"/>
  <c r="G99"/>
  <c r="G152"/>
  <c r="I59"/>
  <c r="G97"/>
  <c r="G85"/>
  <c r="G82"/>
  <c r="G95"/>
  <c r="G122"/>
  <c r="G212"/>
  <c r="G214"/>
  <c r="G258"/>
  <c r="I53"/>
  <c r="G156"/>
  <c r="G90"/>
  <c r="G110"/>
  <c r="G207"/>
  <c r="I17"/>
  <c r="I22"/>
  <c r="I33"/>
  <c r="I20"/>
  <c r="G172"/>
  <c r="I21"/>
  <c r="I18"/>
  <c r="G256"/>
  <c r="G191"/>
  <c r="G92"/>
  <c r="G113"/>
  <c r="I30"/>
  <c r="G215"/>
  <c r="G120"/>
  <c r="G248"/>
  <c r="G231"/>
  <c r="G245"/>
  <c r="I40"/>
  <c r="G121"/>
  <c r="I46"/>
  <c r="G86"/>
  <c r="G246"/>
  <c r="I57"/>
  <c r="I9"/>
  <c r="G230"/>
  <c r="I68"/>
  <c r="I67"/>
  <c r="G205"/>
  <c r="G148"/>
  <c r="G114"/>
  <c r="G174"/>
  <c r="G87"/>
  <c r="G123"/>
  <c r="G149"/>
  <c r="G171"/>
  <c r="G93"/>
  <c r="G221"/>
  <c r="G105"/>
  <c r="I43"/>
  <c r="G226"/>
  <c r="G170"/>
  <c r="G72"/>
  <c r="I29"/>
  <c r="G154"/>
  <c r="G159"/>
  <c r="G195"/>
  <c r="G240"/>
  <c r="G220"/>
  <c r="G74"/>
  <c r="G119"/>
  <c r="I14"/>
  <c r="G84"/>
  <c r="G175"/>
  <c r="I26"/>
  <c r="G79"/>
  <c r="G127"/>
  <c r="G179"/>
  <c r="G89"/>
  <c r="G77"/>
  <c r="I39"/>
  <c r="G115"/>
  <c r="I62"/>
  <c r="G239"/>
  <c r="G225"/>
  <c r="G106"/>
  <c r="G255"/>
  <c r="G100"/>
  <c r="G173"/>
  <c r="G232"/>
  <c r="G102"/>
  <c r="G252"/>
  <c r="I36"/>
  <c r="G168"/>
  <c r="I38"/>
  <c r="G243"/>
  <c r="I60"/>
  <c r="G250"/>
  <c r="I8"/>
  <c r="G257"/>
  <c r="G211"/>
  <c r="G70"/>
  <c r="I44"/>
  <c r="I63"/>
  <c r="G249"/>
  <c r="G192"/>
  <c r="I49"/>
  <c r="G253"/>
  <c r="G75"/>
  <c r="G178"/>
  <c r="G129"/>
  <c r="G238"/>
  <c r="I56"/>
  <c r="G162"/>
  <c r="G80"/>
  <c r="G143"/>
  <c r="I34"/>
  <c r="G263"/>
  <c r="G108"/>
  <c r="G163"/>
  <c r="G157"/>
  <c r="G183"/>
  <c r="G279"/>
  <c r="G217"/>
  <c r="I23"/>
  <c r="I13"/>
  <c r="G153"/>
  <c r="G208"/>
  <c r="I64"/>
  <c r="I6"/>
  <c r="G164"/>
  <c r="I16"/>
  <c r="I50"/>
  <c r="G241"/>
  <c r="G73"/>
  <c r="G281"/>
  <c r="I32"/>
  <c r="I58"/>
  <c r="G203"/>
  <c r="G193"/>
  <c r="G254"/>
  <c r="I66"/>
  <c r="I51"/>
  <c r="G242"/>
  <c r="I42"/>
  <c r="I65"/>
  <c r="I24"/>
  <c r="M360" i="35"/>
  <c r="M150"/>
  <c r="J259"/>
  <c r="N384"/>
  <c r="N297"/>
  <c r="J117"/>
  <c r="D16" i="38"/>
  <c r="M212" i="35"/>
  <c r="F39" i="38"/>
  <c r="G426"/>
  <c r="J181" i="35"/>
  <c r="M391"/>
  <c r="E158" i="38"/>
  <c r="N254" i="35"/>
  <c r="N337"/>
  <c r="H58" i="38"/>
  <c r="N122" i="35"/>
  <c r="E440" i="38"/>
  <c r="N317" i="35"/>
  <c r="K19"/>
  <c r="L101"/>
  <c r="M18"/>
  <c r="N183"/>
  <c r="R10" i="37"/>
  <c r="N11" i="35"/>
  <c r="M52"/>
  <c r="G37" i="38"/>
  <c r="J69" i="35"/>
  <c r="N5"/>
  <c r="K9" i="37"/>
  <c r="F28" i="38"/>
  <c r="N33" i="35"/>
  <c r="E217" i="38"/>
  <c r="E136"/>
  <c r="L86" i="35"/>
  <c r="M402"/>
  <c r="N137"/>
  <c r="M288"/>
  <c r="F64" i="38"/>
  <c r="D269"/>
  <c r="J419"/>
  <c r="G65"/>
  <c r="E172"/>
  <c r="D230"/>
  <c r="N140" i="35"/>
  <c r="M149"/>
  <c r="D289" i="38"/>
  <c r="E423"/>
  <c r="N375" i="35"/>
  <c r="J124"/>
  <c r="N70"/>
  <c r="K18"/>
  <c r="J269"/>
  <c r="M353"/>
  <c r="M235"/>
  <c r="F415" i="38"/>
  <c r="N187" i="35"/>
  <c r="E140" i="38"/>
  <c r="E184"/>
  <c r="J122" i="35"/>
  <c r="M389"/>
  <c r="J58"/>
  <c r="D308" i="38"/>
  <c r="J208" i="35"/>
  <c r="D300" i="38"/>
  <c r="J291" i="35"/>
  <c r="L7" i="37"/>
  <c r="N321" i="35"/>
  <c r="K428" i="38"/>
  <c r="M233" i="35"/>
  <c r="J154"/>
  <c r="M13"/>
  <c r="N370"/>
  <c r="M336"/>
  <c r="H434" i="38"/>
  <c r="J250" i="35"/>
  <c r="N196"/>
  <c r="E33" i="38"/>
  <c r="D265"/>
  <c r="M141" i="35"/>
  <c r="J224"/>
  <c r="N293"/>
  <c r="E433" i="38"/>
  <c r="E271"/>
  <c r="M73" i="35"/>
  <c r="P6" i="37"/>
  <c r="J271" i="35"/>
  <c r="M41"/>
  <c r="J165"/>
  <c r="D325" i="38"/>
  <c r="M68" i="35"/>
  <c r="J301"/>
  <c r="E128" i="38"/>
  <c r="G20"/>
  <c r="E294"/>
  <c r="M17" i="35"/>
  <c r="M102"/>
  <c r="N133"/>
  <c r="G45" i="38"/>
  <c r="H23"/>
  <c r="M280" i="35"/>
  <c r="N304"/>
  <c r="L56"/>
  <c r="F345" i="38"/>
  <c r="H49"/>
  <c r="M89" i="35"/>
  <c r="M335"/>
  <c r="S9" i="37"/>
  <c r="E72" i="38"/>
  <c r="J21" i="35"/>
  <c r="E276" i="38"/>
  <c r="E48"/>
  <c r="J147" i="35"/>
  <c r="F91" i="38"/>
  <c r="M113" i="35"/>
  <c r="M7" i="37"/>
  <c r="M435" i="38"/>
  <c r="F400"/>
  <c r="N377" i="35"/>
  <c r="D237" i="38"/>
  <c r="F341"/>
  <c r="M237" i="35"/>
  <c r="F128" i="38"/>
  <c r="G29"/>
  <c r="G432"/>
  <c r="N303" i="35"/>
  <c r="O17" i="37"/>
  <c r="M162" i="35"/>
  <c r="H12" i="38"/>
  <c r="D222"/>
  <c r="I427"/>
  <c r="E78"/>
  <c r="L33" i="35"/>
  <c r="N266"/>
  <c r="E275" i="38"/>
  <c r="L30" i="35"/>
  <c r="H5" i="38"/>
  <c r="M326" i="35"/>
  <c r="N7"/>
  <c r="M236"/>
  <c r="F93" i="38"/>
  <c r="F26"/>
  <c r="F433"/>
  <c r="M417"/>
  <c r="M197" i="35"/>
  <c r="N283"/>
  <c r="E287" i="38"/>
  <c r="M341" i="35"/>
  <c r="I424" i="38"/>
  <c r="F347"/>
  <c r="N13" i="35"/>
  <c r="M83"/>
  <c r="E21" i="38"/>
  <c r="N290" i="35"/>
  <c r="N32"/>
  <c r="N190"/>
  <c r="D211" i="38"/>
  <c r="E97"/>
  <c r="F399"/>
  <c r="M33" i="35"/>
  <c r="D152" i="38"/>
  <c r="E29"/>
  <c r="M438"/>
  <c r="D287"/>
  <c r="E424"/>
  <c r="L96" i="35"/>
  <c r="E238" i="38"/>
  <c r="D192"/>
  <c r="M368" i="35"/>
  <c r="M276"/>
  <c r="N73"/>
  <c r="F332" i="38"/>
  <c r="N257" i="35"/>
  <c r="N24"/>
  <c r="H15" i="38"/>
  <c r="F361"/>
  <c r="N164" i="35"/>
  <c r="F24" i="38"/>
  <c r="Q10" i="37"/>
  <c r="E247" i="38"/>
  <c r="E168"/>
  <c r="F355"/>
  <c r="M60" i="35"/>
  <c r="D179" i="38"/>
  <c r="D159"/>
  <c r="D288"/>
  <c r="M143" i="35"/>
  <c r="E406" i="38"/>
  <c r="L98" i="35"/>
  <c r="D248" i="38"/>
  <c r="L134" i="35"/>
  <c r="D204" i="38"/>
  <c r="N428"/>
  <c r="E264"/>
  <c r="L64" i="35"/>
  <c r="E165" i="38"/>
  <c r="J337" i="35"/>
  <c r="H26" i="38"/>
  <c r="K65" i="35"/>
  <c r="J91"/>
  <c r="J237"/>
  <c r="M188"/>
  <c r="N23"/>
  <c r="G424" i="38"/>
  <c r="N320" i="35"/>
  <c r="F143" i="38"/>
  <c r="N112" i="35"/>
  <c r="M139"/>
  <c r="D337" i="38"/>
  <c r="F386"/>
  <c r="E207"/>
  <c r="J430"/>
  <c r="N353" i="35"/>
  <c r="F150" i="38"/>
  <c r="M9" i="37"/>
  <c r="E431" i="38"/>
  <c r="N19" i="35"/>
  <c r="J21" i="37"/>
  <c r="J226" i="35"/>
  <c r="M340"/>
  <c r="H38" i="38"/>
  <c r="D329"/>
  <c r="J317" i="35"/>
  <c r="J258"/>
  <c r="M290"/>
  <c r="F72" i="38"/>
  <c r="J86" i="35"/>
  <c r="J150"/>
  <c r="E99" i="38"/>
  <c r="M323" i="35"/>
  <c r="E190" i="38"/>
  <c r="H45"/>
  <c r="N8" i="35"/>
  <c r="K11"/>
  <c r="N367"/>
  <c r="E7" i="38"/>
  <c r="J41" i="35"/>
  <c r="F16" i="38"/>
  <c r="S10" i="37"/>
  <c r="J136" i="35"/>
  <c r="J248"/>
  <c r="J239"/>
  <c r="N302"/>
  <c r="G417" i="38"/>
  <c r="F96"/>
  <c r="R5" i="37"/>
  <c r="N219" i="35"/>
  <c r="J439" i="38"/>
  <c r="N319" i="35"/>
  <c r="F63" i="38"/>
  <c r="E189"/>
  <c r="M262" i="35"/>
  <c r="G4" i="38"/>
  <c r="E430"/>
  <c r="J142" i="35"/>
  <c r="F335" i="38"/>
  <c r="F103"/>
  <c r="F109"/>
  <c r="N306" i="35"/>
  <c r="F370" i="38"/>
  <c r="N202" i="35"/>
  <c r="I419" i="38"/>
  <c r="G430"/>
  <c r="M357" i="35"/>
  <c r="K55"/>
  <c r="E267" i="38"/>
  <c r="J94" i="35"/>
  <c r="M239"/>
  <c r="D278" i="38"/>
  <c r="F2"/>
  <c r="J52" i="35"/>
  <c r="N9" i="37"/>
  <c r="D147" i="38"/>
  <c r="J429"/>
  <c r="J228" i="35"/>
  <c r="N58"/>
  <c r="F322" i="38"/>
  <c r="M299" i="35"/>
  <c r="M32"/>
  <c r="K42"/>
  <c r="L127"/>
  <c r="M54"/>
  <c r="D172" i="38"/>
  <c r="J257" i="35"/>
  <c r="N28"/>
  <c r="F324" i="38"/>
  <c r="M28" i="35"/>
  <c r="M393"/>
  <c r="F47" i="38"/>
  <c r="G51"/>
  <c r="F45"/>
  <c r="R6" i="37"/>
  <c r="M342" i="35"/>
  <c r="M117"/>
  <c r="M381"/>
  <c r="D284" i="38"/>
  <c r="F36"/>
  <c r="F54"/>
  <c r="F34"/>
  <c r="F162"/>
  <c r="J295" i="35"/>
  <c r="J312"/>
  <c r="L19"/>
  <c r="M51"/>
  <c r="K63"/>
  <c r="J77"/>
  <c r="G31" i="38"/>
  <c r="F339"/>
  <c r="D20"/>
  <c r="D232"/>
  <c r="D5"/>
  <c r="N3" i="37"/>
  <c r="H429" i="38"/>
  <c r="L52" i="35"/>
  <c r="J272"/>
  <c r="L37"/>
  <c r="N285"/>
  <c r="J261"/>
  <c r="G63" i="38"/>
  <c r="D245"/>
  <c r="N312" i="35"/>
  <c r="F107" i="38"/>
  <c r="N60" i="35"/>
  <c r="N328"/>
  <c r="E169" i="38"/>
  <c r="J275" i="35"/>
  <c r="F330" i="38"/>
  <c r="M228" i="35"/>
  <c r="M225"/>
  <c r="N129"/>
  <c r="J115"/>
  <c r="N421" i="38"/>
  <c r="D168"/>
  <c r="E85"/>
  <c r="D277"/>
  <c r="J286" i="35"/>
  <c r="J297"/>
  <c r="N382"/>
  <c r="N323"/>
  <c r="J112"/>
  <c r="F176" i="38"/>
  <c r="F74"/>
  <c r="G46"/>
  <c r="N14" i="37"/>
  <c r="K3"/>
  <c r="F419" i="38"/>
  <c r="E147"/>
  <c r="F434"/>
  <c r="D224"/>
  <c r="E46"/>
  <c r="E87"/>
  <c r="F380"/>
  <c r="M126" i="35"/>
  <c r="M5"/>
  <c r="D319" i="38"/>
  <c r="E299"/>
  <c r="K7" i="35"/>
  <c r="H29" i="38"/>
  <c r="M90" i="35"/>
  <c r="M339"/>
  <c r="N418" i="38"/>
  <c r="M317" i="35"/>
  <c r="L53"/>
  <c r="H54" i="38"/>
  <c r="J437"/>
  <c r="H57"/>
  <c r="N433"/>
  <c r="D321"/>
  <c r="N215" i="35"/>
  <c r="J116"/>
  <c r="N65"/>
  <c r="D261" i="38"/>
  <c r="J164" i="35"/>
  <c r="N267"/>
  <c r="E25" i="38"/>
  <c r="N430"/>
  <c r="J32" i="35"/>
  <c r="E103" i="38"/>
  <c r="J68" i="35"/>
  <c r="E277" i="38"/>
  <c r="M229" i="35"/>
  <c r="N265"/>
  <c r="N356"/>
  <c r="J70"/>
  <c r="E179" i="38"/>
  <c r="K25" i="35"/>
  <c r="J166"/>
  <c r="M166"/>
  <c r="N207"/>
  <c r="J241"/>
  <c r="R11" i="37"/>
  <c r="M406" i="35"/>
  <c r="E81" i="38"/>
  <c r="J29" i="37"/>
  <c r="J340" i="35"/>
  <c r="J88"/>
  <c r="J284"/>
  <c r="N212"/>
  <c r="L422" i="38"/>
  <c r="J328" i="35"/>
  <c r="G16" i="38"/>
  <c r="F137"/>
  <c r="N407" i="35"/>
  <c r="F183" i="38"/>
  <c r="D223"/>
  <c r="M232" i="35"/>
  <c r="E47" i="38"/>
  <c r="E195"/>
  <c r="N30" i="35"/>
  <c r="M274"/>
  <c r="D198" i="38"/>
  <c r="M286" i="35"/>
  <c r="M154"/>
  <c r="J190"/>
  <c r="N119"/>
  <c r="E108" i="38"/>
  <c r="J210" i="35"/>
  <c r="M95"/>
  <c r="N94"/>
  <c r="N385"/>
  <c r="J229"/>
  <c r="M226"/>
  <c r="L24"/>
  <c r="J63"/>
  <c r="F182" i="38"/>
  <c r="D336"/>
  <c r="P9" i="37"/>
  <c r="H20" i="38"/>
  <c r="N309" i="35"/>
  <c r="K50"/>
  <c r="E422" i="38"/>
  <c r="M408" i="35"/>
  <c r="K4"/>
  <c r="N419" i="38"/>
  <c r="J240" i="35"/>
  <c r="J321"/>
  <c r="K38"/>
  <c r="D330" i="38"/>
  <c r="J434"/>
  <c r="D304"/>
  <c r="M134" i="35"/>
  <c r="E8" i="38"/>
  <c r="N218" i="35"/>
  <c r="N88"/>
  <c r="N96"/>
  <c r="I428" i="38"/>
  <c r="E6"/>
  <c r="F154"/>
  <c r="F429"/>
  <c r="E248"/>
  <c r="N286" i="35"/>
  <c r="M86"/>
  <c r="E284" i="38"/>
  <c r="L69" i="35"/>
  <c r="N403"/>
  <c r="N146"/>
  <c r="M295"/>
  <c r="J223"/>
  <c r="D155" i="38"/>
  <c r="M76" i="35"/>
  <c r="L120"/>
  <c r="D160" i="38"/>
  <c r="M310" i="35"/>
  <c r="F69" i="38"/>
  <c r="N243" i="35"/>
  <c r="E3" i="38"/>
  <c r="Q6" i="37"/>
  <c r="N90" i="35"/>
  <c r="E263" i="38"/>
  <c r="M321" i="35"/>
  <c r="J327"/>
  <c r="J201"/>
  <c r="D141" i="38"/>
  <c r="D191"/>
  <c r="K8" i="35"/>
  <c r="J61"/>
  <c r="I438" i="38"/>
  <c r="F404"/>
  <c r="I440"/>
  <c r="F186"/>
  <c r="J119" i="35"/>
  <c r="M244"/>
  <c r="N432" i="38"/>
  <c r="F122"/>
  <c r="J143" i="35"/>
  <c r="M108"/>
  <c r="N440" i="38"/>
  <c r="N417"/>
  <c r="E413"/>
  <c r="E291"/>
  <c r="J314" i="35"/>
  <c r="D305" i="38"/>
  <c r="J74" i="35"/>
  <c r="N279"/>
  <c r="E192" i="38"/>
  <c r="N89" i="35"/>
  <c r="N379"/>
  <c r="F7" i="38"/>
  <c r="N342" i="35"/>
  <c r="H42" i="38"/>
  <c r="L42" i="35"/>
  <c r="M111"/>
  <c r="F158" i="38"/>
  <c r="J134" i="35"/>
  <c r="N76"/>
  <c r="N438" i="38"/>
  <c r="N423"/>
  <c r="N397" i="35"/>
  <c r="N31"/>
  <c r="M253"/>
  <c r="M14"/>
  <c r="E297" i="38"/>
  <c r="D180"/>
  <c r="F175"/>
  <c r="M173" i="35"/>
  <c r="K5" i="37"/>
  <c r="H24" i="38"/>
  <c r="E30"/>
  <c r="K423"/>
  <c r="M37" i="35"/>
  <c r="N314"/>
  <c r="K45"/>
  <c r="N97"/>
  <c r="E53" i="38"/>
  <c r="K30" i="35"/>
  <c r="M46"/>
  <c r="J9" i="37"/>
  <c r="L423" i="38"/>
  <c r="E98"/>
  <c r="M259" i="35"/>
  <c r="J270"/>
  <c r="F180" i="38"/>
  <c r="F121"/>
  <c r="M324" i="35"/>
  <c r="N308"/>
  <c r="M81"/>
  <c r="J178"/>
  <c r="M40"/>
  <c r="K31"/>
  <c r="J46"/>
  <c r="E186" i="38"/>
  <c r="J16" i="35"/>
  <c r="H64" i="38"/>
  <c r="N161" i="35"/>
  <c r="M19"/>
  <c r="F196" i="38"/>
  <c r="N332" i="35"/>
  <c r="D186" i="38"/>
  <c r="J182" i="35"/>
  <c r="J73"/>
  <c r="J83"/>
  <c r="J267"/>
  <c r="N338"/>
  <c r="M6" i="37"/>
  <c r="N244" i="35"/>
  <c r="D190" i="38"/>
  <c r="D317"/>
  <c r="F389"/>
  <c r="N362" i="35"/>
  <c r="L74"/>
  <c r="M386"/>
  <c r="M313"/>
  <c r="D267" i="38"/>
  <c r="J290" i="35"/>
  <c r="N6"/>
  <c r="G14" i="38"/>
  <c r="K430"/>
  <c r="R17" i="37"/>
  <c r="K52" i="35"/>
  <c r="M128"/>
  <c r="J336"/>
  <c r="D235" i="38"/>
  <c r="F428"/>
  <c r="J293" i="35"/>
  <c r="E219" i="38"/>
  <c r="E148"/>
  <c r="D328"/>
  <c r="L425"/>
  <c r="M260" i="35"/>
  <c r="M8"/>
  <c r="N340"/>
  <c r="D189" i="38"/>
  <c r="D15"/>
  <c r="E105"/>
  <c r="N292" i="35"/>
  <c r="K48"/>
  <c r="D144" i="38"/>
  <c r="J266" i="35"/>
  <c r="E42" i="38"/>
  <c r="M345" i="35"/>
  <c r="E274" i="38"/>
  <c r="I437"/>
  <c r="J175" i="35"/>
  <c r="J60"/>
  <c r="M297"/>
  <c r="M114"/>
  <c r="J235"/>
  <c r="F395" i="38"/>
  <c r="N326" i="35"/>
  <c r="L27"/>
  <c r="J97"/>
  <c r="N291"/>
  <c r="M132"/>
  <c r="M53"/>
  <c r="D236" i="38"/>
  <c r="N227" i="35"/>
  <c r="E290" i="38"/>
  <c r="N198" i="35"/>
  <c r="N259"/>
  <c r="J191"/>
  <c r="M69"/>
  <c r="M164"/>
  <c r="E426" i="38"/>
  <c r="M238" i="35"/>
  <c r="G50" i="38"/>
  <c r="E23"/>
  <c r="L440"/>
  <c r="M66" i="35"/>
  <c r="J335"/>
  <c r="J305"/>
  <c r="J184"/>
  <c r="J125"/>
  <c r="M26"/>
  <c r="E106" i="38"/>
  <c r="E90"/>
  <c r="F426"/>
  <c r="N136" i="35"/>
  <c r="N399"/>
  <c r="J168"/>
  <c r="M17" i="37"/>
  <c r="J72" i="35"/>
  <c r="E255" i="38"/>
  <c r="D312"/>
  <c r="M107" i="35"/>
  <c r="K21"/>
  <c r="E39" i="38"/>
  <c r="N145" i="35"/>
  <c r="D306" i="38"/>
  <c r="H7"/>
  <c r="S23" i="37"/>
  <c r="K64" i="35"/>
  <c r="M421" i="38"/>
  <c r="G60"/>
  <c r="G418"/>
  <c r="F407"/>
  <c r="J197" i="35"/>
  <c r="N365"/>
  <c r="E126" i="38"/>
  <c r="N255" i="35"/>
  <c r="O15" i="37"/>
  <c r="D158" i="38"/>
  <c r="E12"/>
  <c r="L81" i="35"/>
  <c r="M130"/>
  <c r="M178"/>
  <c r="N359"/>
  <c r="D295" i="38"/>
  <c r="N22" i="35"/>
  <c r="N301"/>
  <c r="M31"/>
  <c r="N307"/>
  <c r="E183" i="38"/>
  <c r="F337"/>
  <c r="E123"/>
  <c r="N281" i="35"/>
  <c r="F170" i="38"/>
  <c r="K5" i="35"/>
  <c r="M254"/>
  <c r="F398" i="38"/>
  <c r="F441"/>
  <c r="D343"/>
  <c r="M246" i="35"/>
  <c r="M49"/>
  <c r="N380"/>
  <c r="F303" i="38"/>
  <c r="J273" i="35"/>
  <c r="M281"/>
  <c r="F371" i="38"/>
  <c r="J217" i="35"/>
  <c r="D346" i="38"/>
  <c r="F416"/>
  <c r="M433"/>
  <c r="M148" i="35"/>
  <c r="E420" i="38"/>
  <c r="E414"/>
  <c r="M7" i="35"/>
  <c r="N400"/>
  <c r="G21" i="38"/>
  <c r="H438"/>
  <c r="E196"/>
  <c r="D175"/>
  <c r="L83" i="35"/>
  <c r="J50"/>
  <c r="K422" i="38"/>
  <c r="E57"/>
  <c r="E160"/>
  <c r="M163" i="35"/>
  <c r="D286" i="38"/>
  <c r="M428"/>
  <c r="L3" i="37"/>
  <c r="D19" i="38"/>
  <c r="J420"/>
  <c r="D280"/>
  <c r="M320" i="35"/>
  <c r="N352"/>
  <c r="D193" i="38"/>
  <c r="E224"/>
  <c r="D214"/>
  <c r="E82"/>
  <c r="F172"/>
  <c r="D9"/>
  <c r="M133" i="35"/>
  <c r="F6" i="38"/>
  <c r="F17"/>
  <c r="F129"/>
  <c r="M34" i="35"/>
  <c r="M192"/>
  <c r="J282"/>
  <c r="D233" i="38"/>
  <c r="N426"/>
  <c r="F313"/>
  <c r="N21" i="35"/>
  <c r="L35" i="37"/>
  <c r="J313" i="35"/>
  <c r="J44"/>
  <c r="N127"/>
  <c r="L6"/>
  <c r="N278"/>
  <c r="L89"/>
  <c r="N236"/>
  <c r="N230"/>
  <c r="H30" i="38"/>
  <c r="D297"/>
  <c r="D347"/>
  <c r="D309"/>
  <c r="N21" i="37"/>
  <c r="K46" i="35"/>
  <c r="G441" i="38"/>
  <c r="G57"/>
  <c r="N93" i="35"/>
  <c r="F387" i="38"/>
  <c r="M354" i="35"/>
  <c r="M396"/>
  <c r="F427" i="38"/>
  <c r="E135"/>
  <c r="F123"/>
  <c r="L107" i="35"/>
  <c r="J418" i="38"/>
  <c r="M189" i="35"/>
  <c r="D323" i="38"/>
  <c r="O11" i="37"/>
  <c r="N121" i="35"/>
  <c r="F40" i="38"/>
  <c r="N16" i="37"/>
  <c r="M385" i="35"/>
  <c r="F147" i="38"/>
  <c r="D18"/>
  <c r="E52"/>
  <c r="J42" i="35"/>
  <c r="F53" i="38"/>
  <c r="M271" i="35"/>
  <c r="J28" i="37"/>
  <c r="F188" i="38"/>
  <c r="N103" i="35"/>
  <c r="J137"/>
  <c r="H423" i="38"/>
  <c r="J81" i="35"/>
  <c r="H18" i="38"/>
  <c r="M329" i="35"/>
  <c r="D332" i="38"/>
  <c r="N172" i="35"/>
  <c r="O21" i="37"/>
  <c r="J303" i="35"/>
  <c r="J174"/>
  <c r="N163"/>
  <c r="L114"/>
  <c r="J188"/>
  <c r="E258" i="38"/>
  <c r="E111"/>
  <c r="F385"/>
  <c r="M263" i="35"/>
  <c r="L15"/>
  <c r="K438" i="38"/>
  <c r="M123" i="35"/>
  <c r="E153" i="38"/>
  <c r="M427"/>
  <c r="F354"/>
  <c r="F52"/>
  <c r="M388" i="35"/>
  <c r="N381"/>
  <c r="M71"/>
  <c r="M48"/>
  <c r="E74" i="38"/>
  <c r="N78" i="35"/>
  <c r="K54"/>
  <c r="M362"/>
  <c r="M82"/>
  <c r="E129" i="38"/>
  <c r="M177" i="35"/>
  <c r="F360" i="38"/>
  <c r="M103" i="35"/>
  <c r="H4" i="38"/>
  <c r="N95" i="35"/>
  <c r="K6"/>
  <c r="N170"/>
  <c r="M153"/>
  <c r="N151"/>
  <c r="D151" i="38"/>
  <c r="J11" i="35"/>
  <c r="L118"/>
  <c r="G440" i="38"/>
  <c r="N178" i="35"/>
  <c r="M395"/>
  <c r="N250"/>
  <c r="F61" i="38"/>
  <c r="E285"/>
  <c r="G422"/>
  <c r="N101" i="35"/>
  <c r="J10" i="37"/>
  <c r="J231" i="35"/>
  <c r="O13" i="37"/>
  <c r="J127" i="35"/>
  <c r="J155"/>
  <c r="N231"/>
  <c r="L10"/>
  <c r="J315"/>
  <c r="H48" i="38"/>
  <c r="J80" i="35"/>
  <c r="N354"/>
  <c r="M309"/>
  <c r="F344" i="38"/>
  <c r="M179" i="35"/>
  <c r="J169"/>
  <c r="D316" i="38"/>
  <c r="N392" i="35"/>
  <c r="F71" i="38"/>
  <c r="F304"/>
  <c r="J329" i="35"/>
  <c r="N125"/>
  <c r="L424" i="38"/>
  <c r="E259"/>
  <c r="N176" i="35"/>
  <c r="K68"/>
  <c r="L35"/>
  <c r="J6"/>
  <c r="G35" i="38"/>
  <c r="L439"/>
  <c r="F131"/>
  <c r="F311"/>
  <c r="N240" i="35"/>
  <c r="L119"/>
  <c r="E282" i="38"/>
  <c r="M23" i="37"/>
  <c r="M204" i="35"/>
  <c r="M301"/>
  <c r="M147"/>
  <c r="E11" i="38"/>
  <c r="J296" i="35"/>
  <c r="N175"/>
  <c r="F165" i="38"/>
  <c r="F30"/>
  <c r="M3" i="37"/>
  <c r="M347" i="35"/>
  <c r="F41" i="38"/>
  <c r="J330" i="35"/>
  <c r="N36"/>
  <c r="E187" i="38"/>
  <c r="D294"/>
  <c r="M21" i="35"/>
  <c r="L16"/>
  <c r="E19" i="38"/>
  <c r="N107" i="35"/>
  <c r="D203" i="38"/>
  <c r="N280" i="35"/>
  <c r="H436" i="38"/>
  <c r="R14" i="37"/>
  <c r="N38" i="35"/>
  <c r="H420" i="38"/>
  <c r="J428"/>
  <c r="N343" i="35"/>
  <c r="J27" i="37"/>
  <c r="N2" i="35"/>
  <c r="E181" i="38"/>
  <c r="J107" i="35"/>
  <c r="N159"/>
  <c r="M169"/>
  <c r="L103"/>
  <c r="E76" i="38"/>
  <c r="K429"/>
  <c r="E289"/>
  <c r="F136"/>
  <c r="M218" i="35"/>
  <c r="D247" i="38"/>
  <c r="K13" i="35"/>
  <c r="F365" i="38"/>
  <c r="M142" i="35"/>
  <c r="M203"/>
  <c r="N204"/>
  <c r="E222" i="38"/>
  <c r="J262" i="35"/>
  <c r="M331"/>
  <c r="F414" i="38"/>
  <c r="N363" i="35"/>
  <c r="J114"/>
  <c r="F418" i="38"/>
  <c r="J5" i="37"/>
  <c r="M356" i="35"/>
  <c r="E197" i="38"/>
  <c r="E149"/>
  <c r="N44" i="35"/>
  <c r="L44"/>
  <c r="J207"/>
  <c r="E439" i="38"/>
  <c r="M11" i="37"/>
  <c r="K59" i="35"/>
  <c r="D307" i="38"/>
  <c r="E188"/>
  <c r="G17"/>
  <c r="N361" i="35"/>
  <c r="Q21" i="37"/>
  <c r="D281" i="38"/>
  <c r="L29" i="35"/>
  <c r="J53"/>
  <c r="J298"/>
  <c r="F302" i="38"/>
  <c r="F363"/>
  <c r="M159" i="35"/>
  <c r="M378"/>
  <c r="G39" i="38"/>
  <c r="N85" i="35"/>
  <c r="N56"/>
  <c r="G11" i="38"/>
  <c r="M425"/>
  <c r="N185" i="35"/>
  <c r="N329"/>
  <c r="M242"/>
  <c r="D188" i="38"/>
  <c r="N87" i="35"/>
  <c r="N249"/>
  <c r="H3" i="38"/>
  <c r="M272" i="35"/>
  <c r="N220"/>
  <c r="L51"/>
  <c r="K437" i="38"/>
  <c r="F366"/>
  <c r="M314" i="35"/>
  <c r="J26" i="37"/>
  <c r="N315" i="35"/>
  <c r="N81"/>
  <c r="J84"/>
  <c r="J427" i="38"/>
  <c r="G428"/>
  <c r="F84"/>
  <c r="J278" i="35"/>
  <c r="D322" i="38"/>
  <c r="F350"/>
  <c r="K17" i="35"/>
  <c r="P10" i="37"/>
  <c r="L105" i="35"/>
  <c r="L437" i="38"/>
  <c r="H14"/>
  <c r="M287" i="35"/>
  <c r="E73" i="38"/>
  <c r="J99" i="35"/>
  <c r="N368"/>
  <c r="M348"/>
  <c r="M110"/>
  <c r="L80"/>
  <c r="M10" i="37"/>
  <c r="F194" i="38"/>
  <c r="M59" i="35"/>
  <c r="D249" i="38"/>
  <c r="J163" i="35"/>
  <c r="D296" i="38"/>
  <c r="F31"/>
  <c r="N154" i="35"/>
  <c r="F51" i="38"/>
  <c r="N117" i="35"/>
  <c r="N34"/>
  <c r="D283" i="38"/>
  <c r="K11" i="37"/>
  <c r="D148" i="38"/>
  <c r="N395" i="35"/>
  <c r="M125"/>
  <c r="D219" i="38"/>
  <c r="E109"/>
  <c r="J162" i="35"/>
  <c r="D257" i="38"/>
  <c r="N287" i="35"/>
  <c r="J246"/>
  <c r="F369" i="38"/>
  <c r="F316"/>
  <c r="F70"/>
  <c r="N217" i="35"/>
  <c r="J156"/>
  <c r="J436" i="38"/>
  <c r="G24"/>
  <c r="F424"/>
  <c r="G438"/>
  <c r="D201"/>
  <c r="P23" i="37"/>
  <c r="L48" i="35"/>
  <c r="J133"/>
  <c r="N132"/>
  <c r="J319"/>
  <c r="J71"/>
  <c r="M398"/>
  <c r="F22" i="38"/>
  <c r="N276" i="35"/>
  <c r="J102"/>
  <c r="F430" i="38"/>
  <c r="N268" i="35"/>
  <c r="N396"/>
  <c r="D246" i="38"/>
  <c r="F160"/>
  <c r="N114" i="35"/>
  <c r="E150" i="38"/>
  <c r="N42" i="35"/>
  <c r="N251"/>
  <c r="K24"/>
  <c r="F25" i="38"/>
  <c r="M379" i="35"/>
  <c r="F318" i="38"/>
  <c r="L102" i="35"/>
  <c r="N115"/>
  <c r="E54" i="38"/>
  <c r="D7"/>
  <c r="M58" i="35"/>
  <c r="E409" i="38"/>
  <c r="M115" i="35"/>
  <c r="M371"/>
  <c r="J23" i="37"/>
  <c r="F111" i="38"/>
  <c r="F190"/>
  <c r="J440"/>
  <c r="M420"/>
  <c r="D340"/>
  <c r="F67"/>
  <c r="D327"/>
  <c r="D292"/>
  <c r="L9" i="35"/>
  <c r="M146"/>
  <c r="M157"/>
  <c r="N234"/>
  <c r="G3" i="38"/>
  <c r="F333"/>
  <c r="I441"/>
  <c r="J255" i="35"/>
  <c r="J121"/>
  <c r="J194"/>
  <c r="D220" i="38"/>
  <c r="J149" i="35"/>
  <c r="D341" i="38"/>
  <c r="I431"/>
  <c r="D12"/>
  <c r="F125"/>
  <c r="F312"/>
  <c r="J167" i="35"/>
  <c r="M120"/>
  <c r="N173"/>
  <c r="E272" i="38"/>
  <c r="N264" i="35"/>
  <c r="N194"/>
  <c r="E14" i="38"/>
  <c r="F409"/>
  <c r="D162"/>
  <c r="N128" i="35"/>
  <c r="F388" i="38"/>
  <c r="G42"/>
  <c r="F113"/>
  <c r="N408" i="35"/>
  <c r="F403" i="38"/>
  <c r="S16" i="37"/>
  <c r="H439" i="38"/>
  <c r="L75" i="35"/>
  <c r="L135"/>
  <c r="M190"/>
  <c r="E404" i="38"/>
  <c r="M70" i="35"/>
  <c r="H16" i="38"/>
  <c r="E166"/>
  <c r="D13"/>
  <c r="K417"/>
  <c r="M93" i="35"/>
  <c r="N84"/>
  <c r="M285"/>
  <c r="E66" i="38"/>
  <c r="J110" i="35"/>
  <c r="N246"/>
  <c r="M311"/>
  <c r="H56" i="38"/>
  <c r="K27" i="35"/>
  <c r="F314" i="38"/>
  <c r="J310" i="35"/>
  <c r="J43"/>
  <c r="D238" i="38"/>
  <c r="M294" i="35"/>
  <c r="K16"/>
  <c r="J306"/>
  <c r="M367"/>
  <c r="L104"/>
  <c r="J10"/>
  <c r="F98" i="38"/>
  <c r="M106" i="35"/>
  <c r="G15" i="38"/>
  <c r="G36"/>
  <c r="L95" i="35"/>
  <c r="D313" i="38"/>
  <c r="F384"/>
  <c r="H440"/>
  <c r="F191"/>
  <c r="J183" i="35"/>
  <c r="F425" i="38"/>
  <c r="M359" i="35"/>
  <c r="K43"/>
  <c r="M186"/>
  <c r="D303" i="38"/>
  <c r="N206" i="35"/>
  <c r="M127"/>
  <c r="D260" i="38"/>
  <c r="H44"/>
  <c r="M138" i="35"/>
  <c r="N225"/>
  <c r="D254" i="38"/>
  <c r="P17" i="37"/>
  <c r="M355" i="35"/>
  <c r="J206"/>
  <c r="D171" i="38"/>
  <c r="J9" i="35"/>
  <c r="N11" i="37"/>
  <c r="M291" i="35"/>
  <c r="D6" i="38"/>
  <c r="L66" i="35"/>
  <c r="E119" i="38"/>
  <c r="F101"/>
  <c r="F116"/>
  <c r="M77" i="35"/>
  <c r="E432" i="38"/>
  <c r="M275" i="35"/>
  <c r="M4"/>
  <c r="G47" i="38"/>
  <c r="E110"/>
  <c r="J222" i="35"/>
  <c r="J247"/>
  <c r="J218"/>
  <c r="N242"/>
  <c r="E279" i="38"/>
  <c r="N318" i="35"/>
  <c r="J108"/>
  <c r="K14" i="37"/>
  <c r="K34" i="35"/>
  <c r="G64" i="38"/>
  <c r="J148" i="35"/>
  <c r="N102"/>
  <c r="F77" i="38"/>
  <c r="M187" i="35"/>
  <c r="M304"/>
  <c r="J128"/>
  <c r="J2"/>
  <c r="Q7" i="37"/>
  <c r="E154" i="38"/>
  <c r="J7" i="35"/>
  <c r="F120" i="38"/>
  <c r="D264"/>
  <c r="J253" i="35"/>
  <c r="M241"/>
  <c r="R21" i="37"/>
  <c r="P15"/>
  <c r="N260" i="35"/>
  <c r="M84"/>
  <c r="J100"/>
  <c r="N420" i="38"/>
  <c r="D333"/>
  <c r="M171" i="35"/>
  <c r="N311"/>
  <c r="J82"/>
  <c r="J280"/>
  <c r="E92" i="38"/>
  <c r="F435"/>
  <c r="M196" i="35"/>
  <c r="O7" i="37"/>
  <c r="H51" i="38"/>
  <c r="J209" i="35"/>
  <c r="H21" i="38"/>
  <c r="E262"/>
  <c r="M366" i="35"/>
  <c r="N229"/>
  <c r="J87"/>
  <c r="F5" i="38"/>
  <c r="L99" i="35"/>
  <c r="L21"/>
  <c r="G52" i="38"/>
  <c r="F343"/>
  <c r="G33"/>
  <c r="J76" i="35"/>
  <c r="N203"/>
  <c r="E18" i="38"/>
  <c r="M64" i="35"/>
  <c r="M437" i="38"/>
  <c r="F315"/>
  <c r="J92" i="35"/>
  <c r="F329" i="38"/>
  <c r="D349"/>
  <c r="N191" i="35"/>
  <c r="M29"/>
  <c r="M22"/>
  <c r="M199"/>
  <c r="J236"/>
  <c r="D227" i="38"/>
  <c r="D197"/>
  <c r="K12" i="35"/>
  <c r="J176"/>
  <c r="D167" i="38"/>
  <c r="K435"/>
  <c r="M248" i="35"/>
  <c r="K425" i="38"/>
  <c r="N40" i="35"/>
  <c r="J5"/>
  <c r="J40"/>
  <c r="M105"/>
  <c r="F307" i="38"/>
  <c r="D174"/>
  <c r="N177" i="35"/>
  <c r="J221"/>
  <c r="J39"/>
  <c r="D258" i="38"/>
  <c r="F408"/>
  <c r="M87" i="35"/>
  <c r="J186"/>
  <c r="J325"/>
  <c r="M405"/>
  <c r="N83"/>
  <c r="M24"/>
  <c r="L108"/>
  <c r="D194" i="38"/>
  <c r="N193" i="35"/>
  <c r="L65"/>
  <c r="K32"/>
  <c r="N99"/>
  <c r="F410" i="38"/>
  <c r="E4"/>
  <c r="E167"/>
  <c r="M429"/>
  <c r="D291"/>
  <c r="N35" i="37"/>
  <c r="J202" i="35"/>
  <c r="M296"/>
  <c r="M337"/>
  <c r="N63"/>
  <c r="M160"/>
  <c r="J216"/>
  <c r="N19" i="37"/>
  <c r="J120" i="35"/>
  <c r="M85"/>
  <c r="M136"/>
  <c r="J79"/>
  <c r="J323"/>
  <c r="E34" i="38"/>
  <c r="D14"/>
  <c r="J425"/>
  <c r="L16" i="37"/>
  <c r="E178" i="38"/>
  <c r="M14" i="37"/>
  <c r="J214" i="35"/>
  <c r="M67"/>
  <c r="M88"/>
  <c r="J230"/>
  <c r="F127" i="38"/>
  <c r="E61"/>
  <c r="N15" i="35"/>
  <c r="L47"/>
  <c r="E281" i="38"/>
  <c r="M369" i="35"/>
  <c r="E80" i="38"/>
  <c r="M373" i="35"/>
  <c r="N358"/>
  <c r="I430" i="38"/>
  <c r="N141" i="35"/>
  <c r="M35" i="37"/>
  <c r="M156" i="35"/>
  <c r="N327"/>
  <c r="M400"/>
  <c r="K61"/>
  <c r="M344"/>
  <c r="K17" i="37"/>
  <c r="N82" i="35"/>
  <c r="M27"/>
  <c r="E229" i="38"/>
  <c r="N148" i="35"/>
  <c r="N237"/>
  <c r="D345" i="38"/>
  <c r="J189" i="35"/>
  <c r="N37"/>
  <c r="L116"/>
  <c r="D274" i="38"/>
  <c r="J187" i="35"/>
  <c r="K49"/>
  <c r="H32" i="38"/>
  <c r="F171"/>
  <c r="E239"/>
  <c r="F423"/>
  <c r="H8"/>
  <c r="N387" i="35"/>
  <c r="E296" i="38"/>
  <c r="K56" i="35"/>
  <c r="F178" i="38"/>
  <c r="H432"/>
  <c r="F306"/>
  <c r="J254" i="35"/>
  <c r="F119" i="38"/>
  <c r="F102"/>
  <c r="G437"/>
  <c r="J15" i="35"/>
  <c r="P16" i="37"/>
  <c r="K436" i="38"/>
  <c r="E205"/>
  <c r="D302"/>
  <c r="N110" i="35"/>
  <c r="E256" i="38"/>
  <c r="D259"/>
  <c r="N120" i="35"/>
  <c r="N383"/>
  <c r="L76"/>
  <c r="K20"/>
  <c r="G434" i="38"/>
  <c r="M210" i="35"/>
  <c r="N224"/>
  <c r="K431" i="38"/>
  <c r="N123" i="35"/>
  <c r="M21" i="37"/>
  <c r="J109" i="35"/>
  <c r="F356" i="38"/>
  <c r="N55" i="35"/>
  <c r="E228" i="38"/>
  <c r="N226" i="35"/>
  <c r="P21" i="37"/>
  <c r="L428" i="38"/>
  <c r="G53"/>
  <c r="N165" i="35"/>
  <c r="J6" i="37"/>
  <c r="N12" i="35"/>
  <c r="H60" i="38"/>
  <c r="E298"/>
  <c r="E212"/>
  <c r="K60" i="35"/>
  <c r="H27" i="38"/>
  <c r="M432"/>
  <c r="E144"/>
  <c r="K36" i="35"/>
  <c r="F32" i="38"/>
  <c r="N124" i="35"/>
  <c r="L111"/>
  <c r="N130"/>
  <c r="F169" i="38"/>
  <c r="E226"/>
  <c r="F76"/>
  <c r="E235"/>
  <c r="M403" i="35"/>
  <c r="M370"/>
  <c r="D285" i="38"/>
  <c r="H433"/>
  <c r="J173" i="35"/>
  <c r="M293"/>
  <c r="P7" i="37"/>
  <c r="E223" i="38"/>
  <c r="J227" i="35"/>
  <c r="F382" i="38"/>
  <c r="L435"/>
  <c r="M267" i="35"/>
  <c r="D165" i="38"/>
  <c r="M165" i="35"/>
  <c r="F351" i="38"/>
  <c r="D272"/>
  <c r="E93"/>
  <c r="E268"/>
  <c r="N139" i="35"/>
  <c r="R16" i="37"/>
  <c r="F156" i="38"/>
  <c r="N360" i="35"/>
  <c r="M243"/>
  <c r="F161" i="38"/>
  <c r="L12" i="35"/>
  <c r="F349" i="38"/>
  <c r="D338"/>
  <c r="E70"/>
  <c r="M91" i="35"/>
  <c r="E35" i="38"/>
  <c r="L43" i="35"/>
  <c r="M92"/>
  <c r="M346"/>
  <c r="J18"/>
  <c r="D244" i="38"/>
  <c r="F177"/>
  <c r="M168" i="35"/>
  <c r="I435" i="38"/>
  <c r="J30" i="37"/>
  <c r="M194" i="35"/>
  <c r="N310"/>
  <c r="F132" i="38"/>
  <c r="M383" i="35"/>
  <c r="F301" i="38"/>
  <c r="E252"/>
  <c r="J57" i="35"/>
  <c r="E418" i="38"/>
  <c r="E232"/>
  <c r="J233" i="35"/>
  <c r="E59" i="38"/>
  <c r="E200"/>
  <c r="L131" i="35"/>
  <c r="D326" i="38"/>
  <c r="J170" i="35"/>
  <c r="N51"/>
  <c r="N435" i="38"/>
  <c r="M155" i="35"/>
  <c r="J157"/>
  <c r="K439" i="38"/>
  <c r="D166"/>
  <c r="M118" i="35"/>
  <c r="M397"/>
  <c r="J243"/>
  <c r="J326"/>
  <c r="N239"/>
  <c r="D320" i="38"/>
  <c r="E182"/>
  <c r="F367"/>
  <c r="J29" i="35"/>
  <c r="L73"/>
  <c r="N298"/>
  <c r="N288"/>
  <c r="L90"/>
  <c r="M315"/>
  <c r="G10" i="38"/>
  <c r="N350" i="35"/>
  <c r="N3"/>
  <c r="D209" i="38"/>
  <c r="E173"/>
  <c r="D187"/>
  <c r="G433"/>
  <c r="D185"/>
  <c r="M422"/>
  <c r="J333" i="35"/>
  <c r="N331"/>
  <c r="H37" i="38"/>
  <c r="D310"/>
  <c r="M193" i="35"/>
  <c r="D11" i="38"/>
  <c r="E254"/>
  <c r="M36" i="35"/>
  <c r="M200"/>
  <c r="J274"/>
  <c r="F436" i="38"/>
  <c r="H47"/>
  <c r="D266"/>
  <c r="D331"/>
  <c r="M172" i="35"/>
  <c r="E26" i="38"/>
  <c r="J28" i="35"/>
  <c r="N153"/>
  <c r="F378" i="38"/>
  <c r="M176" i="35"/>
  <c r="J308"/>
  <c r="M316"/>
  <c r="F364" i="38"/>
  <c r="F104"/>
  <c r="M97" i="35"/>
  <c r="L68"/>
  <c r="J141"/>
  <c r="D205" i="38"/>
  <c r="J151" i="35"/>
  <c r="N248"/>
  <c r="M334"/>
  <c r="D178" i="38"/>
  <c r="N86" i="35"/>
  <c r="F65" i="38"/>
  <c r="E176"/>
  <c r="D157"/>
  <c r="S15" i="37"/>
  <c r="M104" i="35"/>
  <c r="M38"/>
  <c r="N186"/>
  <c r="J177"/>
  <c r="D4" i="38"/>
  <c r="N333" i="35"/>
  <c r="N232"/>
  <c r="M201"/>
  <c r="D253" i="38"/>
  <c r="S3" i="37"/>
  <c r="D318" i="38"/>
  <c r="E31"/>
  <c r="N336" i="35"/>
  <c r="L433" i="38"/>
  <c r="L3" i="35"/>
  <c r="L17" i="37"/>
  <c r="J26" i="35"/>
  <c r="N192"/>
  <c r="M79"/>
  <c r="F108" i="38"/>
  <c r="J264" i="35"/>
  <c r="M47"/>
  <c r="F193" i="38"/>
  <c r="M424"/>
  <c r="L22" i="35"/>
  <c r="J316"/>
  <c r="E79" i="38"/>
  <c r="N216" i="35"/>
  <c r="K15" i="37"/>
  <c r="E138" i="38"/>
  <c r="N233" i="35"/>
  <c r="D149" i="38"/>
  <c r="N169" i="35"/>
  <c r="M161"/>
  <c r="E130" i="38"/>
  <c r="F49"/>
  <c r="M75" i="35"/>
  <c r="M145"/>
  <c r="J341"/>
  <c r="N48"/>
  <c r="J103"/>
  <c r="H2" i="38"/>
  <c r="P11" i="37"/>
  <c r="F390" i="38"/>
  <c r="D139"/>
  <c r="D181"/>
  <c r="G23"/>
  <c r="J146" i="35"/>
  <c r="D156" i="38"/>
  <c r="H11"/>
  <c r="J334" i="35"/>
  <c r="D217" i="38"/>
  <c r="F393"/>
  <c r="M392" i="35"/>
  <c r="M109"/>
  <c r="F78" i="38"/>
  <c r="J11" i="37"/>
  <c r="M376" i="35"/>
  <c r="J34" i="37"/>
  <c r="M261" i="35"/>
  <c r="N429" i="38"/>
  <c r="N166" i="35"/>
  <c r="N346"/>
  <c r="F46" i="38"/>
  <c r="F94"/>
  <c r="D262"/>
  <c r="L20" i="35"/>
  <c r="L63"/>
  <c r="E122" i="38"/>
  <c r="D196"/>
  <c r="E438"/>
  <c r="M158" i="35"/>
  <c r="N339"/>
  <c r="M219"/>
  <c r="L432" i="38"/>
  <c r="K39" i="35"/>
  <c r="J421" i="38"/>
  <c r="E142"/>
  <c r="F43"/>
  <c r="L126" i="35"/>
  <c r="H35" i="38"/>
  <c r="J417"/>
  <c r="I433"/>
  <c r="K7" i="37"/>
  <c r="F38" i="38"/>
  <c r="P19" i="37"/>
  <c r="L59" i="35"/>
  <c r="L124"/>
  <c r="M214"/>
  <c r="N289"/>
  <c r="L70"/>
  <c r="K14"/>
  <c r="N401"/>
  <c r="N126"/>
  <c r="F325" i="38"/>
  <c r="D240"/>
  <c r="E434"/>
  <c r="Q23" i="37"/>
  <c r="J7"/>
  <c r="N142" i="35"/>
  <c r="J12"/>
  <c r="N369"/>
  <c r="E146" i="38"/>
  <c r="N282" i="35"/>
  <c r="N71"/>
  <c r="F56" i="38"/>
  <c r="L36" i="35"/>
  <c r="H431" i="38"/>
  <c r="G27"/>
  <c r="J45" i="35"/>
  <c r="J213"/>
  <c r="Q11" i="37"/>
  <c r="G56" i="38"/>
  <c r="H41"/>
  <c r="M283" i="35"/>
  <c r="S21" i="37"/>
  <c r="F115" i="38"/>
  <c r="M151" i="35"/>
  <c r="L9" i="37"/>
  <c r="L11"/>
  <c r="M101" i="35"/>
  <c r="K51"/>
  <c r="E162" i="38"/>
  <c r="F126"/>
  <c r="F83"/>
  <c r="F396"/>
  <c r="F85"/>
  <c r="E408"/>
  <c r="K440"/>
  <c r="N256" i="35"/>
  <c r="N131"/>
  <c r="M264"/>
  <c r="F375" i="38"/>
  <c r="N222" i="35"/>
  <c r="M375"/>
  <c r="H65" i="38"/>
  <c r="J16" i="37"/>
  <c r="D182" i="38"/>
  <c r="E199"/>
  <c r="J426"/>
  <c r="N174" i="35"/>
  <c r="M56"/>
  <c r="F394" i="38"/>
  <c r="N116" i="35"/>
  <c r="M255"/>
  <c r="J205"/>
  <c r="M387"/>
  <c r="F189" i="38"/>
  <c r="E214"/>
  <c r="F331"/>
  <c r="N53" i="35"/>
  <c r="M300"/>
  <c r="G40" i="38"/>
  <c r="N376" i="35"/>
  <c r="H68" i="38"/>
  <c r="K58" i="35"/>
  <c r="N59"/>
  <c r="E180" i="38"/>
  <c r="H25"/>
  <c r="D252"/>
  <c r="N210" i="35"/>
  <c r="N67"/>
  <c r="M318"/>
  <c r="F118" i="38"/>
  <c r="M94" i="35"/>
  <c r="M184"/>
  <c r="F48" i="38"/>
  <c r="E288"/>
  <c r="F149"/>
  <c r="F11"/>
  <c r="E139"/>
  <c r="L10" i="37"/>
  <c r="F133" i="38"/>
  <c r="L133" i="35"/>
  <c r="F338" i="38"/>
  <c r="E250"/>
  <c r="J78" i="35"/>
  <c r="E203" i="38"/>
  <c r="N200" i="35"/>
  <c r="N105"/>
  <c r="N398"/>
  <c r="E421" i="38"/>
  <c r="E64"/>
  <c r="J424"/>
  <c r="F68"/>
  <c r="E246"/>
  <c r="E251"/>
  <c r="O16" i="37"/>
  <c r="M240" i="35"/>
  <c r="L129"/>
  <c r="E50" i="38"/>
  <c r="G54"/>
  <c r="G429"/>
  <c r="N275" i="35"/>
  <c r="J160"/>
  <c r="E2" i="38"/>
  <c r="M223" i="35"/>
  <c r="M231"/>
  <c r="L58"/>
  <c r="N364"/>
  <c r="F381" i="38"/>
  <c r="L85" i="35"/>
  <c r="O9" i="37"/>
  <c r="L41" i="35"/>
  <c r="J35" i="37"/>
  <c r="E412" i="38"/>
  <c r="D271"/>
  <c r="F439"/>
  <c r="G41"/>
  <c r="E174"/>
  <c r="N386" i="35"/>
  <c r="D339" i="38"/>
  <c r="N189" i="35"/>
  <c r="K23" i="37"/>
  <c r="E227" i="38"/>
  <c r="J14" i="35"/>
  <c r="S5" i="37"/>
  <c r="M268" i="35"/>
  <c r="E94" i="38"/>
  <c r="F90"/>
  <c r="M80" i="35"/>
  <c r="J225"/>
  <c r="J15" i="37"/>
  <c r="Q5"/>
  <c r="G419" i="38"/>
  <c r="G19"/>
  <c r="N349" i="35"/>
  <c r="J101"/>
  <c r="M230"/>
  <c r="L13"/>
  <c r="R9" i="37"/>
  <c r="J422" i="38"/>
  <c r="L429"/>
  <c r="E116"/>
  <c r="F155"/>
  <c r="D276"/>
  <c r="F44"/>
  <c r="N373" i="35"/>
  <c r="F159" i="38"/>
  <c r="L100" i="35"/>
  <c r="H427" i="38"/>
  <c r="J304" i="35"/>
  <c r="M98"/>
  <c r="F4" i="38"/>
  <c r="L23" i="35"/>
  <c r="E55" i="38"/>
  <c r="J129" i="35"/>
  <c r="L5" i="37"/>
  <c r="F184" i="38"/>
  <c r="N171" i="35"/>
  <c r="F140" i="38"/>
  <c r="F27"/>
  <c r="N205" i="35"/>
  <c r="E416" i="38"/>
  <c r="M78" i="35"/>
  <c r="F33" i="38"/>
  <c r="D255"/>
  <c r="L6" i="37"/>
  <c r="J438" i="38"/>
  <c r="H10"/>
  <c r="F42"/>
  <c r="M441"/>
  <c r="S17" i="37"/>
  <c r="M289" i="35"/>
  <c r="N404"/>
  <c r="L109"/>
  <c r="F179" i="38"/>
  <c r="M3" i="35"/>
  <c r="J93"/>
  <c r="E16" i="38"/>
  <c r="N49" i="35"/>
  <c r="F411" i="38"/>
  <c r="M13" i="37"/>
  <c r="M191" i="35"/>
  <c r="N345"/>
  <c r="J339"/>
  <c r="L18"/>
  <c r="H31" i="38"/>
  <c r="E37"/>
  <c r="Q13" i="37"/>
  <c r="M16" i="35"/>
  <c r="G43" i="38"/>
  <c r="D250"/>
  <c r="M74" i="35"/>
  <c r="M152"/>
  <c r="E118" i="38"/>
  <c r="J85" i="35"/>
  <c r="N344"/>
  <c r="H430" i="38"/>
  <c r="I423"/>
  <c r="E425"/>
  <c r="L78" i="35"/>
  <c r="J132"/>
  <c r="J36"/>
  <c r="N182"/>
  <c r="O6" i="37"/>
  <c r="H39" i="38"/>
  <c r="F112"/>
  <c r="J212" i="35"/>
  <c r="L419" i="38"/>
  <c r="H66"/>
  <c r="H17"/>
  <c r="E9"/>
  <c r="G28"/>
  <c r="E112"/>
  <c r="N79" i="35"/>
  <c r="E10" i="38"/>
  <c r="Q17" i="37"/>
  <c r="O3"/>
  <c r="K13"/>
  <c r="M10" i="35"/>
  <c r="F320" i="38"/>
  <c r="N10" i="35"/>
  <c r="K37"/>
  <c r="E243" i="38"/>
  <c r="N324" i="35"/>
  <c r="M440" i="38"/>
  <c r="F374"/>
  <c r="G66"/>
  <c r="N9" i="35"/>
  <c r="D183" i="38"/>
  <c r="P5" i="37"/>
  <c r="L17" i="35"/>
  <c r="N181"/>
  <c r="J158"/>
  <c r="J287"/>
  <c r="J204"/>
  <c r="D140" i="38"/>
  <c r="J62" i="35"/>
  <c r="N389"/>
  <c r="J22"/>
  <c r="L46"/>
  <c r="J66"/>
  <c r="F438" i="38"/>
  <c r="F134"/>
  <c r="E17"/>
  <c r="F199"/>
  <c r="N424"/>
  <c r="J288" i="35"/>
  <c r="H422" i="38"/>
  <c r="M332" i="35"/>
  <c r="N152"/>
  <c r="Q14" i="37"/>
  <c r="E65" i="38"/>
  <c r="D290"/>
  <c r="N347" i="35"/>
  <c r="J33" i="37"/>
  <c r="J198" i="35"/>
  <c r="M224"/>
  <c r="F59" i="38"/>
  <c r="J322" i="35"/>
  <c r="E211" i="38"/>
  <c r="E194"/>
  <c r="M144" i="35"/>
  <c r="M257"/>
  <c r="J23"/>
  <c r="D226" i="38"/>
  <c r="E249"/>
  <c r="M269" i="35"/>
  <c r="D273" i="38"/>
  <c r="F58"/>
  <c r="G48"/>
  <c r="F352"/>
  <c r="J215" i="35"/>
  <c r="F15" i="38"/>
  <c r="E159"/>
  <c r="M25" i="35"/>
  <c r="D8" i="38"/>
  <c r="E102"/>
  <c r="D2"/>
  <c r="J13" i="35"/>
  <c r="D17" i="38"/>
  <c r="E104"/>
  <c r="K432"/>
  <c r="N228" i="35"/>
  <c r="D164" i="38"/>
  <c r="L82" i="35"/>
  <c r="L121"/>
  <c r="H424" i="38"/>
  <c r="L132" i="35"/>
  <c r="N431" i="38"/>
  <c r="R35" i="37"/>
  <c r="M211" i="35"/>
  <c r="L436" i="38"/>
  <c r="M170" i="35"/>
  <c r="F62" i="38"/>
  <c r="N406" i="35"/>
  <c r="E241" i="38"/>
  <c r="J51" i="35"/>
  <c r="P13" i="37"/>
  <c r="K6"/>
  <c r="L32" i="35"/>
  <c r="G13" i="38"/>
  <c r="F397"/>
  <c r="M361" i="35"/>
  <c r="N18"/>
  <c r="D215" i="38"/>
  <c r="E49"/>
  <c r="M129" i="35"/>
  <c r="N20"/>
  <c r="G30" i="38"/>
  <c r="J318" i="35"/>
  <c r="M439" i="38"/>
  <c r="E100"/>
  <c r="N355" i="35"/>
  <c r="R19" i="37"/>
  <c r="K41" i="35"/>
  <c r="F60" i="38"/>
  <c r="F151"/>
  <c r="N54" i="35"/>
  <c r="J8"/>
  <c r="E244" i="38"/>
  <c r="D150"/>
  <c r="K3" i="35"/>
  <c r="L93"/>
  <c r="F431" i="38"/>
  <c r="J195" i="35"/>
  <c r="D10" i="38"/>
  <c r="M266" i="35"/>
  <c r="E83" i="38"/>
  <c r="F377"/>
  <c r="G22"/>
  <c r="K66" i="35"/>
  <c r="M325"/>
  <c r="L431" i="38"/>
  <c r="J338" i="35"/>
  <c r="E292" i="38"/>
  <c r="D210"/>
  <c r="E286"/>
  <c r="J433"/>
  <c r="R3" i="37"/>
  <c r="F383" i="38"/>
  <c r="D154"/>
  <c r="J238" i="35"/>
  <c r="E43" i="38"/>
  <c r="N261" i="35"/>
  <c r="M333"/>
  <c r="F342" i="38"/>
  <c r="N138" i="35"/>
  <c r="J47"/>
  <c r="M112"/>
  <c r="M363"/>
  <c r="J31" i="37"/>
  <c r="N158" i="35"/>
  <c r="M2"/>
  <c r="J75"/>
  <c r="J140"/>
  <c r="L7"/>
  <c r="D221" i="38"/>
  <c r="N118" i="35"/>
  <c r="G18" i="38"/>
  <c r="M234" i="35"/>
  <c r="N16"/>
  <c r="M167"/>
  <c r="D311" i="38"/>
  <c r="D335"/>
  <c r="N437"/>
  <c r="G68"/>
  <c r="E101"/>
  <c r="L441"/>
  <c r="G12"/>
  <c r="N27" i="35"/>
  <c r="M221"/>
  <c r="F379" i="38"/>
  <c r="D212"/>
  <c r="N322" i="35"/>
  <c r="E58" i="38"/>
  <c r="F87"/>
  <c r="M423"/>
  <c r="N388" i="35"/>
  <c r="H426" i="38"/>
  <c r="F420"/>
  <c r="F164"/>
  <c r="E206"/>
  <c r="R7" i="37"/>
  <c r="E40" i="38"/>
  <c r="K53" i="35"/>
  <c r="H52" i="38"/>
  <c r="Q16" i="37"/>
  <c r="N149" i="35"/>
  <c r="L62"/>
  <c r="K47"/>
  <c r="H425" i="38"/>
  <c r="L427"/>
  <c r="D161"/>
  <c r="P35" i="37"/>
  <c r="J283" i="35"/>
  <c r="F321" i="38"/>
  <c r="D315"/>
  <c r="E218"/>
  <c r="F86"/>
  <c r="N305" i="35"/>
  <c r="F195" i="38"/>
  <c r="F198"/>
  <c r="E213"/>
  <c r="G67"/>
  <c r="E145"/>
  <c r="L71" i="35"/>
  <c r="F181" i="38"/>
  <c r="E127"/>
  <c r="J34" i="35"/>
  <c r="E266" i="38"/>
  <c r="E51"/>
  <c r="E191"/>
  <c r="N284" i="35"/>
  <c r="J145"/>
  <c r="N64"/>
  <c r="D268" i="38"/>
  <c r="L15" i="37"/>
  <c r="K57" i="35"/>
  <c r="E245" i="38"/>
  <c r="E115"/>
  <c r="N436"/>
  <c r="N17" i="35"/>
  <c r="H421" i="38"/>
  <c r="M215" i="35"/>
  <c r="F368" i="38"/>
  <c r="K9" i="35"/>
  <c r="L8"/>
  <c r="F18" i="38"/>
  <c r="J90" i="35"/>
  <c r="M319"/>
  <c r="K2"/>
  <c r="F79" i="38"/>
  <c r="I426"/>
  <c r="J281" i="35"/>
  <c r="E133" i="38"/>
  <c r="N72" i="35"/>
  <c r="J38"/>
  <c r="M209"/>
  <c r="D301" i="38"/>
  <c r="M183" i="35"/>
  <c r="J48"/>
  <c r="J249"/>
  <c r="F167" i="38"/>
  <c r="N402" i="35"/>
  <c r="N296"/>
  <c r="D173" i="38"/>
  <c r="D243"/>
  <c r="E427"/>
  <c r="N235" i="35"/>
  <c r="D324" i="38"/>
  <c r="N111" i="35"/>
  <c r="J289"/>
  <c r="F372" i="38"/>
  <c r="L417"/>
  <c r="M61" i="35"/>
  <c r="M121"/>
  <c r="N155"/>
  <c r="K427" i="38"/>
  <c r="D195"/>
  <c r="K40" i="35"/>
  <c r="J13" i="37"/>
  <c r="N269" i="35"/>
  <c r="I436" i="38"/>
  <c r="J126" i="35"/>
  <c r="N277"/>
  <c r="J144"/>
  <c r="K419" i="38"/>
  <c r="E164"/>
  <c r="N6" i="37"/>
  <c r="N208" i="35"/>
  <c r="M42"/>
  <c r="J55"/>
  <c r="M247"/>
  <c r="F55" i="38"/>
  <c r="N77" i="35"/>
  <c r="J139"/>
  <c r="K441" i="38"/>
  <c r="M198" i="35"/>
  <c r="M322"/>
  <c r="E410" i="38"/>
  <c r="L54" i="35"/>
  <c r="M279"/>
  <c r="L45"/>
  <c r="N439" i="38"/>
  <c r="F9"/>
  <c r="L19" i="37"/>
  <c r="N43" i="35"/>
  <c r="N167"/>
  <c r="L2"/>
  <c r="J111"/>
  <c r="N390"/>
  <c r="N66"/>
  <c r="F106" i="38"/>
  <c r="E198"/>
  <c r="G423"/>
  <c r="J33" i="35"/>
  <c r="N143"/>
  <c r="M401"/>
  <c r="N26"/>
  <c r="D229" i="38"/>
  <c r="N330" i="35"/>
  <c r="M308"/>
  <c r="E86" i="38"/>
  <c r="K424"/>
  <c r="E45"/>
  <c r="G34"/>
  <c r="F346"/>
  <c r="E131"/>
  <c r="E210"/>
  <c r="K29" i="35"/>
  <c r="F135" i="38"/>
  <c r="D3"/>
  <c r="L92" i="35"/>
  <c r="H61" i="38"/>
  <c r="L14" i="37"/>
  <c r="M245" i="35"/>
  <c r="M55"/>
  <c r="E38" i="38"/>
  <c r="N300" i="35"/>
  <c r="E283" i="38"/>
  <c r="E269"/>
  <c r="D234"/>
  <c r="F20"/>
  <c r="J294" i="35"/>
  <c r="M35"/>
  <c r="N272"/>
  <c r="K421" i="38"/>
  <c r="D279"/>
  <c r="J95" i="35"/>
  <c r="M256"/>
  <c r="J98"/>
  <c r="J324"/>
  <c r="H28" i="38"/>
  <c r="F29"/>
  <c r="M72" i="35"/>
  <c r="G55" i="38"/>
  <c r="N57" i="35"/>
  <c r="F50" i="38"/>
  <c r="G427"/>
  <c r="K434"/>
  <c r="F197"/>
  <c r="J285" i="35"/>
  <c r="J104"/>
  <c r="Q15" i="37"/>
  <c r="D216" i="38"/>
  <c r="M364" i="35"/>
  <c r="M11"/>
  <c r="L25"/>
  <c r="F421" i="38"/>
  <c r="I417"/>
  <c r="E141"/>
  <c r="N188" i="35"/>
  <c r="E71" i="38"/>
  <c r="F353"/>
  <c r="G436"/>
  <c r="D145"/>
  <c r="L4" i="35"/>
  <c r="M350"/>
  <c r="N160"/>
  <c r="D143" i="38"/>
  <c r="M407" i="35"/>
  <c r="M430" i="38"/>
  <c r="F19"/>
  <c r="E155"/>
  <c r="F23"/>
  <c r="M436"/>
  <c r="K420"/>
  <c r="E436"/>
  <c r="E132"/>
  <c r="J435"/>
  <c r="N39" i="35"/>
  <c r="E185" i="38"/>
  <c r="G61"/>
  <c r="M131" i="35"/>
  <c r="L14"/>
  <c r="M202"/>
  <c r="J211"/>
  <c r="E95" i="38"/>
  <c r="N253" i="35"/>
  <c r="N274"/>
  <c r="H34" i="38"/>
  <c r="M207" i="35"/>
  <c r="E208" i="38"/>
  <c r="S35" i="37"/>
  <c r="M213" i="35"/>
  <c r="E415" i="38"/>
  <c r="J292" i="35"/>
  <c r="N52"/>
  <c r="N68"/>
  <c r="F327" i="38"/>
  <c r="M284" i="35"/>
  <c r="E402" i="38"/>
  <c r="N374" i="35"/>
  <c r="F66" i="38"/>
  <c r="D218"/>
  <c r="K10" i="35"/>
  <c r="K433" i="38"/>
  <c r="S19" i="37"/>
  <c r="S7"/>
  <c r="M372" i="35"/>
  <c r="H33" i="38"/>
  <c r="F417"/>
  <c r="G7"/>
  <c r="L38" i="35"/>
  <c r="I432" i="38"/>
  <c r="J199" i="35"/>
  <c r="F328" i="38"/>
  <c r="M251" i="35"/>
  <c r="N179"/>
  <c r="E20" i="38"/>
  <c r="E27"/>
  <c r="E156"/>
  <c r="F185"/>
  <c r="F12"/>
  <c r="F359"/>
  <c r="J309" i="35"/>
  <c r="N35"/>
  <c r="E107" i="38"/>
  <c r="M222" i="35"/>
  <c r="I429" i="38"/>
  <c r="J30" i="35"/>
  <c r="E193" i="38"/>
  <c r="F157"/>
  <c r="L13" i="37"/>
  <c r="F362" i="38"/>
  <c r="J32" i="37"/>
  <c r="E260" i="38"/>
  <c r="E215"/>
  <c r="J4" i="35"/>
  <c r="F413" i="38"/>
  <c r="N135" i="35"/>
  <c r="H9" i="38"/>
  <c r="J17" i="35"/>
  <c r="G58" i="38"/>
  <c r="O10" i="37"/>
  <c r="J59" i="35"/>
  <c r="E63" i="38"/>
  <c r="D256"/>
  <c r="O35" i="37"/>
  <c r="L426" i="38"/>
  <c r="F392"/>
  <c r="D314"/>
  <c r="M12" i="35"/>
  <c r="N25"/>
  <c r="E234" i="38"/>
  <c r="J17" i="37"/>
  <c r="D170" i="38"/>
  <c r="J268" i="35"/>
  <c r="Q35" i="37"/>
  <c r="M273" i="35"/>
  <c r="I418" i="38"/>
  <c r="E161"/>
  <c r="J431"/>
  <c r="N180" i="35"/>
  <c r="M305"/>
  <c r="M307"/>
  <c r="H67" i="38"/>
  <c r="M19" i="37"/>
  <c r="J64" i="35"/>
  <c r="D199" i="38"/>
  <c r="J244" i="35"/>
  <c r="I421" i="38"/>
  <c r="L418"/>
  <c r="J423"/>
  <c r="N366" i="35"/>
  <c r="M63"/>
  <c r="F21" i="38"/>
  <c r="M205" i="35"/>
  <c r="N4"/>
  <c r="D298" i="38"/>
  <c r="M382" i="35"/>
  <c r="J14" i="37"/>
  <c r="N47" i="35"/>
  <c r="J19"/>
  <c r="M306"/>
  <c r="M270"/>
  <c r="M174"/>
  <c r="K16" i="37"/>
  <c r="E15" i="38"/>
  <c r="G5"/>
  <c r="K22" i="35"/>
  <c r="E134" i="38"/>
  <c r="M181" i="35"/>
  <c r="M216"/>
  <c r="S6" i="37"/>
  <c r="E171" i="38"/>
  <c r="G431"/>
  <c r="N434"/>
  <c r="M349" i="35"/>
  <c r="N372"/>
  <c r="S13" i="37"/>
  <c r="E163" i="38"/>
  <c r="H417"/>
  <c r="J302" i="35"/>
  <c r="N17" i="37"/>
  <c r="E204" i="38"/>
  <c r="K44" i="35"/>
  <c r="E5" i="38"/>
  <c r="G435"/>
  <c r="E120"/>
  <c r="N427"/>
  <c r="F99"/>
  <c r="F405"/>
  <c r="N391" i="35"/>
  <c r="S11" i="37"/>
  <c r="E13" i="38"/>
  <c r="O23" i="37"/>
  <c r="J35" i="35"/>
  <c r="N199"/>
  <c r="F141" i="38"/>
  <c r="M343" i="35"/>
  <c r="F192" i="38"/>
  <c r="M404" i="35"/>
  <c r="E407" i="38"/>
  <c r="J96" i="35"/>
  <c r="F373" i="38"/>
  <c r="M302" i="35"/>
  <c r="J3" i="37"/>
  <c r="E75" i="38"/>
  <c r="E175"/>
  <c r="F402"/>
  <c r="M282" i="35"/>
  <c r="J56"/>
  <c r="N313"/>
  <c r="D348" i="38"/>
  <c r="F422"/>
  <c r="F142"/>
  <c r="J196" i="35"/>
  <c r="L57"/>
  <c r="E236" i="38"/>
  <c r="L5" i="35"/>
  <c r="J234"/>
  <c r="N80"/>
  <c r="I422" i="38"/>
  <c r="N238" i="35"/>
  <c r="N134"/>
  <c r="E231" i="38"/>
  <c r="E151"/>
  <c r="N144" i="35"/>
  <c r="J135"/>
  <c r="H63" i="38"/>
  <c r="M16" i="37"/>
  <c r="L128" i="35"/>
  <c r="E84" i="38"/>
  <c r="E137"/>
  <c r="E125"/>
  <c r="M227" i="35"/>
  <c r="J25"/>
  <c r="E233" i="38"/>
  <c r="F432"/>
  <c r="N75" i="35"/>
  <c r="J220"/>
  <c r="N351"/>
  <c r="M119"/>
  <c r="J180"/>
  <c r="G44" i="38"/>
  <c r="L55" i="35"/>
  <c r="M292"/>
  <c r="N273"/>
  <c r="J219"/>
  <c r="N393"/>
  <c r="H428" i="38"/>
  <c r="M327" i="35"/>
  <c r="R13" i="37"/>
  <c r="N156" i="35"/>
  <c r="N10" i="37"/>
  <c r="H13" i="38"/>
  <c r="M65" i="35"/>
  <c r="G2" i="38"/>
  <c r="E216"/>
  <c r="N334" i="35"/>
  <c r="M352"/>
  <c r="H53" i="38"/>
  <c r="J138" i="35"/>
  <c r="H36" i="38"/>
  <c r="J118" i="35"/>
  <c r="E32" i="38"/>
  <c r="N15" i="37"/>
  <c r="F310" i="38"/>
  <c r="F440"/>
  <c r="L23" i="37"/>
  <c r="D334" i="38"/>
  <c r="E28"/>
  <c r="J131" i="35"/>
  <c r="M338"/>
  <c r="M252"/>
  <c r="N316"/>
  <c r="M140"/>
  <c r="F168" i="38"/>
  <c r="E428"/>
  <c r="H43"/>
  <c r="E220"/>
  <c r="N211" i="35"/>
  <c r="E91" i="38"/>
  <c r="E67"/>
  <c r="J260" i="35"/>
  <c r="J159"/>
  <c r="N223"/>
  <c r="N299"/>
  <c r="L60"/>
  <c r="E44" i="38"/>
  <c r="J276" i="35"/>
  <c r="M394"/>
  <c r="M265"/>
  <c r="N213"/>
  <c r="J263"/>
  <c r="N108"/>
  <c r="J265"/>
  <c r="H19" i="38"/>
  <c r="F130"/>
  <c r="F305"/>
  <c r="D177"/>
  <c r="E230"/>
  <c r="F406"/>
  <c r="F401"/>
  <c r="F145"/>
  <c r="J37" i="35"/>
  <c r="E24" i="38"/>
  <c r="F14"/>
  <c r="E117"/>
  <c r="M175" i="35"/>
  <c r="M419" i="38"/>
  <c r="J299" i="35"/>
  <c r="M217"/>
  <c r="J153"/>
  <c r="M206"/>
  <c r="Q3" i="37"/>
  <c r="N62" i="35"/>
  <c r="F92" i="38"/>
  <c r="G49"/>
  <c r="E60"/>
  <c r="D251"/>
  <c r="M57" i="35"/>
  <c r="E237" i="38"/>
  <c r="E88"/>
  <c r="L11" i="35"/>
  <c r="N92"/>
  <c r="N270"/>
  <c r="L61"/>
  <c r="L39"/>
  <c r="G439" i="38"/>
  <c r="J31" i="35"/>
  <c r="N113"/>
  <c r="F35" i="38"/>
  <c r="L94" i="35"/>
  <c r="L125"/>
  <c r="D184" i="38"/>
  <c r="N13" i="37"/>
  <c r="F340" i="38"/>
  <c r="M50" i="35"/>
  <c r="J311"/>
  <c r="N157"/>
  <c r="M303"/>
  <c r="D200" i="38"/>
  <c r="L79" i="35"/>
  <c r="G25" i="38"/>
  <c r="F174"/>
  <c r="E295"/>
  <c r="E22"/>
  <c r="D293"/>
  <c r="F81"/>
  <c r="G6"/>
  <c r="F437"/>
  <c r="G26"/>
  <c r="J200" i="35"/>
  <c r="D142" i="38"/>
  <c r="M45" i="35"/>
  <c r="M399"/>
  <c r="F95" i="38"/>
  <c r="N29" i="35"/>
  <c r="F3" i="38"/>
  <c r="D208"/>
  <c r="N50" i="35"/>
  <c r="N263"/>
  <c r="E56" i="38"/>
  <c r="M208" i="35"/>
  <c r="H441" i="38"/>
  <c r="M182" i="35"/>
  <c r="F110" i="38"/>
  <c r="M434"/>
  <c r="N348" i="35"/>
  <c r="E401" i="38"/>
  <c r="N258" i="35"/>
  <c r="M351"/>
  <c r="R15" i="37"/>
  <c r="M249" i="35"/>
  <c r="F146" i="38"/>
  <c r="L67" i="35"/>
  <c r="N5" i="37"/>
  <c r="K35"/>
  <c r="E240" i="38"/>
  <c r="M15" i="35"/>
  <c r="M278"/>
  <c r="J3"/>
  <c r="E209" i="38"/>
  <c r="N106" i="35"/>
  <c r="M43"/>
  <c r="N394"/>
  <c r="M358"/>
  <c r="E96" i="38"/>
  <c r="L115" i="35"/>
  <c r="K418" i="38"/>
  <c r="M330" i="35"/>
  <c r="L430" i="38"/>
  <c r="J179" i="35"/>
  <c r="M20"/>
  <c r="M418" i="38"/>
  <c r="E419"/>
  <c r="K28" i="35"/>
  <c r="J25" i="37"/>
  <c r="N371" i="35"/>
  <c r="N45"/>
  <c r="F336" i="38"/>
  <c r="J27" i="35"/>
  <c r="S14" i="37"/>
  <c r="N341" i="35"/>
  <c r="M180"/>
  <c r="L420" i="38"/>
  <c r="M44" i="35"/>
  <c r="J65"/>
  <c r="N425" i="38"/>
  <c r="M9" i="35"/>
  <c r="G38" i="38"/>
  <c r="E41"/>
  <c r="J113" i="35"/>
  <c r="E225" i="38"/>
  <c r="N69" i="35"/>
  <c r="N7" i="37"/>
  <c r="H55" i="38"/>
  <c r="M116" i="35"/>
  <c r="N245"/>
  <c r="H22" i="38"/>
  <c r="E265"/>
  <c r="M277" i="35"/>
  <c r="M365"/>
  <c r="K10" i="37"/>
  <c r="E441" i="38"/>
  <c r="L84" i="35"/>
  <c r="E62" i="38"/>
  <c r="I420"/>
  <c r="O5" i="37"/>
  <c r="J161" i="35"/>
  <c r="M258"/>
  <c r="D207" i="38"/>
  <c r="M39" i="35"/>
  <c r="E280" i="38"/>
  <c r="N252" i="35"/>
  <c r="F117" i="38"/>
  <c r="F152"/>
  <c r="E257"/>
  <c r="E437"/>
  <c r="F37"/>
  <c r="J54" i="35"/>
  <c r="D228" i="38"/>
  <c r="F73"/>
  <c r="P3" i="37"/>
  <c r="M380" i="35"/>
  <c r="N147"/>
  <c r="M124"/>
  <c r="J279"/>
  <c r="J331"/>
  <c r="M431" i="38"/>
  <c r="L106" i="35"/>
  <c r="H40" i="38"/>
  <c r="E124"/>
  <c r="E177"/>
  <c r="E157"/>
  <c r="F308"/>
  <c r="D176"/>
  <c r="H435"/>
  <c r="H437"/>
  <c r="D282"/>
  <c r="F323"/>
  <c r="E113"/>
  <c r="J20" i="35"/>
  <c r="N247"/>
  <c r="L434" i="38"/>
  <c r="J441"/>
  <c r="D206"/>
  <c r="D213"/>
  <c r="F97"/>
  <c r="N335" i="35"/>
  <c r="N441" i="38"/>
  <c r="M99" i="35"/>
  <c r="N104"/>
  <c r="N357"/>
  <c r="E121" i="38"/>
  <c r="F80"/>
  <c r="N195" i="35"/>
  <c r="D231" i="38"/>
  <c r="L77" i="35"/>
  <c r="E253" i="38"/>
  <c r="F13"/>
  <c r="N262" i="35"/>
  <c r="J193"/>
  <c r="E293" i="38"/>
  <c r="J320" i="35"/>
  <c r="N294"/>
  <c r="J49"/>
  <c r="M426" i="38"/>
  <c r="E411"/>
  <c r="N168" i="35"/>
  <c r="G9" i="38"/>
  <c r="J67" i="35"/>
  <c r="M6"/>
  <c r="L113"/>
  <c r="E36" i="38"/>
  <c r="J172" i="35"/>
  <c r="L123"/>
  <c r="J123"/>
  <c r="J432" i="38"/>
  <c r="G62"/>
  <c r="E278"/>
  <c r="F326"/>
  <c r="K15" i="35"/>
  <c r="D239" i="38"/>
  <c r="E403"/>
  <c r="M250" i="35"/>
  <c r="L110"/>
  <c r="L28"/>
  <c r="F139" i="38"/>
  <c r="N241" i="35"/>
  <c r="K26"/>
  <c r="E261" i="38"/>
  <c r="F391"/>
  <c r="E77"/>
  <c r="R23" i="37"/>
  <c r="H59" i="38"/>
  <c r="L130" i="35"/>
  <c r="M100"/>
  <c r="N91"/>
  <c r="F319" i="38"/>
  <c r="G420"/>
  <c r="M122" i="35"/>
  <c r="Q9" i="37"/>
  <c r="N214" i="35"/>
  <c r="M62"/>
  <c r="N209"/>
  <c r="N74"/>
  <c r="F82" i="38"/>
  <c r="N271" i="35"/>
  <c r="F376" i="38"/>
  <c r="E435"/>
  <c r="E270"/>
  <c r="D202"/>
  <c r="N46" i="35"/>
  <c r="K35"/>
  <c r="J203"/>
  <c r="G425" i="38"/>
  <c r="N100" i="35"/>
  <c r="M137"/>
  <c r="P14" i="37"/>
  <c r="F317" i="38"/>
  <c r="F75"/>
  <c r="J245" i="35"/>
  <c r="M135"/>
  <c r="F144" i="38"/>
  <c r="F88"/>
  <c r="J307" i="35"/>
  <c r="N422" i="38"/>
  <c r="L40" i="35"/>
  <c r="E417" i="38"/>
  <c r="H419"/>
  <c r="M312" i="35"/>
  <c r="D153" i="38"/>
  <c r="D225"/>
  <c r="L421"/>
  <c r="J89" i="35"/>
  <c r="E89" i="38"/>
  <c r="E405"/>
  <c r="J300" i="35"/>
  <c r="G59" i="38"/>
  <c r="L87" i="35"/>
  <c r="O19" i="37"/>
  <c r="E201" i="38"/>
  <c r="J256" i="35"/>
  <c r="F309" i="38"/>
  <c r="F100"/>
  <c r="D344"/>
  <c r="M185" i="35"/>
  <c r="H6" i="38"/>
  <c r="L88" i="35"/>
  <c r="D342" i="38"/>
  <c r="L122" i="35"/>
  <c r="D242" i="38"/>
  <c r="K62" i="35"/>
  <c r="M30"/>
  <c r="M96"/>
  <c r="M195"/>
  <c r="M374"/>
  <c r="O14" i="37"/>
  <c r="E202" i="38"/>
  <c r="M298" i="35"/>
  <c r="E69" i="38"/>
  <c r="N405" i="35"/>
  <c r="J19" i="37"/>
  <c r="F153" i="38"/>
  <c r="F163"/>
  <c r="F334"/>
  <c r="K67" i="35"/>
  <c r="K19" i="37"/>
  <c r="M5"/>
  <c r="F348" i="38"/>
  <c r="K23" i="35"/>
  <c r="N325"/>
  <c r="L117"/>
  <c r="N61"/>
  <c r="F10" i="38"/>
  <c r="J185" i="35"/>
  <c r="L72"/>
  <c r="J192"/>
  <c r="M220"/>
  <c r="L26"/>
  <c r="J24"/>
  <c r="M377"/>
  <c r="F173" i="38"/>
  <c r="L49" i="35"/>
  <c r="J252"/>
  <c r="D169" i="38"/>
  <c r="H418"/>
  <c r="H46"/>
  <c r="E429"/>
  <c r="E273"/>
  <c r="F358"/>
  <c r="M390" i="35"/>
  <c r="G421" i="38"/>
  <c r="N41" i="35"/>
  <c r="N109"/>
  <c r="J171"/>
  <c r="N150"/>
  <c r="M15" i="37"/>
  <c r="J277" i="35"/>
  <c r="H62" i="38"/>
  <c r="J332" i="35"/>
  <c r="L97"/>
  <c r="D270" i="38"/>
  <c r="F148"/>
  <c r="E143"/>
  <c r="L50" i="35"/>
  <c r="I434" i="38"/>
  <c r="F105"/>
  <c r="M23" i="35"/>
  <c r="D299" i="38"/>
  <c r="E68"/>
  <c r="N221" i="35"/>
  <c r="D146" i="38"/>
  <c r="N23" i="37"/>
  <c r="E221" i="38"/>
  <c r="F357"/>
  <c r="J242" i="35"/>
  <c r="F89" i="38"/>
  <c r="L31" i="35"/>
  <c r="D163" i="38"/>
  <c r="F57"/>
  <c r="D241"/>
  <c r="H50"/>
  <c r="N162" i="35"/>
  <c r="J232"/>
  <c r="J130"/>
  <c r="I439" i="38"/>
  <c r="N197" i="35"/>
  <c r="D275" i="38"/>
  <c r="F114"/>
  <c r="N14" i="35"/>
  <c r="E242" i="38"/>
  <c r="E152"/>
  <c r="F187"/>
  <c r="M384" i="35"/>
  <c r="N295"/>
  <c r="I425" i="38"/>
  <c r="F138"/>
  <c r="F166"/>
  <c r="M328" i="35"/>
  <c r="L91"/>
  <c r="D263" i="38"/>
  <c r="Q19" i="37"/>
  <c r="F124" i="38"/>
  <c r="J105" i="35"/>
  <c r="G32" i="38"/>
  <c r="L21" i="37"/>
  <c r="F412" i="38"/>
  <c r="K21" i="37"/>
  <c r="L34" i="35"/>
  <c r="J152"/>
  <c r="L112"/>
  <c r="E170" i="38"/>
  <c r="K33" i="35"/>
  <c r="G8" i="38"/>
  <c r="E114"/>
  <c r="J251" i="35"/>
  <c r="K426" i="38"/>
  <c r="N184" i="35"/>
  <c r="N201"/>
  <c r="J106"/>
  <c r="L438" i="38"/>
  <c r="F8"/>
  <c r="N378" i="35"/>
  <c r="N9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<sst xmlns="http://schemas.openxmlformats.org/spreadsheetml/2006/main" count="4799" uniqueCount="3082">
  <si>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</si>
  <si>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</si>
  <si>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</si>
  <si>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</si>
  <si>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</si>
  <si>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</si>
  <si>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</si>
  <si>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</si>
  <si>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</si>
  <si>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</si>
  <si>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</si>
  <si>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</si>
  <si>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</si>
  <si>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</si>
  <si>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</si>
  <si>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</si>
  <si>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</si>
  <si>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</si>
  <si>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</si>
  <si>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</si>
  <si>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</si>
  <si>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</si>
  <si>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</si>
  <si>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</si>
  <si>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</si>
  <si>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</si>
  <si>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</si>
  <si>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</si>
  <si>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</si>
  <si>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</si>
  <si>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</si>
  <si>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</si>
  <si>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</si>
  <si>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</si>
  <si>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</si>
  <si>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</si>
  <si>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</si>
  <si>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</si>
  <si>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</si>
  <si>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</si>
  <si>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</si>
  <si>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</si>
  <si>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</si>
  <si>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</si>
  <si>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</si>
  <si>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</si>
  <si>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</si>
  <si>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</si>
  <si>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</si>
  <si>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</si>
  <si>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</si>
  <si>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</si>
  <si>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</si>
  <si>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</si>
  <si>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</si>
  <si>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</si>
  <si>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</si>
  <si>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</si>
  <si>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</si>
  <si>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</si>
  <si>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</si>
  <si>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</si>
  <si>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</si>
  <si>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</si>
  <si>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</si>
  <si>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</si>
  <si>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</si>
  <si>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</si>
  <si>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</si>
  <si>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</si>
  <si>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</si>
  <si>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</si>
  <si>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</si>
  <si>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</si>
  <si>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</si>
  <si>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</si>
  <si>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</si>
  <si>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</si>
  <si>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</si>
  <si>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</si>
  <si>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</si>
  <si>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</si>
  <si>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</si>
  <si>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</si>
  <si>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</si>
  <si>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</si>
  <si>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</si>
  <si>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</si>
  <si>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</si>
  <si>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</si>
  <si>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</si>
  <si>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</si>
  <si>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</si>
  <si>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</si>
  <si>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</si>
  <si>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</si>
  <si>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</si>
  <si>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</si>
  <si>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</si>
  <si>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</si>
  <si>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</si>
  <si>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</si>
  <si>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</si>
  <si>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</si>
  <si>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</si>
  <si>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</si>
  <si>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</si>
  <si>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</si>
  <si>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</si>
  <si>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</si>
  <si>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</si>
  <si>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</si>
  <si>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</si>
  <si>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</si>
  <si>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</si>
  <si>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</si>
  <si>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</si>
  <si>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</si>
  <si>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</si>
  <si>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</si>
  <si>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</si>
  <si>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</si>
  <si>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</si>
  <si>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</si>
  <si>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</si>
  <si>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</si>
  <si>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</si>
  <si>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</si>
  <si>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</si>
  <si>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</si>
  <si>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</si>
  <si>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</si>
  <si>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</si>
  <si>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</si>
  <si>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</si>
  <si>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</si>
  <si>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</si>
  <si>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</si>
  <si>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</si>
  <si>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</si>
  <si>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</si>
  <si>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</si>
  <si>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</si>
  <si>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</si>
  <si>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</si>
  <si>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</si>
  <si>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</si>
  <si>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</si>
  <si>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</si>
  <si>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</si>
  <si>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</si>
  <si>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</si>
  <si>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</si>
  <si>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</si>
  <si>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</si>
  <si>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</si>
  <si>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</si>
  <si>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</si>
  <si>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</si>
  <si>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</si>
  <si>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</si>
  <si>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</si>
  <si>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</si>
  <si>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</si>
  <si>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</si>
  <si>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</si>
  <si>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</si>
  <si>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</si>
  <si>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</si>
  <si>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</si>
  <si>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</si>
  <si>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</si>
  <si>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</si>
  <si>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</si>
  <si>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</si>
  <si>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</si>
  <si>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</si>
  <si>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</si>
  <si>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</si>
  <si>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</si>
  <si>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</si>
  <si>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</si>
  <si>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</si>
  <si>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</si>
  <si>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</si>
  <si>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</si>
  <si>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</si>
  <si>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</si>
  <si>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</si>
  <si>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</si>
  <si>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</si>
  <si>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</si>
  <si>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</si>
  <si>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</si>
  <si>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</si>
  <si>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</si>
  <si>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</si>
  <si>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</si>
  <si>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</si>
  <si>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</si>
  <si>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</si>
  <si>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</si>
  <si>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</si>
  <si>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</si>
  <si>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</si>
  <si>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</si>
  <si>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</si>
  <si>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</si>
  <si>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</si>
  <si>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</si>
  <si>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</si>
  <si>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</si>
  <si>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</si>
  <si>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</si>
  <si>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</si>
  <si>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</si>
  <si>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</si>
  <si>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</si>
  <si>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</si>
  <si>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</si>
  <si>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</si>
  <si>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</si>
  <si>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</si>
  <si>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</si>
  <si>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</si>
  <si>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</si>
  <si>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</si>
  <si>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</si>
  <si>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</si>
  <si>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</si>
  <si>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</si>
  <si>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</si>
  <si>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</si>
  <si>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</si>
  <si>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</si>
  <si>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</si>
  <si>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</si>
  <si>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</si>
  <si>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</si>
  <si>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</si>
  <si>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</si>
  <si>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</si>
  <si>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</si>
  <si>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</si>
  <si>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</si>
  <si>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</si>
  <si>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</si>
  <si>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</si>
  <si>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</si>
  <si>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</si>
  <si>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</si>
  <si>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</si>
  <si>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</si>
  <si>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</si>
  <si>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</si>
  <si>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</si>
  <si>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</si>
  <si>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</si>
  <si>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</si>
  <si>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</si>
  <si>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</si>
  <si>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</si>
  <si>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</si>
  <si>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</si>
  <si>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</si>
  <si>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</si>
  <si>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</si>
  <si>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</si>
  <si>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</si>
  <si>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</si>
  <si>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</si>
  <si>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</si>
  <si>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</si>
  <si>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</si>
  <si>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</si>
  <si>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</si>
  <si>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</si>
  <si>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</si>
  <si>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</si>
  <si>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</si>
  <si>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</si>
  <si>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</si>
  <si>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</si>
  <si>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</si>
  <si>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</si>
  <si>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</si>
  <si>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</si>
  <si>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</si>
  <si>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</si>
  <si>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</si>
  <si>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</si>
  <si>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</si>
  <si>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</si>
  <si>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</si>
  <si>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</si>
  <si>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</si>
  <si>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</si>
  <si>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</si>
  <si>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</si>
  <si>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</si>
  <si>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</si>
  <si>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</si>
  <si>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</si>
  <si>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</si>
  <si>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</si>
  <si>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</si>
  <si>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</si>
  <si>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</si>
  <si>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</si>
  <si>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</si>
  <si>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</si>
  <si>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</si>
  <si>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</si>
  <si>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</si>
  <si>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</si>
  <si>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</si>
  <si>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</si>
  <si>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</si>
  <si>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</si>
  <si>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</si>
  <si>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</si>
  <si>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</si>
  <si>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</si>
  <si>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</si>
  <si>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</si>
  <si>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</si>
  <si>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</si>
  <si>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</si>
  <si>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</si>
  <si>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</si>
  <si>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</si>
  <si>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</si>
  <si>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</si>
  <si>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</si>
  <si>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</si>
  <si>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</si>
  <si>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</si>
  <si>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</si>
  <si>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</si>
  <si>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</si>
  <si>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</si>
  <si>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</si>
  <si>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</si>
  <si>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</si>
  <si>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</si>
  <si>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</si>
  <si>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</si>
  <si>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</si>
  <si>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</si>
  <si>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</si>
  <si>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</si>
  <si>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</si>
  <si>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</si>
  <si>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</si>
  <si>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</si>
  <si>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</si>
  <si>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</si>
  <si>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</si>
  <si>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</si>
  <si>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</si>
  <si>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</si>
  <si>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</si>
  <si>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</si>
  <si>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</si>
  <si>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</si>
  <si>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</si>
  <si>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</si>
  <si>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</si>
  <si>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</si>
  <si>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</si>
  <si>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</si>
  <si>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</si>
  <si>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</si>
  <si>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</si>
  <si>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</si>
  <si>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</si>
  <si>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</si>
  <si>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</si>
  <si>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</si>
  <si>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</si>
  <si>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</si>
  <si>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</si>
  <si>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</si>
  <si>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</si>
  <si>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</si>
  <si>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</si>
  <si>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</si>
  <si>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</si>
  <si>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</si>
  <si>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</si>
  <si>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</si>
  <si>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</si>
  <si>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</si>
  <si>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</si>
  <si>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</si>
  <si>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</si>
  <si>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</si>
  <si>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</si>
  <si>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</si>
  <si>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</si>
  <si>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</si>
  <si>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</si>
  <si>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</si>
  <si>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</si>
  <si>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</si>
  <si>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</si>
  <si>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</si>
  <si>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</si>
  <si>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</si>
  <si>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</si>
  <si>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</si>
  <si>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</si>
  <si>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</si>
  <si>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</si>
  <si>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</si>
  <si>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</si>
  <si>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</si>
  <si>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</si>
  <si>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</si>
  <si>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</si>
  <si>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</si>
  <si>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</si>
  <si>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</si>
  <si>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</si>
  <si>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</si>
  <si>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</si>
  <si>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</si>
  <si>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</si>
  <si>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</si>
  <si>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</si>
  <si>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</si>
  <si>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</si>
  <si>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</si>
  <si>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</si>
  <si>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</si>
  <si>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</si>
  <si>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</si>
  <si>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</si>
  <si>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</si>
  <si>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</si>
  <si>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</si>
  <si>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</si>
  <si>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</si>
  <si>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</si>
  <si>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</si>
  <si>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</si>
  <si>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</si>
  <si>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</si>
  <si>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</si>
  <si>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</si>
  <si>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</si>
  <si>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</si>
  <si>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</si>
  <si>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</si>
  <si>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</si>
  <si>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</si>
  <si>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</si>
  <si>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</si>
  <si>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</si>
  <si>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</si>
  <si>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</si>
  <si>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</si>
  <si>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</si>
  <si>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</si>
  <si>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</si>
  <si>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</si>
  <si>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</si>
  <si>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</si>
  <si>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</si>
  <si>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</si>
  <si>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</si>
  <si>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</si>
  <si>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</si>
  <si>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</si>
  <si>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</si>
  <si>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</si>
  <si>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</si>
  <si>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</si>
  <si>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</si>
  <si>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</si>
  <si>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</si>
  <si>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</si>
  <si>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</si>
  <si>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</si>
  <si>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</si>
  <si>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</si>
  <si>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</si>
  <si>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</si>
  <si>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</si>
  <si>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</si>
  <si>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</si>
  <si>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</si>
  <si>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</si>
  <si>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</si>
  <si>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</si>
  <si>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</si>
  <si>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</si>
  <si>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</si>
  <si>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</si>
  <si>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</si>
  <si>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</si>
  <si>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</si>
  <si>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</si>
  <si>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</si>
  <si>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</si>
  <si>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</si>
  <si>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</si>
  <si>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</si>
  <si>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</si>
  <si>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</si>
  <si>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</si>
  <si>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</si>
  <si>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</si>
  <si>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</si>
  <si>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</si>
  <si>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</si>
  <si>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</si>
  <si>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</si>
  <si>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</si>
  <si>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</si>
  <si>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</si>
  <si>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</si>
  <si>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</si>
  <si>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</si>
  <si>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</si>
  <si>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</si>
  <si>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</si>
  <si>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</si>
  <si>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</si>
  <si>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</si>
  <si>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</si>
  <si>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</si>
  <si>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</si>
  <si>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</si>
  <si>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</si>
  <si>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</si>
  <si>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</si>
  <si>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</si>
  <si>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</si>
  <si>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</si>
  <si>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</si>
  <si>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</si>
  <si>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</si>
  <si>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</si>
  <si>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</si>
  <si>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</si>
  <si>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</si>
  <si>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</si>
  <si>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</si>
  <si>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</si>
  <si>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</si>
  <si>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</si>
  <si>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</si>
  <si>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</si>
  <si>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</si>
  <si>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</si>
  <si>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</si>
  <si>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</si>
  <si>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</si>
  <si>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</si>
  <si>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</si>
  <si>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</si>
  <si>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</si>
  <si>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</si>
  <si>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</si>
  <si>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</si>
  <si>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</si>
  <si>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</si>
  <si>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</si>
  <si>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</si>
  <si>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</si>
  <si>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</si>
  <si>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</si>
  <si>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</si>
  <si>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</si>
  <si>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</si>
  <si>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</si>
  <si>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</si>
  <si>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</si>
  <si>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</si>
  <si>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</si>
  <si>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</si>
  <si>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</si>
  <si>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</si>
  <si>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</si>
  <si>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</si>
  <si>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</si>
  <si>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</si>
  <si>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</si>
  <si>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</si>
  <si>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</si>
  <si>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</si>
  <si>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</si>
  <si>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</si>
  <si>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</si>
  <si>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</si>
  <si>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</si>
  <si>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</si>
  <si>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</si>
  <si>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</si>
  <si>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</si>
  <si>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</si>
  <si>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</si>
  <si>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</si>
  <si>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</si>
  <si>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</si>
  <si>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</si>
  <si>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</si>
  <si>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</si>
  <si>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</si>
  <si>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</si>
  <si>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</si>
  <si>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</si>
  <si>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</si>
  <si>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</si>
  <si>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</si>
  <si>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</si>
  <si>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</si>
  <si>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</si>
  <si>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</si>
  <si>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</si>
  <si>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</si>
  <si>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</si>
  <si>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</si>
  <si>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</si>
  <si>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</si>
  <si>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</si>
  <si>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</si>
  <si>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</si>
  <si>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</si>
  <si>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</si>
  <si>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</si>
  <si>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</si>
  <si>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</si>
  <si>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</si>
  <si>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</si>
  <si>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</si>
  <si>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</si>
  <si>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</si>
  <si>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</si>
  <si>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</si>
  <si>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</si>
  <si>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</si>
  <si>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</si>
  <si>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</si>
  <si>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</si>
  <si>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</si>
  <si>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</si>
  <si>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</si>
  <si>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</si>
  <si>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</si>
  <si>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</si>
  <si>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</si>
  <si>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</si>
  <si>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</si>
  <si>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</si>
  <si>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</si>
  <si>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</si>
  <si>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</si>
  <si>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</si>
  <si>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</si>
  <si>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</si>
  <si>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</si>
  <si>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</si>
  <si>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</si>
  <si>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</si>
  <si>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</si>
  <si>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</si>
  <si>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</si>
  <si>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</si>
  <si>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</si>
  <si>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</si>
  <si>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</si>
  <si>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</si>
  <si>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</si>
  <si>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</si>
  <si>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</si>
  <si>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</si>
  <si>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</si>
  <si>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</si>
  <si>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</si>
  <si>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</si>
  <si>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</si>
  <si>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</si>
  <si>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</si>
  <si>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</si>
  <si>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</si>
  <si>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</si>
  <si>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</si>
  <si>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</si>
  <si>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</si>
  <si>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</si>
  <si>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</si>
  <si>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</si>
  <si>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</si>
  <si>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</si>
  <si>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</si>
  <si>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</si>
  <si>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</si>
  <si>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</si>
  <si>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</si>
  <si>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</si>
  <si>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</si>
  <si>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</si>
  <si>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</si>
  <si>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</si>
  <si>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</si>
  <si>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</si>
  <si>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</si>
  <si>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</si>
  <si>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</si>
  <si>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</si>
  <si>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</si>
  <si>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</si>
  <si>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</si>
  <si>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</si>
  <si>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</si>
  <si>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</si>
  <si>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</si>
  <si>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</si>
  <si>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</si>
  <si>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</si>
  <si>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</si>
  <si>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</si>
  <si>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</si>
  <si>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</si>
  <si>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</si>
  <si>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</si>
  <si>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</si>
  <si>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</si>
  <si>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</si>
  <si>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</si>
  <si>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</si>
  <si>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</si>
  <si>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</si>
  <si>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</si>
  <si>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</si>
  <si>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</si>
  <si>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</si>
  <si>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</si>
  <si>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</si>
  <si>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</si>
  <si>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</si>
  <si>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</si>
  <si>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</si>
  <si>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</si>
  <si>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</si>
  <si>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</si>
  <si>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</si>
  <si>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</si>
  <si>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</si>
  <si>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</si>
  <si>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</si>
  <si>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</si>
  <si>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</si>
  <si>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</si>
  <si>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</si>
  <si>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</si>
  <si>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</si>
  <si>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</si>
  <si>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</si>
  <si>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</si>
  <si>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</si>
  <si>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</si>
  <si>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</si>
  <si>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</si>
  <si>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</si>
  <si>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</si>
  <si>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</si>
  <si>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</si>
  <si>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</si>
  <si>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</si>
  <si>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</si>
  <si>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</si>
  <si>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</si>
  <si>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</si>
  <si>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</si>
  <si>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</si>
  <si>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</si>
  <si>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</si>
  <si>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</si>
  <si>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</si>
  <si>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</si>
  <si>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</si>
  <si>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</si>
  <si>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</si>
  <si>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</si>
  <si>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</si>
  <si>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</si>
  <si>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</si>
  <si>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</si>
  <si>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</si>
  <si>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</si>
  <si>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</si>
  <si>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</si>
  <si>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</si>
  <si>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</si>
  <si>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</si>
  <si>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</si>
  <si>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</si>
  <si>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</si>
  <si>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</si>
  <si>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</si>
  <si>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</si>
  <si>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</si>
  <si>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</si>
  <si>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</si>
  <si>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</si>
  <si>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</si>
  <si>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</si>
  <si>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</si>
  <si>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</si>
  <si>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</si>
  <si>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</si>
  <si>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</si>
  <si>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</si>
  <si>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</si>
  <si>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</si>
  <si>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</si>
  <si>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</si>
  <si>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</si>
  <si>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</si>
  <si>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</si>
  <si>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</si>
  <si>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</si>
  <si>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</si>
  <si>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</si>
  <si>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</si>
  <si>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</si>
  <si>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</si>
  <si>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</si>
  <si>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</si>
  <si>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</si>
  <si>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</si>
  <si>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</si>
  <si>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</si>
  <si>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</si>
  <si>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</si>
  <si>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</si>
  <si>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</si>
  <si>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</si>
  <si>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</si>
  <si>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</si>
  <si>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</si>
  <si>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</si>
  <si>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</si>
  <si>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</si>
  <si>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</si>
  <si>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</si>
  <si>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</si>
  <si>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</si>
  <si>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</si>
  <si>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</si>
  <si>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</si>
  <si>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</si>
  <si>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</si>
  <si>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</si>
  <si>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</si>
  <si>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</si>
  <si>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</si>
  <si>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</si>
  <si>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</si>
  <si>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</si>
  <si>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</si>
  <si>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</si>
  <si>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</si>
  <si>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</si>
  <si>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</si>
  <si>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</si>
  <si>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</si>
  <si>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</si>
  <si>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</si>
  <si>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</si>
  <si>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</si>
  <si>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</si>
  <si>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</si>
  <si>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</si>
  <si>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</si>
  <si>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</si>
  <si>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</si>
  <si>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</si>
  <si>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</si>
  <si>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</si>
  <si>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</si>
  <si>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</si>
  <si>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</si>
  <si>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</si>
  <si>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</si>
  <si>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</si>
  <si>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</si>
  <si>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</si>
  <si>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</si>
  <si>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</si>
  <si>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</si>
  <si>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</si>
  <si>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</si>
  <si>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</si>
  <si>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</si>
  <si>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</si>
  <si>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</si>
  <si>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</si>
  <si>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</si>
  <si>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</si>
  <si>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</si>
  <si>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</si>
  <si>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</si>
  <si>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</si>
  <si>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</si>
  <si>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</si>
  <si>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</si>
  <si>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</si>
  <si>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</si>
  <si>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</si>
  <si>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</si>
  <si>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</si>
  <si>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</si>
  <si>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</si>
  <si>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</si>
  <si>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</si>
  <si>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</si>
  <si>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</si>
  <si>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</si>
  <si>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</si>
  <si>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</si>
  <si>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</si>
  <si>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</si>
  <si>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</si>
  <si>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</si>
  <si>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</si>
  <si>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</si>
  <si>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</si>
  <si>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</si>
  <si>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</si>
  <si>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</si>
  <si>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</si>
  <si>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</si>
  <si>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</si>
  <si>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</si>
  <si>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</si>
  <si>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</si>
  <si>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</si>
  <si>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</si>
  <si>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</si>
  <si>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</si>
  <si>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</si>
  <si>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</si>
  <si>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</si>
  <si>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</si>
  <si>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</si>
  <si>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</si>
  <si>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</si>
  <si>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</si>
  <si>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</si>
  <si>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</si>
  <si>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</si>
  <si>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</si>
  <si>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</si>
  <si>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</si>
  <si>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</si>
  <si>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</si>
  <si>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</si>
  <si>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</si>
  <si>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</si>
  <si>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</si>
  <si>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</si>
  <si>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</si>
  <si>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</si>
  <si>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</si>
  <si>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</si>
  <si>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</si>
  <si>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</si>
  <si>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</si>
  <si>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</si>
  <si>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</si>
  <si>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</si>
  <si>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</si>
  <si>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</si>
  <si>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</si>
  <si>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</si>
  <si>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</si>
  <si>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</si>
  <si>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</si>
  <si>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</si>
  <si>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</si>
  <si>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</si>
  <si>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</si>
  <si>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</si>
  <si>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</si>
  <si>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</si>
  <si>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</si>
  <si>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</si>
  <si>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</si>
  <si>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</si>
  <si>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</si>
  <si>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</si>
  <si>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</si>
  <si>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</si>
  <si>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</si>
  <si>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</si>
  <si>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</si>
  <si>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</si>
  <si>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</si>
  <si>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</si>
  <si>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</si>
  <si>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</si>
  <si>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</si>
  <si>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</si>
  <si>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</si>
  <si>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</si>
  <si>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</si>
  <si>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</si>
  <si>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</si>
  <si>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</si>
  <si>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</si>
  <si>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</si>
  <si>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</si>
  <si>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</si>
  <si>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</si>
  <si>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</si>
  <si>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</si>
  <si>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</si>
  <si>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</si>
  <si>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</si>
  <si>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</si>
  <si>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</si>
  <si>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</si>
  <si>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</si>
  <si>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</si>
  <si>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</si>
  <si>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</si>
  <si>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</si>
  <si>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</si>
  <si>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</si>
  <si>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</si>
  <si>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</si>
  <si>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</si>
  <si>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</si>
  <si>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</si>
  <si>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</si>
  <si>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</si>
  <si>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</si>
  <si>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</si>
  <si>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</si>
  <si>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</si>
  <si>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</si>
  <si>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</si>
  <si>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</si>
  <si>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</si>
  <si>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</si>
  <si>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</si>
  <si>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</si>
  <si>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</si>
  <si>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</si>
  <si>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</si>
  <si>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</si>
  <si>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</si>
  <si>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</si>
  <si>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</si>
  <si>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</si>
  <si>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</si>
  <si>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</si>
  <si>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</si>
  <si>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</si>
  <si>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</si>
  <si>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</si>
  <si>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</si>
  <si>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</si>
  <si>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</si>
  <si>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</si>
  <si>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</si>
  <si>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</si>
  <si>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</si>
  <si>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</si>
  <si>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</si>
  <si>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</si>
  <si>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</si>
  <si>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</si>
  <si>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</si>
  <si>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</si>
  <si>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</si>
  <si>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</si>
  <si>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</si>
  <si>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</si>
  <si>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</si>
  <si>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</si>
  <si>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</si>
  <si>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</si>
  <si>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</si>
  <si>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</si>
  <si>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</si>
  <si>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</si>
  <si>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</si>
  <si>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</si>
  <si>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</si>
  <si>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</si>
  <si>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</si>
  <si>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</si>
  <si>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</si>
  <si>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</si>
  <si>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</si>
  <si>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</si>
  <si>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</si>
  <si>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</si>
  <si>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</si>
  <si>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</si>
  <si>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</si>
  <si>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</si>
  <si>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</si>
  <si>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</si>
  <si>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</si>
  <si>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</si>
  <si>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</si>
  <si>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</si>
  <si>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</si>
  <si>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</si>
  <si>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</si>
  <si>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</si>
  <si>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</si>
  <si>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</si>
  <si>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</si>
  <si>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</si>
  <si>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</si>
  <si>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</si>
  <si>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</si>
  <si>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</si>
  <si>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</si>
  <si>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</si>
  <si>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</si>
  <si>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</si>
  <si>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</si>
  <si>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</si>
  <si>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</si>
  <si>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</si>
  <si>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</si>
  <si>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</si>
  <si>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</si>
  <si>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</si>
  <si>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</si>
  <si>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</si>
  <si>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</si>
  <si>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</si>
  <si>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</si>
  <si>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</si>
  <si>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</si>
  <si>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</si>
  <si>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</si>
  <si>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</si>
  <si>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</si>
  <si>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</si>
  <si>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</si>
  <si>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</si>
  <si>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</si>
  <si>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</si>
  <si>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</si>
  <si>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</si>
  <si>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</si>
  <si>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</si>
  <si>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</si>
  <si>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</si>
  <si>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</si>
  <si>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</si>
  <si>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</si>
  <si>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</si>
  <si>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</si>
  <si>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</si>
  <si>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</si>
  <si>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</si>
  <si>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</si>
  <si>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</si>
  <si>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</si>
  <si>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</si>
  <si>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</si>
  <si>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</si>
  <si>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</si>
  <si>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</si>
  <si>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</si>
  <si>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</si>
  <si>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</si>
  <si>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</si>
  <si>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</si>
  <si>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</si>
  <si>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</si>
  <si>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</si>
  <si>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</si>
  <si>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</si>
  <si>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</si>
  <si>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</si>
  <si>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</si>
  <si>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</si>
  <si>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</si>
  <si>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</si>
  <si>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</si>
  <si>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</si>
  <si>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</si>
  <si>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</si>
  <si>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</si>
  <si>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</si>
  <si>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</si>
  <si>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</si>
  <si>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</si>
  <si>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</si>
  <si>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</si>
  <si>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</si>
  <si>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</si>
  <si>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</si>
  <si>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</si>
  <si>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</si>
  <si>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</si>
  <si>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</si>
  <si>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</si>
  <si>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</si>
  <si>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</si>
  <si>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</si>
  <si>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</si>
  <si>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</si>
  <si>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</si>
  <si>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</si>
  <si>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</si>
  <si>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</si>
  <si>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</si>
  <si>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</si>
  <si>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</si>
  <si>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</si>
  <si>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</si>
  <si>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</si>
  <si>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</si>
  <si>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</si>
  <si>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</si>
  <si>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</si>
  <si>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</si>
  <si>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</si>
  <si>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</si>
  <si>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</si>
  <si>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</si>
  <si>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</si>
  <si>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</si>
  <si>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</si>
  <si>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</si>
  <si>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</si>
  <si>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</si>
  <si>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</si>
  <si>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</si>
  <si>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</si>
  <si>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</si>
  <si>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</si>
  <si>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</si>
  <si>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</si>
  <si>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</si>
  <si>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</si>
  <si>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</si>
  <si>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</si>
  <si>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</si>
  <si>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</si>
  <si>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</si>
  <si>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</si>
  <si>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</si>
  <si>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</si>
  <si>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</si>
  <si>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</si>
  <si>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</si>
  <si>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</si>
  <si>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</si>
  <si>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</si>
  <si>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</si>
  <si>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</si>
  <si>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</si>
  <si>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</si>
  <si>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</si>
  <si>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</si>
  <si>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</si>
  <si>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</si>
  <si>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</si>
  <si>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</si>
  <si>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</si>
  <si>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</si>
  <si>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</si>
  <si>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</si>
  <si>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</si>
  <si>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</si>
  <si>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</si>
  <si>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</si>
  <si>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</si>
  <si>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</si>
  <si>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</si>
  <si>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</si>
  <si>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</si>
  <si>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</si>
  <si>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</si>
  <si>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</si>
  <si>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</si>
  <si>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</si>
  <si>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</si>
  <si>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</si>
  <si>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</si>
  <si>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</si>
  <si>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</si>
  <si>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</si>
  <si>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</si>
  <si>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</si>
  <si>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</si>
  <si>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</si>
  <si>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</si>
  <si>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</si>
  <si>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</si>
  <si>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</si>
  <si>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</si>
  <si>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</si>
  <si>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</si>
  <si>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</si>
  <si>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</si>
  <si>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</si>
  <si>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</si>
  <si>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</si>
  <si>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</si>
  <si>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</si>
  <si>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</si>
  <si>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</si>
  <si>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</si>
  <si>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</si>
  <si>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</si>
  <si>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</si>
  <si>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</si>
  <si>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</si>
  <si>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</si>
  <si>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</si>
  <si>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</si>
  <si>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</si>
  <si>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</si>
  <si>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</si>
  <si>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</si>
  <si>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</si>
  <si>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</si>
  <si>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</si>
  <si>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</si>
  <si>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</si>
  <si>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</si>
  <si>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</si>
  <si>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</si>
  <si>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</si>
  <si>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</si>
  <si>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</si>
  <si>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</si>
  <si>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</si>
  <si>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</si>
  <si>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</si>
  <si>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</si>
  <si>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</si>
  <si>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</si>
  <si>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</si>
  <si>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</si>
  <si>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</si>
  <si>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</si>
  <si>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</si>
  <si>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</si>
  <si>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</si>
  <si>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</si>
  <si>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</si>
  <si>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</si>
  <si>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</si>
  <si>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</si>
  <si>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</si>
  <si>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</si>
  <si>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</si>
  <si>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</si>
  <si>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</si>
  <si>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</si>
  <si>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</si>
  <si>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</si>
  <si>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</si>
  <si>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</si>
  <si>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</si>
  <si>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</si>
  <si>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</si>
  <si>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</si>
  <si>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</si>
  <si>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</si>
  <si>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</si>
  <si>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</si>
  <si>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</si>
  <si>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</si>
  <si>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</si>
  <si>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</si>
  <si>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</si>
  <si>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</si>
  <si>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</si>
  <si>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</si>
  <si>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</si>
  <si>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</si>
  <si>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</si>
  <si>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</si>
  <si>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</si>
  <si>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</si>
  <si>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</si>
  <si>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</si>
  <si>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</si>
  <si>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</si>
  <si>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</si>
  <si>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</si>
  <si>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</si>
  <si>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</si>
  <si>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</si>
  <si>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</si>
  <si>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</si>
  <si>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</si>
  <si>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</si>
  <si>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</si>
  <si>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</si>
  <si>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</si>
  <si>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</si>
  <si>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</si>
  <si>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</si>
  <si>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</si>
  <si>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</si>
  <si>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</si>
  <si>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</si>
  <si>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</si>
  <si>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</si>
  <si>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</si>
  <si>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</si>
  <si>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</si>
  <si>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</si>
  <si>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</si>
  <si>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</si>
  <si>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</si>
  <si>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</si>
  <si>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</si>
  <si>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</si>
  <si>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</si>
  <si>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</si>
  <si>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</si>
  <si>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</si>
  <si>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</si>
  <si>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</si>
  <si>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</si>
  <si>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</si>
  <si>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</si>
  <si>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</si>
  <si>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</si>
  <si>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</si>
  <si>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</si>
  <si>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</si>
  <si>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</si>
  <si>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</si>
  <si>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</si>
  <si>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</si>
  <si>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</si>
  <si>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</si>
  <si>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</si>
  <si>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</si>
  <si>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</si>
  <si>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</si>
  <si>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</si>
  <si>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</si>
  <si>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</si>
  <si>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</si>
  <si>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</si>
  <si>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</si>
  <si>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</si>
  <si>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</si>
  <si>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</si>
  <si>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</si>
  <si>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</si>
  <si>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</si>
  <si>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</si>
  <si>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</si>
  <si>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</si>
  <si>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</si>
  <si>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</si>
  <si>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</si>
  <si>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</si>
  <si>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</si>
  <si>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</si>
  <si>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</si>
  <si>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</si>
  <si>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</si>
  <si>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</si>
  <si>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</si>
  <si>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</si>
  <si>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</si>
  <si>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</si>
  <si>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</si>
  <si>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</si>
  <si>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</si>
  <si>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</si>
  <si>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</si>
  <si>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</si>
  <si>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</si>
  <si>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</si>
  <si>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</si>
  <si>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</si>
  <si>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</si>
  <si>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</si>
  <si>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</si>
  <si>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</si>
  <si>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</si>
  <si>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</si>
  <si>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</si>
  <si>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</si>
  <si>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</si>
  <si>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</si>
  <si>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</si>
  <si>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</si>
  <si>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</si>
  <si>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</si>
  <si>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</si>
  <si>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</si>
  <si>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</si>
  <si>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</si>
  <si>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</si>
  <si>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</si>
  <si>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</si>
  <si>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</si>
  <si>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</si>
  <si>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</si>
  <si>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</si>
  <si>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</si>
  <si>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</si>
  <si>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</si>
  <si>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</si>
  <si>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</si>
  <si>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</si>
  <si>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</si>
  <si>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</si>
  <si>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</si>
  <si>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</si>
  <si>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</si>
  <si>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</si>
  <si>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</si>
  <si>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</si>
  <si>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</si>
  <si>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</si>
  <si>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</si>
  <si>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</si>
  <si>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</si>
  <si>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</si>
  <si>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</si>
  <si>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</si>
  <si>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</si>
  <si>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</si>
  <si>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</si>
  <si>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</si>
  <si>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</si>
  <si>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</si>
  <si>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</si>
  <si>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</si>
  <si>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</si>
  <si>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</si>
  <si>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</si>
  <si>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</si>
  <si>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</si>
  <si>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</si>
  <si>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</si>
  <si>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</si>
  <si>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</si>
  <si>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</si>
  <si>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</si>
  <si>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</si>
  <si>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</si>
  <si>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</si>
  <si>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</si>
  <si>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</si>
  <si>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</si>
  <si>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</si>
  <si>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</si>
  <si>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</si>
  <si>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</si>
  <si>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</si>
  <si>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</si>
  <si>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</si>
  <si>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</si>
  <si>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</si>
  <si>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</si>
  <si>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</si>
  <si>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</si>
  <si>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</si>
  <si>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</si>
  <si>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</si>
  <si>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</si>
  <si>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</si>
  <si>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</si>
  <si>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</si>
  <si>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</si>
  <si>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</si>
  <si>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</si>
  <si>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</si>
  <si>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</si>
  <si>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</si>
  <si>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</si>
  <si>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</si>
  <si>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</si>
  <si>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</si>
  <si>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</si>
  <si>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</si>
  <si>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</si>
  <si>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</si>
  <si>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</si>
  <si>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</si>
  <si>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</si>
  <si>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</si>
  <si>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</si>
  <si>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</si>
  <si>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</si>
  <si>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</si>
  <si>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</si>
  <si>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</si>
  <si>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</si>
  <si>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</si>
  <si>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</si>
  <si>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</si>
  <si>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</si>
  <si>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</si>
  <si>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</si>
  <si>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</si>
  <si>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</si>
  <si>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</si>
  <si>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</si>
  <si>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</si>
  <si>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</si>
  <si>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</si>
  <si>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</si>
  <si>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</si>
  <si>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</si>
  <si>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</si>
  <si>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</si>
  <si>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</si>
  <si>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</si>
  <si>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</si>
  <si>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</si>
  <si>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</si>
  <si>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</si>
  <si>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</si>
  <si>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</si>
  <si>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</si>
  <si>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</si>
  <si>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</si>
  <si>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</si>
  <si>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</si>
  <si>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</si>
  <si>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</si>
  <si>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</si>
  <si>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</si>
  <si>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</si>
  <si>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</si>
  <si>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</si>
  <si>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</si>
  <si>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</si>
  <si>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</si>
  <si>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</si>
  <si>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</si>
  <si>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</si>
  <si>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</si>
  <si>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</si>
  <si>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</si>
  <si>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</si>
  <si>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</si>
  <si>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</si>
  <si>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</si>
  <si>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</si>
  <si>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</si>
  <si>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</si>
  <si>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</si>
  <si>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</si>
  <si>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</si>
  <si>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</si>
  <si>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</si>
  <si>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</si>
  <si>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</si>
  <si>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</si>
  <si>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</si>
  <si>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</si>
  <si>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</si>
  <si>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</si>
  <si>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</si>
  <si>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</si>
  <si>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</si>
  <si>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</si>
  <si>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</si>
  <si>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</si>
  <si>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</si>
  <si>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</si>
  <si>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</si>
  <si>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</si>
  <si>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</si>
  <si>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</si>
  <si>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</si>
  <si>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</si>
  <si>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</si>
  <si>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</si>
  <si>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</si>
  <si>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</si>
  <si>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</si>
  <si>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</si>
  <si>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</si>
  <si>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</si>
  <si>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</si>
  <si>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</si>
  <si>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</si>
  <si>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</si>
  <si>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</si>
  <si>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</si>
  <si>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</si>
  <si>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</si>
  <si>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</si>
  <si>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</si>
  <si>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</si>
  <si>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</si>
  <si>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</si>
  <si>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</si>
  <si>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</si>
  <si>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</si>
  <si>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</si>
  <si>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</si>
  <si>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</si>
  <si>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</si>
  <si>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</si>
  <si>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</si>
  <si>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</si>
  <si>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</si>
  <si>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</si>
  <si>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</si>
  <si>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</si>
  <si>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</si>
  <si>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</si>
  <si>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</si>
  <si>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</si>
  <si>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</si>
  <si>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</si>
  <si>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</si>
  <si>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</si>
  <si>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</si>
  <si>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</si>
  <si>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</si>
  <si>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</si>
  <si>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</si>
  <si>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</si>
  <si>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</si>
  <si>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</si>
  <si>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</si>
  <si>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</si>
  <si>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</si>
  <si>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</si>
  <si>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</si>
  <si>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</si>
  <si>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</si>
  <si>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</si>
  <si>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</si>
  <si>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</si>
  <si>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</si>
  <si>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</si>
  <si>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</si>
  <si>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</si>
  <si>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</si>
  <si>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</si>
  <si>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</si>
  <si>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</si>
  <si>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</si>
  <si>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</si>
  <si>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</si>
  <si>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</si>
  <si>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</si>
  <si>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</si>
  <si>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</si>
  <si>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</si>
  <si>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</si>
  <si>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</si>
  <si>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</si>
  <si>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</si>
  <si>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</si>
  <si>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</si>
  <si>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</si>
  <si>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</si>
  <si>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</si>
  <si>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</si>
  <si>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</si>
  <si>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</si>
  <si>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</si>
  <si>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</si>
  <si>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</si>
  <si>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</si>
  <si>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</si>
  <si>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</si>
  <si>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</si>
  <si>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</si>
  <si>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</si>
  <si>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</si>
  <si>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</si>
  <si>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</si>
  <si>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</si>
  <si>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</si>
  <si>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</si>
  <si>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</si>
  <si>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</si>
  <si>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</si>
  <si>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</si>
  <si>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</si>
  <si>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</si>
  <si>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</si>
  <si>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</si>
  <si>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</si>
  <si>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</si>
  <si>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</si>
  <si>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</si>
  <si>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</si>
  <si>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</si>
  <si>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</si>
  <si>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</si>
  <si>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</si>
  <si>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</si>
  <si>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</si>
  <si>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</si>
  <si>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</si>
  <si>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</si>
  <si>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</si>
  <si>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</si>
  <si>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</si>
  <si>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</si>
  <si>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</si>
  <si>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</si>
  <si>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</si>
  <si>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</si>
  <si>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</si>
  <si>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</si>
  <si>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</si>
  <si>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</si>
  <si>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</si>
  <si>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</si>
  <si>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</si>
  <si>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</si>
  <si>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</si>
  <si>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</si>
  <si>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</si>
  <si>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</si>
  <si>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</si>
  <si>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</si>
  <si>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</si>
  <si>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</si>
  <si>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</si>
  <si>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</si>
  <si>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</si>
  <si>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</si>
  <si>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</si>
  <si>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</si>
  <si>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</si>
  <si>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</si>
  <si>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</si>
  <si>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</si>
  <si>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</si>
  <si>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</si>
  <si>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</si>
  <si>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</si>
  <si>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</si>
  <si>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</si>
  <si>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</si>
  <si>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</si>
  <si>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</si>
  <si>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</si>
  <si>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</si>
  <si>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</si>
  <si>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</si>
  <si>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</si>
  <si>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</si>
  <si>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</si>
  <si>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</si>
  <si>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</si>
  <si>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</si>
  <si>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</si>
  <si>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</si>
  <si>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</si>
  <si>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</si>
  <si>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</si>
  <si>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</si>
  <si>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</si>
  <si>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</si>
  <si>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</si>
  <si>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</si>
  <si>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</si>
  <si>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</si>
  <si>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</si>
  <si>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</si>
  <si>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</si>
  <si>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</si>
  <si>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</si>
  <si>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</si>
  <si>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</si>
  <si>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</si>
  <si>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</si>
  <si>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</si>
  <si>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</si>
  <si>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</si>
  <si>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</si>
  <si>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</si>
  <si>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</si>
  <si>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</si>
  <si>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</si>
  <si>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</si>
  <si>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</si>
  <si>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</si>
  <si>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</si>
  <si>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</si>
  <si>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</si>
  <si>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</si>
  <si>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</si>
  <si>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</si>
  <si>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</si>
  <si>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</si>
  <si>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</si>
  <si>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</si>
  <si>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</si>
  <si>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</si>
  <si>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</si>
  <si>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</si>
  <si>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</si>
  <si>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</si>
  <si>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</si>
  <si>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</si>
  <si>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</si>
  <si>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</si>
  <si>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</si>
  <si>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</si>
  <si>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</si>
  <si>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</si>
  <si>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</si>
  <si>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</si>
  <si>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</si>
  <si>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</si>
  <si>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</si>
  <si>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</si>
  <si>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</si>
  <si>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</si>
  <si>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</si>
  <si>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</si>
  <si>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</si>
  <si>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</si>
  <si>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</si>
  <si>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</si>
  <si>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</si>
  <si>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</si>
  <si>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</si>
  <si>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</si>
  <si>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</si>
  <si>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</si>
  <si>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</si>
  <si>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</si>
  <si>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</si>
  <si>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</si>
  <si>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</si>
  <si>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</si>
  <si>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</si>
  <si>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</si>
  <si>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</si>
  <si>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</si>
  <si>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</si>
  <si>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</si>
  <si>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</si>
  <si>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</si>
  <si>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</si>
  <si>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</si>
  <si>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</si>
  <si>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</si>
  <si>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</si>
  <si>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</si>
  <si>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</si>
  <si>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</si>
  <si>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</si>
  <si>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</si>
  <si>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</si>
  <si>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</si>
  <si>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</si>
  <si>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</si>
  <si>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</si>
  <si>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</si>
  <si>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</si>
  <si>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</si>
  <si>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</si>
  <si>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</si>
  <si>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</si>
  <si>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</si>
  <si>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</si>
  <si>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</si>
  <si>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</si>
  <si>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</si>
  <si>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</si>
  <si>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</si>
  <si>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</si>
  <si>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</si>
  <si>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</si>
  <si>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</si>
  <si>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</si>
  <si>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</si>
  <si>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</si>
  <si>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</si>
  <si>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</si>
  <si>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</si>
  <si>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</si>
  <si>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</si>
  <si>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</si>
  <si>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</si>
  <si>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</si>
  <si>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</si>
  <si>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</si>
  <si>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</si>
  <si>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</si>
  <si>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</si>
  <si>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</si>
  <si>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</si>
  <si>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</si>
  <si>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</si>
  <si>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</si>
  <si>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</si>
  <si>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</si>
  <si>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</si>
  <si>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</si>
  <si>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</si>
  <si>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</si>
  <si>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</si>
  <si>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</si>
  <si>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</si>
  <si>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</si>
  <si>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</si>
  <si>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</si>
  <si>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</si>
  <si>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</si>
  <si>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</si>
  <si>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</si>
  <si>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</si>
  <si>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</si>
  <si>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</si>
  <si>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</si>
  <si>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</si>
  <si>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</si>
  <si>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</si>
  <si>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</si>
  <si>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</si>
  <si>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</si>
  <si>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</si>
  <si>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</si>
  <si>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</si>
  <si>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</si>
  <si>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</si>
  <si>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</si>
  <si>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</si>
  <si>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</si>
  <si>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</si>
  <si>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</si>
  <si>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</si>
  <si>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</si>
  <si>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</si>
  <si>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</si>
  <si>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</si>
  <si>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</si>
  <si>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</si>
  <si>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</si>
  <si>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</si>
  <si>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</si>
  <si>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</si>
  <si>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</si>
  <si>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</si>
  <si>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</si>
  <si>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</si>
  <si>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</si>
  <si>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</si>
  <si>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</si>
  <si>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</si>
  <si>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</si>
  <si>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</si>
  <si>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</si>
  <si>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</si>
  <si>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</si>
  <si>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</si>
  <si>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</si>
  <si>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</si>
  <si>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</si>
  <si>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</si>
  <si>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</si>
  <si>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</si>
  <si>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</si>
  <si>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</si>
  <si>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</si>
  <si>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</si>
  <si>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</si>
  <si>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</si>
  <si>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</si>
  <si>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</si>
  <si>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</si>
  <si>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</si>
  <si>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</si>
  <si>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</si>
  <si>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</si>
  <si>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</si>
  <si>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</si>
  <si>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</si>
  <si>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</si>
  <si>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</si>
  <si>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</si>
  <si>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</si>
  <si>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</si>
  <si>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</si>
  <si>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</si>
  <si>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</si>
  <si>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</si>
  <si>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</si>
  <si>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</si>
  <si>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</si>
  <si>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</si>
  <si>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</si>
  <si>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</si>
  <si>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</si>
  <si>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</si>
  <si>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</si>
  <si>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</si>
  <si>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</si>
  <si>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</si>
  <si>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</si>
  <si>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</si>
  <si>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</si>
  <si>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</si>
  <si>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</si>
  <si>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</si>
  <si>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</si>
  <si>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</si>
  <si>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</si>
  <si>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</si>
  <si>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</si>
  <si>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</si>
  <si>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</si>
  <si>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</si>
  <si>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</si>
  <si>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</si>
  <si>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</si>
  <si>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</si>
  <si>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</si>
  <si>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</si>
  <si>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</si>
  <si>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</si>
  <si>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</si>
  <si>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</si>
  <si>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</si>
  <si>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</si>
  <si>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</si>
  <si>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</si>
  <si>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</si>
  <si>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</si>
  <si>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</si>
  <si>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</si>
  <si>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</si>
  <si>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</si>
  <si>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</si>
  <si>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</si>
  <si>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</si>
  <si>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</si>
  <si>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</si>
  <si>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</si>
  <si>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</si>
  <si>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</si>
  <si>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</si>
  <si>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</si>
  <si>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</si>
  <si>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</si>
  <si>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</si>
  <si>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</si>
  <si>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</si>
  <si>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</si>
  <si>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</si>
  <si>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</si>
  <si>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</si>
  <si>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</si>
  <si>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</si>
  <si>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</si>
  <si>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</si>
  <si>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</si>
  <si>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</si>
  <si>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</si>
  <si>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</si>
  <si>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</si>
  <si>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</si>
  <si>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</si>
  <si>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</si>
  <si>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</si>
  <si>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</si>
  <si>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</si>
  <si>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</si>
  <si>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</si>
  <si>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</si>
  <si>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</si>
  <si>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</si>
  <si>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</si>
  <si>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</si>
  <si>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</si>
  <si>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</si>
  <si>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</si>
  <si>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</si>
  <si>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</si>
  <si>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</si>
  <si>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</si>
  <si>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</si>
  <si>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</si>
  <si>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</si>
  <si>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</si>
  <si>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</si>
  <si>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</si>
  <si>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</si>
  <si>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</si>
  <si>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</si>
  <si>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</si>
  <si>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</si>
  <si>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</si>
  <si>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</si>
  <si>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</si>
  <si>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</si>
  <si>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</si>
  <si>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</si>
  <si>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</si>
  <si>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</si>
  <si>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</si>
  <si>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</si>
  <si>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</si>
  <si>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</si>
  <si>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</si>
  <si>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</si>
  <si>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</si>
  <si>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</si>
  <si>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</si>
  <si>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</si>
  <si>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</si>
  <si>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</si>
  <si>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</si>
  <si>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</si>
  <si>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</si>
  <si>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</si>
  <si>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</si>
  <si>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</si>
  <si>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</si>
  <si>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</si>
  <si>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</si>
  <si>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</si>
  <si>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</si>
  <si>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</si>
  <si>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</si>
  <si>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</si>
  <si>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</si>
  <si>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</si>
  <si>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</si>
  <si>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</si>
  <si>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</si>
  <si>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</si>
  <si>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</si>
  <si>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</si>
  <si>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</si>
  <si>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</si>
  <si>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</si>
  <si>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</si>
  <si>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</si>
  <si>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</si>
  <si>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</si>
  <si>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</si>
  <si>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</si>
  <si>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</si>
  <si>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</si>
  <si>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</si>
  <si>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</si>
  <si>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</si>
  <si>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</si>
  <si>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</si>
  <si>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</si>
  <si>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</si>
  <si>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</si>
  <si>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</si>
  <si>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</si>
  <si>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</si>
  <si>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</si>
  <si>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</si>
  <si>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</si>
  <si>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</si>
  <si>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</si>
  <si>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</si>
  <si>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</si>
  <si>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</si>
  <si>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</si>
  <si>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</si>
  <si>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</si>
  <si>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</si>
  <si>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</si>
  <si>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</si>
  <si>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</si>
  <si>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</si>
  <si>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</si>
  <si>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</si>
  <si>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</si>
  <si>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</si>
  <si>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</si>
  <si>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</si>
  <si>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</si>
  <si>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</si>
  <si>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</si>
  <si>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</si>
  <si>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</si>
  <si>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</si>
  <si>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</si>
  <si>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</si>
  <si>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</si>
  <si>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</si>
  <si>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</si>
  <si>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</si>
  <si>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</si>
  <si>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</si>
  <si>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</si>
  <si>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</si>
  <si>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</si>
  <si>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</si>
  <si>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</si>
  <si>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</si>
  <si>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</si>
  <si>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</si>
  <si>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</si>
  <si>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</si>
  <si>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</si>
  <si>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</si>
  <si>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</si>
  <si>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</si>
  <si>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</si>
  <si>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</si>
  <si>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</si>
  <si>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</si>
  <si>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</si>
  <si>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</si>
  <si>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</si>
  <si>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</si>
  <si>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</si>
  <si>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</si>
  <si>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</si>
  <si>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</si>
  <si>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</si>
  <si>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</si>
  <si>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</si>
  <si>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</si>
  <si>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</si>
  <si>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</si>
  <si>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</si>
  <si>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</si>
  <si>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</si>
  <si>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</si>
  <si>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</si>
  <si>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</si>
  <si>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</si>
  <si>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</si>
  <si>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</si>
  <si>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</si>
  <si>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</si>
  <si>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</si>
  <si>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</si>
  <si>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</si>
  <si>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</si>
  <si>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</si>
  <si>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</si>
  <si>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</si>
  <si>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</si>
  <si>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</si>
  <si>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</si>
  <si>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</si>
  <si>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</si>
  <si>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</si>
  <si>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</si>
  <si>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</si>
  <si>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</si>
  <si>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</si>
  <si>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</si>
  <si>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</si>
  <si>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</si>
  <si>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</si>
  <si>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</si>
  <si>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</si>
  <si>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</si>
  <si>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</si>
  <si>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</si>
  <si>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</si>
  <si>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</si>
  <si>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</si>
  <si>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</si>
  <si>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</si>
  <si>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</si>
  <si>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</si>
  <si>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</si>
  <si>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</si>
  <si>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</si>
  <si>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</si>
  <si>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</si>
  <si>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</si>
  <si>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</si>
  <si>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</si>
  <si>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</si>
  <si>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</si>
  <si>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</si>
  <si>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</si>
  <si>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</si>
  <si>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</si>
  <si>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</si>
  <si>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</si>
  <si>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</si>
  <si>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</si>
  <si>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</si>
  <si>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</si>
  <si>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</si>
  <si>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</si>
  <si>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</si>
  <si>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</si>
  <si>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</si>
  <si>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</si>
  <si>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</si>
  <si>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</si>
  <si>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</si>
  <si>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</si>
  <si>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</si>
  <si>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</si>
  <si>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</si>
  <si>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</si>
  <si>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</si>
  <si>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</si>
  <si>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</si>
  <si>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</si>
  <si>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</si>
  <si>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</si>
  <si>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</si>
  <si>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</si>
  <si>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</si>
  <si>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</si>
  <si>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</si>
  <si>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</si>
  <si>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</si>
  <si>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</si>
  <si>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</si>
  <si>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</si>
  <si>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</si>
  <si>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</si>
  <si>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</si>
  <si>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</si>
  <si>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</si>
  <si>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</si>
  <si>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</si>
  <si>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</si>
  <si>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</si>
  <si>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</si>
  <si>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</si>
  <si>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</si>
  <si>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</si>
  <si>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</si>
  <si>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</si>
  <si>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</si>
  <si>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</si>
  <si>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</si>
  <si>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</si>
  <si>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</si>
  <si>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</si>
  <si>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</si>
  <si>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</si>
  <si>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</si>
  <si>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</si>
  <si>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</si>
  <si>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</si>
  <si>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</si>
  <si>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</si>
  <si>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</si>
  <si>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</si>
  <si>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</si>
  <si>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</si>
  <si>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</si>
  <si>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</si>
  <si>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</si>
  <si>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</si>
  <si>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</si>
  <si>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</si>
  <si>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</si>
  <si>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</si>
  <si>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</si>
  <si>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</si>
  <si>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</si>
  <si>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</si>
  <si>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</si>
  <si>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</si>
  <si>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</si>
  <si>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</si>
  <si>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</si>
  <si>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</si>
  <si>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</si>
  <si>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</si>
  <si>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</si>
  <si>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</si>
  <si>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</si>
  <si>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</si>
  <si>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</si>
  <si>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</si>
  <si>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</si>
  <si>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</si>
  <si>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</si>
  <si>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</si>
  <si>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</si>
  <si>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</si>
  <si>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</si>
  <si>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</si>
  <si>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</si>
  <si>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</si>
  <si>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</si>
  <si>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</si>
  <si>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</si>
  <si>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</si>
  <si>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</si>
  <si>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</si>
  <si>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</si>
  <si>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</si>
  <si>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</si>
  <si>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</si>
  <si>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</si>
  <si>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</si>
  <si>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</si>
  <si>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</si>
  <si>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</si>
  <si>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</si>
  <si>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</si>
  <si>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</si>
  <si>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</si>
  <si>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</si>
  <si>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</si>
  <si>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</si>
  <si>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</si>
  <si>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</si>
  <si>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</si>
  <si>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</si>
  <si>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</si>
  <si>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</si>
  <si>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</si>
  <si>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</si>
  <si>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</si>
  <si>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</si>
  <si>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</si>
  <si>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</si>
  <si>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</si>
  <si>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</si>
  <si>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</si>
  <si>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</si>
  <si>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</si>
  <si>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</si>
  <si>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</si>
  <si>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</si>
  <si>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</si>
  <si>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</si>
  <si>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</si>
  <si>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</si>
  <si>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</si>
  <si>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</si>
  <si>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</si>
  <si>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</si>
  <si>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</si>
  <si>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</si>
  <si>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</si>
  <si>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</si>
  <si>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</si>
  <si>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</si>
  <si>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</si>
  <si>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</si>
  <si>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</si>
  <si>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</si>
  <si>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</si>
  <si>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</si>
  <si>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</si>
  <si>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</si>
  <si>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</si>
  <si>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</si>
  <si>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</si>
  <si>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</si>
  <si>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</si>
  <si>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</si>
  <si>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</si>
  <si>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</si>
  <si>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</si>
  <si>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</si>
  <si>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</si>
  <si>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</si>
  <si>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</si>
  <si>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</si>
  <si>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</si>
  <si>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</si>
  <si>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</si>
  <si>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</si>
  <si>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</si>
  <si>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</si>
  <si>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</si>
  <si>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</si>
  <si>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</si>
  <si>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</si>
  <si>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</si>
  <si>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</si>
  <si>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</si>
  <si>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</si>
  <si>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</si>
  <si>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</si>
  <si>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</si>
  <si>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</si>
  <si>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</si>
  <si>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</si>
  <si>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</si>
  <si>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</si>
  <si>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</si>
  <si>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</si>
  <si>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</si>
  <si>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</si>
  <si>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</si>
  <si>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</si>
  <si>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</si>
  <si>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</si>
  <si>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</si>
  <si>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</si>
  <si>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</si>
  <si>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</si>
  <si>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</si>
  <si>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</si>
  <si>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</si>
  <si>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</si>
  <si>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</si>
  <si>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</si>
  <si>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</si>
  <si>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</si>
  <si>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</si>
  <si>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</si>
  <si>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</si>
  <si>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</si>
  <si>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</si>
  <si>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</si>
  <si>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</si>
  <si>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</si>
  <si>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</si>
  <si>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</si>
  <si>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</si>
  <si>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</si>
  <si>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</si>
  <si>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</si>
  <si>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</si>
  <si>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</si>
  <si>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</si>
  <si>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</si>
  <si>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</si>
  <si>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</si>
  <si>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</si>
  <si>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</si>
  <si>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</si>
  <si>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</si>
  <si>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</si>
  <si>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</si>
  <si>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</si>
  <si>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</si>
  <si>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</si>
  <si>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</si>
  <si>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</si>
  <si>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</si>
  <si>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</si>
  <si>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</si>
  <si>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</si>
  <si>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</si>
  <si>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</si>
  <si>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</si>
  <si>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</si>
  <si>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</si>
  <si>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</si>
  <si>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</si>
  <si>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</si>
  <si>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</si>
  <si>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</si>
  <si>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</si>
  <si>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</si>
  <si>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</si>
  <si>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</si>
  <si>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</si>
  <si>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</si>
  <si>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</si>
  <si>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</si>
  <si>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</si>
  <si>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</si>
  <si>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</si>
  <si>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</si>
  <si>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</si>
  <si>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</si>
  <si>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</si>
  <si>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</si>
  <si>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</si>
  <si>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</si>
  <si>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</si>
  <si>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</si>
  <si>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</si>
  <si>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</si>
  <si>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</si>
  <si>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</si>
  <si>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</si>
  <si>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</si>
  <si>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</si>
  <si>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</si>
  <si>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</si>
  <si>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</si>
  <si>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</si>
  <si>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</si>
  <si>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</si>
  <si>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</si>
  <si>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</si>
  <si>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</si>
  <si>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</si>
  <si>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</si>
  <si>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</si>
  <si>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</si>
  <si>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</si>
  <si>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</si>
  <si>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</si>
  <si>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</si>
  <si>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</si>
  <si>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</si>
  <si>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</si>
  <si>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</si>
  <si>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</si>
  <si>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</si>
  <si>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</si>
  <si>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</si>
  <si>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</si>
  <si>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</si>
  <si>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</si>
  <si>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</si>
  <si>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</si>
  <si>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</si>
  <si>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</si>
  <si>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</si>
  <si>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</si>
  <si>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</si>
  <si>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</si>
  <si>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</si>
  <si>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</si>
  <si>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</si>
  <si>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</si>
  <si>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</si>
  <si>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</si>
  <si>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</si>
  <si>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</si>
  <si>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</si>
  <si>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</si>
  <si>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</si>
  <si>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</si>
  <si>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</si>
  <si>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</si>
  <si>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</si>
  <si>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</si>
  <si>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</si>
  <si>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</si>
  <si>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</si>
  <si>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</si>
  <si>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</si>
  <si>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</si>
  <si>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</si>
  <si>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</si>
  <si>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</si>
  <si>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</si>
  <si>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</si>
  <si>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</si>
  <si>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</si>
  <si>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</si>
  <si>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</si>
  <si>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</si>
  <si>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</si>
  <si>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</si>
  <si>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</si>
  <si>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</si>
  <si>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</si>
  <si>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</si>
  <si>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</si>
  <si>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</si>
  <si>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</si>
  <si>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</si>
  <si>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</si>
  <si>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</si>
  <si>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</si>
  <si>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</si>
  <si>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</si>
  <si>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</si>
  <si>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</si>
  <si>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</si>
  <si>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</si>
  <si>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</si>
  <si>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</si>
  <si>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</si>
  <si>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</si>
  <si>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</si>
  <si>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</si>
  <si>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</si>
  <si>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</si>
  <si>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</si>
  <si>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</si>
  <si>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</si>
  <si>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</si>
  <si>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</si>
  <si>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</si>
  <si>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</si>
  <si>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</si>
  <si>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</si>
  <si>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</si>
  <si>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</si>
  <si>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</si>
  <si>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</si>
  <si>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</si>
  <si>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</si>
  <si>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</si>
  <si>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</si>
  <si>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</si>
  <si>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</si>
  <si>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</si>
  <si>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</si>
  <si>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</si>
  <si>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</si>
  <si>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</si>
  <si>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</si>
  <si>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</si>
  <si>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</si>
  <si>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</si>
  <si>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</si>
  <si>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</si>
  <si>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</si>
  <si>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</si>
  <si>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</si>
  <si>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</si>
  <si>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</si>
  <si>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</si>
  <si>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</si>
  <si>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</si>
  <si>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</si>
  <si>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</si>
  <si>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</si>
  <si>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</si>
  <si>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</si>
  <si>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</si>
  <si>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</si>
  <si>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</si>
  <si>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</si>
  <si>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</si>
  <si>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</si>
  <si>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</si>
  <si>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</si>
  <si>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</si>
  <si>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</si>
  <si>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</si>
  <si>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</si>
  <si>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</si>
  <si>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</si>
  <si>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</si>
  <si>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</si>
  <si>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</si>
  <si>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</si>
  <si>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</si>
  <si>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</si>
  <si>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</si>
  <si>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</si>
  <si>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</si>
  <si>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</si>
  <si>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</si>
  <si>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</si>
  <si>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</si>
  <si>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</si>
  <si>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</si>
  <si>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</si>
  <si>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</si>
  <si>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</si>
  <si>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</si>
  <si>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</si>
  <si>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</si>
  <si>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</si>
  <si>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</si>
  <si>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</si>
  <si>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</si>
  <si>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</si>
  <si>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</si>
  <si>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</si>
  <si>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</si>
  <si>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</si>
  <si>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</si>
  <si>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</si>
  <si>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</si>
  <si>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</si>
  <si>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</si>
  <si>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</si>
  <si>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</si>
  <si>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</si>
  <si>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</si>
  <si>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</si>
  <si>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</si>
  <si>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</si>
  <si>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</si>
  <si>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</si>
  <si>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</si>
  <si>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</si>
  <si>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</si>
  <si>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</si>
  <si>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</si>
  <si>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</si>
  <si>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</si>
  <si>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</si>
  <si>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</si>
  <si>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</si>
  <si>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</si>
  <si>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</si>
  <si>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</si>
  <si>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</si>
  <si>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</si>
  <si>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</si>
  <si>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</si>
  <si>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</si>
  <si>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</si>
  <si>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</si>
  <si>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</si>
  <si>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</si>
  <si>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</si>
  <si>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</si>
  <si>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</si>
  <si>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</si>
  <si>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</si>
  <si>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</si>
  <si>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</si>
  <si>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</si>
  <si>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</si>
  <si>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</si>
  <si>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</si>
  <si>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</si>
  <si>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</si>
  <si>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</si>
  <si>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</si>
  <si>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</si>
  <si>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</si>
  <si>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</si>
  <si>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</si>
  <si>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</si>
  <si>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</si>
  <si>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</si>
  <si>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</si>
  <si>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</si>
  <si>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</si>
  <si>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</si>
  <si>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</si>
  <si>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</si>
  <si>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</si>
  <si>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</si>
  <si>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</si>
  <si>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</si>
  <si>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</si>
  <si>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</si>
  <si>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</si>
  <si>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</si>
  <si>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</si>
  <si>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</si>
  <si>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</si>
  <si>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</si>
  <si>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</si>
  <si>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</si>
  <si>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</si>
  <si>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</si>
  <si>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</si>
  <si>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</si>
  <si>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</si>
  <si>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</si>
  <si>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</si>
  <si>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</si>
  <si>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</si>
  <si>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</si>
  <si>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</si>
  <si>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</si>
  <si>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</si>
  <si>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</si>
  <si>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</si>
  <si>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</si>
  <si>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</si>
  <si>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</si>
  <si>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</si>
  <si>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</si>
  <si>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</si>
  <si>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</si>
  <si>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</si>
  <si>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</si>
  <si>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</si>
  <si>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</si>
  <si>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</si>
  <si>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</si>
  <si>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</si>
  <si>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</si>
  <si>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</si>
  <si>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</si>
  <si>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</si>
  <si>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</si>
  <si>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</si>
  <si>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</si>
  <si>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</si>
  <si>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</si>
  <si>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</si>
  <si>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</si>
  <si>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</si>
  <si>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</si>
  <si>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</si>
  <si>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</si>
  <si>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</si>
  <si>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</si>
  <si>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</si>
  <si>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</si>
  <si>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</si>
  <si>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</si>
  <si>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</si>
  <si>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</si>
  <si>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</si>
  <si>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</si>
  <si>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</si>
  <si>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</si>
  <si>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</si>
  <si>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</si>
  <si>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</si>
  <si>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</si>
  <si>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</si>
  <si>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</si>
  <si>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</si>
  <si>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</si>
  <si>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</si>
  <si>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</si>
  <si>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</si>
  <si>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</si>
  <si>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</si>
  <si>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</si>
  <si>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</si>
  <si>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</si>
  <si>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</si>
  <si>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</si>
  <si>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</si>
  <si>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</si>
  <si>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</si>
  <si>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</si>
  <si>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</si>
  <si>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</si>
  <si>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</si>
  <si>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</si>
  <si>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</si>
  <si>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</si>
  <si>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</si>
  <si>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</si>
  <si>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</si>
  <si>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</si>
  <si>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</si>
  <si>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</si>
  <si>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</si>
  <si>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</si>
  <si>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</si>
  <si>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</si>
  <si>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</si>
  <si>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</si>
  <si>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</si>
  <si>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</si>
  <si>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</si>
  <si>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</si>
  <si>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</si>
  <si>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</si>
  <si>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</si>
  <si>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</si>
  <si>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</si>
  <si>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</si>
  <si>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</si>
  <si>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</si>
  <si>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</si>
  <si>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</si>
  <si>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</si>
  <si>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</si>
  <si>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</si>
  <si>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</si>
  <si>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</si>
  <si>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</si>
  <si>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</si>
  <si>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</si>
  <si>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</si>
  <si>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</si>
  <si>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</si>
  <si>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</si>
  <si>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Javno preduzeće Komus akcionarsko društvo</t>
  </si>
  <si>
    <t>Svetog Vasilija Ostroškog 5 Bileća</t>
  </si>
  <si>
    <t>Bileći</t>
  </si>
  <si>
    <t>Dragana Popara</t>
  </si>
  <si>
    <t>SR 1639/25</t>
  </si>
  <si>
    <t>Božo Delić</t>
  </si>
  <si>
    <t>Svetog Vasilija Ostroškog 5</t>
  </si>
  <si>
    <t>komusbil@gmail.com</t>
  </si>
</sst>
</file>

<file path=xl/styles.xml><?xml version="1.0" encoding="utf-8"?>
<styleSheet xmlns="http://schemas.openxmlformats.org/spreadsheetml/2006/main">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8">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Tahoma"/>
      <family val="2"/>
      <charset val="204"/>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1" fillId="6" borderId="54" applyNumberFormat="0" applyAlignment="0" applyProtection="0"/>
    <xf numFmtId="0" fontId="12" fillId="7" borderId="0" applyNumberFormat="0" applyBorder="0" applyAlignment="0" applyProtection="0"/>
    <xf numFmtId="169" fontId="6" fillId="0" borderId="0" applyFill="0" applyBorder="0">
      <alignment horizontal="center" vertical="center" wrapText="1"/>
      <protection hidden="1"/>
    </xf>
    <xf numFmtId="0" fontId="13" fillId="0" borderId="0" applyNumberFormat="0" applyFill="0" applyBorder="0" applyAlignment="0" applyProtection="0"/>
    <xf numFmtId="0" fontId="14" fillId="8" borderId="2">
      <alignment horizontal="center" vertical="center"/>
      <protection locked="0"/>
    </xf>
    <xf numFmtId="170" fontId="7" fillId="8" borderId="3">
      <alignment horizontal="left" indent="1"/>
      <protection locked="0"/>
    </xf>
    <xf numFmtId="0" fontId="14"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4" fillId="13" borderId="54" applyNumberFormat="0" applyAlignment="0" applyProtection="0"/>
    <xf numFmtId="164" fontId="6"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5" fillId="3" borderId="6" xfId="0" applyFont="1" applyFill="1" applyBorder="1" applyAlignment="1" applyProtection="1">
      <alignment horizontal="center" vertical="center"/>
      <protection hidden="1"/>
    </xf>
    <xf numFmtId="0" fontId="15" fillId="3" borderId="6" xfId="0" applyFont="1" applyFill="1" applyBorder="1" applyAlignment="1" applyProtection="1">
      <alignment horizontal="center" vertical="center" wrapText="1"/>
      <protection hidden="1"/>
    </xf>
    <xf numFmtId="0" fontId="15" fillId="3" borderId="7" xfId="0" applyFont="1" applyFill="1" applyBorder="1" applyAlignment="1" applyProtection="1">
      <alignment horizontal="center"/>
      <protection hidden="1"/>
    </xf>
    <xf numFmtId="0" fontId="15" fillId="3" borderId="6" xfId="0" applyFont="1" applyFill="1" applyBorder="1" applyAlignment="1" applyProtection="1">
      <alignment horizontal="center"/>
      <protection hidden="1"/>
    </xf>
    <xf numFmtId="0" fontId="15"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2"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5" fillId="3" borderId="55" xfId="0" applyFont="1" applyFill="1" applyBorder="1" applyAlignment="1" applyProtection="1">
      <alignment horizontal="center" vertical="center" wrapText="1"/>
      <protection hidden="1"/>
    </xf>
    <xf numFmtId="0" fontId="15"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1"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5" fillId="3" borderId="62" xfId="0" applyFont="1" applyFill="1" applyBorder="1" applyAlignment="1" applyProtection="1">
      <alignment horizontal="center"/>
      <protection hidden="1"/>
    </xf>
    <xf numFmtId="0" fontId="15"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5" fillId="3" borderId="63" xfId="0" quotePrefix="1" applyFont="1" applyFill="1" applyBorder="1" applyAlignment="1" applyProtection="1">
      <alignment horizontal="center"/>
      <protection hidden="1"/>
    </xf>
    <xf numFmtId="0" fontId="15"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4"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3" fillId="0" borderId="0" xfId="5" applyAlignment="1" applyProtection="1">
      <alignment horizontal="left"/>
      <protection hidden="1"/>
    </xf>
    <xf numFmtId="0" fontId="13" fillId="0" borderId="0" xfId="5" applyProtection="1">
      <protection hidden="1"/>
    </xf>
    <xf numFmtId="0" fontId="4" fillId="10" borderId="19" xfId="0" applyFont="1" applyFill="1" applyBorder="1" applyAlignment="1" applyProtection="1">
      <alignment horizontal="right" vertical="center" indent="1"/>
      <protection hidden="1"/>
    </xf>
    <xf numFmtId="0" fontId="14"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4" fillId="8" borderId="21" xfId="8" applyBorder="1" applyProtection="1">
      <alignment horizontal="left" vertical="center"/>
      <protection hidden="1"/>
    </xf>
    <xf numFmtId="0" fontId="14"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9" fillId="0" borderId="0" xfId="0" applyFont="1" applyBorder="1" applyAlignment="1" applyProtection="1">
      <alignment horizontal="left" vertical="center" wrapText="1" indent="1"/>
      <protection hidden="1"/>
    </xf>
    <xf numFmtId="0" fontId="9" fillId="0" borderId="0" xfId="0" applyFont="1" applyBorder="1" applyAlignment="1" applyProtection="1">
      <alignment horizontal="left" indent="1"/>
      <protection hidden="1"/>
    </xf>
    <xf numFmtId="0" fontId="9"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4" fillId="8" borderId="21" xfId="6" applyBorder="1">
      <alignment horizontal="center" vertical="center"/>
      <protection locked="0"/>
    </xf>
    <xf numFmtId="0" fontId="14" fillId="8" borderId="5" xfId="6" applyBorder="1">
      <alignment horizontal="center" vertical="center"/>
      <protection locked="0"/>
    </xf>
    <xf numFmtId="0" fontId="7" fillId="0" borderId="0" xfId="0" applyFont="1" applyFill="1" applyProtection="1">
      <protection hidden="1"/>
    </xf>
    <xf numFmtId="0" fontId="17" fillId="0" borderId="0" xfId="0" applyFont="1" applyFill="1" applyProtection="1">
      <protection hidden="1"/>
    </xf>
    <xf numFmtId="0" fontId="18" fillId="0" borderId="0" xfId="0" applyFont="1" applyFill="1" applyAlignment="1" applyProtection="1">
      <alignment horizontal="center" vertical="center"/>
      <protection hidden="1"/>
    </xf>
    <xf numFmtId="0" fontId="19"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4"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0" fillId="0" borderId="30" xfId="0" applyFont="1" applyFill="1" applyBorder="1" applyProtection="1">
      <protection hidden="1"/>
    </xf>
    <xf numFmtId="0" fontId="20"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4"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7"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5"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7"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4" fillId="0" borderId="0" xfId="0" applyFont="1" applyProtection="1">
      <protection hidden="1"/>
    </xf>
    <xf numFmtId="165" fontId="34" fillId="0" borderId="0" xfId="0" applyNumberFormat="1" applyFont="1" applyProtection="1">
      <protection hidden="1"/>
    </xf>
    <xf numFmtId="0" fontId="34"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7"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7"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7"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7" fillId="0" borderId="2" xfId="0" applyFont="1" applyBorder="1" applyAlignment="1">
      <alignment horizontal="left" vertical="center" wrapText="1"/>
    </xf>
    <xf numFmtId="0" fontId="27" fillId="0" borderId="2" xfId="0" applyFont="1" applyBorder="1" applyAlignment="1">
      <alignment horizontal="left" wrapText="1"/>
    </xf>
    <xf numFmtId="0" fontId="32" fillId="6" borderId="54" xfId="2" applyFont="1" applyAlignment="1">
      <alignment horizontal="left"/>
    </xf>
    <xf numFmtId="0" fontId="33"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1" fillId="6" borderId="54" xfId="2" applyAlignment="1">
      <alignment horizontal="left"/>
    </xf>
    <xf numFmtId="0" fontId="11"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1" fillId="6" borderId="54" xfId="2" applyAlignment="1">
      <alignment horizontal="left" vertical="center" wrapText="1"/>
    </xf>
    <xf numFmtId="0" fontId="32"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5"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29"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8" fillId="19" borderId="2" xfId="0" applyFont="1" applyFill="1" applyBorder="1" applyAlignment="1" applyProtection="1">
      <alignment horizontal="left" vertical="center" wrapText="1"/>
      <protection hidden="1"/>
    </xf>
    <xf numFmtId="0" fontId="35" fillId="19" borderId="0" xfId="0" applyFont="1" applyFill="1" applyAlignment="1">
      <alignment horizontal="left"/>
    </xf>
    <xf numFmtId="0" fontId="29"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6" fillId="19" borderId="0" xfId="0" applyFont="1" applyFill="1" applyAlignment="1">
      <alignment horizontal="left"/>
    </xf>
    <xf numFmtId="0" fontId="28"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7" fillId="21"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37" fillId="0" borderId="57" xfId="4" applyFont="1" applyFill="1" applyBorder="1">
      <alignment horizontal="center" vertical="center" wrapText="1"/>
      <protection hidden="1"/>
    </xf>
    <xf numFmtId="169" fontId="39"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7"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8"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6" fillId="7" borderId="0" xfId="3" applyFont="1" applyBorder="1" applyAlignment="1">
      <alignment horizontal="center" vertical="center" wrapText="1"/>
    </xf>
    <xf numFmtId="0" fontId="0" fillId="0" borderId="0" xfId="0" applyBorder="1" applyAlignment="1">
      <alignment horizontal="left" vertical="center" wrapText="1"/>
    </xf>
    <xf numFmtId="0" fontId="30" fillId="0" borderId="0" xfId="0" applyFont="1" applyFill="1" applyBorder="1" applyAlignment="1" applyProtection="1">
      <alignment vertical="center" wrapText="1"/>
      <protection hidden="1"/>
    </xf>
    <xf numFmtId="0" fontId="25"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7"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7" fillId="19" borderId="0" xfId="0" applyFont="1" applyFill="1" applyBorder="1" applyAlignment="1">
      <alignment horizontal="left" vertical="center" wrapText="1"/>
    </xf>
    <xf numFmtId="0" fontId="27" fillId="19" borderId="0" xfId="0" applyFont="1" applyFill="1" applyBorder="1" applyAlignment="1">
      <alignment horizontal="left" wrapText="1"/>
    </xf>
    <xf numFmtId="0" fontId="27" fillId="19" borderId="0" xfId="0" applyFont="1" applyFill="1" applyBorder="1" applyAlignment="1">
      <alignment horizontal="left" vertical="top" wrapText="1"/>
    </xf>
    <xf numFmtId="0" fontId="37" fillId="0" borderId="0" xfId="0" applyFont="1" applyBorder="1" applyAlignment="1" applyProtection="1">
      <alignment vertical="center" wrapText="1"/>
      <protection hidden="1"/>
    </xf>
    <xf numFmtId="0" fontId="37" fillId="21" borderId="0" xfId="0" applyFont="1" applyFill="1" applyBorder="1" applyAlignment="1" applyProtection="1">
      <alignment vertical="center" wrapText="1"/>
      <protection hidden="1"/>
    </xf>
    <xf numFmtId="0" fontId="38"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37"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5" fillId="3" borderId="94" xfId="0" applyFont="1" applyFill="1" applyBorder="1" applyAlignment="1" applyProtection="1">
      <protection hidden="1"/>
    </xf>
    <xf numFmtId="0" fontId="15"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5" fillId="3" borderId="128" xfId="0" applyFont="1" applyFill="1" applyBorder="1" applyAlignment="1" applyProtection="1">
      <alignment horizontal="center"/>
      <protection hidden="1"/>
    </xf>
    <xf numFmtId="0" fontId="15"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2" fillId="0" borderId="0" xfId="0" applyFont="1" applyFill="1" applyProtection="1">
      <protection hidden="1"/>
    </xf>
    <xf numFmtId="0" fontId="41"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3" fillId="0" borderId="0" xfId="0" applyFont="1" applyAlignment="1" applyProtection="1">
      <alignment horizontal="right"/>
      <protection hidden="1"/>
    </xf>
    <xf numFmtId="0" fontId="23" fillId="0" borderId="0" xfId="0" applyFont="1" applyProtection="1">
      <protection hidden="1"/>
    </xf>
    <xf numFmtId="0" fontId="23" fillId="0" borderId="0" xfId="0" applyFont="1" applyAlignment="1" applyProtection="1">
      <alignment horizontal="center" vertical="center"/>
      <protection hidden="1"/>
    </xf>
    <xf numFmtId="0" fontId="23" fillId="0" borderId="0" xfId="0" applyFont="1" applyAlignment="1">
      <alignment wrapText="1"/>
    </xf>
    <xf numFmtId="169" fontId="23"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3" fillId="0" borderId="57" xfId="4" applyFont="1" applyFill="1" applyBorder="1">
      <alignment horizontal="center" vertical="center" wrapText="1"/>
      <protection hidden="1"/>
    </xf>
    <xf numFmtId="0" fontId="31" fillId="3" borderId="62" xfId="0" applyFont="1" applyFill="1" applyBorder="1" applyAlignment="1" applyProtection="1">
      <alignment horizontal="center"/>
      <protection hidden="1"/>
    </xf>
    <xf numFmtId="169" fontId="23" fillId="4" borderId="60" xfId="4" applyFont="1" applyFill="1" applyBorder="1">
      <alignment horizontal="center" vertical="center" wrapText="1"/>
      <protection hidden="1"/>
    </xf>
    <xf numFmtId="0" fontId="23"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5" fillId="3" borderId="135" xfId="0" applyFont="1" applyFill="1" applyBorder="1" applyAlignment="1" applyProtection="1">
      <alignment horizontal="center"/>
      <protection hidden="1"/>
    </xf>
    <xf numFmtId="0" fontId="15"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5"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5"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3"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5"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7"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39"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7"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39"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4" fillId="8" borderId="2" xfId="6" applyProtection="1">
      <alignment horizontal="center" vertical="center"/>
    </xf>
    <xf numFmtId="0" fontId="14" fillId="8" borderId="21" xfId="6" applyBorder="1" applyProtection="1">
      <alignment horizontal="center" vertical="center"/>
    </xf>
    <xf numFmtId="0" fontId="14" fillId="8" borderId="5" xfId="6" applyBorder="1" applyProtection="1">
      <alignment horizontal="center" vertical="center"/>
    </xf>
    <xf numFmtId="0" fontId="18" fillId="0" borderId="0" xfId="0" applyFont="1" applyFill="1" applyAlignment="1" applyProtection="1">
      <alignment horizontal="center" vertical="center"/>
      <protection hidden="1"/>
    </xf>
    <xf numFmtId="0" fontId="21" fillId="0" borderId="4" xfId="6" applyFont="1" applyFill="1" applyBorder="1" applyAlignment="1" applyProtection="1">
      <alignment horizontal="right" vertical="center" indent="1"/>
      <protection hidden="1"/>
    </xf>
    <xf numFmtId="0" fontId="21" fillId="8" borderId="21" xfId="6" applyFont="1" applyBorder="1" applyAlignment="1">
      <alignment horizontal="right" vertical="center" indent="1"/>
      <protection locked="0"/>
    </xf>
    <xf numFmtId="0" fontId="21" fillId="8" borderId="22" xfId="6" applyFont="1" applyBorder="1" applyAlignment="1">
      <alignment horizontal="right" vertical="center" indent="1"/>
      <protection locked="0"/>
    </xf>
    <xf numFmtId="0" fontId="21" fillId="8" borderId="34" xfId="6" applyFont="1" applyBorder="1" applyProtection="1">
      <alignment horizontal="center" vertical="center"/>
    </xf>
    <xf numFmtId="0" fontId="21" fillId="8" borderId="35" xfId="6" applyFont="1" applyBorder="1" applyProtection="1">
      <alignment horizontal="center" vertical="center"/>
    </xf>
    <xf numFmtId="0" fontId="21" fillId="8" borderId="36" xfId="6" applyFont="1" applyBorder="1" applyProtection="1">
      <alignment horizontal="center" vertical="center"/>
    </xf>
    <xf numFmtId="0" fontId="21" fillId="8" borderId="37" xfId="6" applyFont="1" applyBorder="1" applyProtection="1">
      <alignment horizontal="center" vertical="center"/>
    </xf>
    <xf numFmtId="0" fontId="21" fillId="8" borderId="0" xfId="6" applyFont="1" applyBorder="1" applyProtection="1">
      <alignment horizontal="center" vertical="center"/>
    </xf>
    <xf numFmtId="0" fontId="21" fillId="8" borderId="38" xfId="6" applyFont="1" applyBorder="1" applyProtection="1">
      <alignment horizontal="center" vertical="center"/>
    </xf>
    <xf numFmtId="0" fontId="21" fillId="8" borderId="39" xfId="6" applyFont="1" applyBorder="1" applyProtection="1">
      <alignment horizontal="center" vertical="center"/>
    </xf>
    <xf numFmtId="0" fontId="21" fillId="8" borderId="40" xfId="6" applyFont="1" applyBorder="1" applyProtection="1">
      <alignment horizontal="center" vertical="center"/>
    </xf>
    <xf numFmtId="0" fontId="21"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2" fillId="8" borderId="4" xfId="8" applyFont="1" applyProtection="1">
      <alignment horizontal="left" vertical="center"/>
    </xf>
    <xf numFmtId="0" fontId="14" fillId="8" borderId="21" xfId="6" applyBorder="1" applyAlignment="1">
      <alignment horizontal="right" vertical="center" indent="1"/>
      <protection locked="0"/>
    </xf>
    <xf numFmtId="0" fontId="14" fillId="8" borderId="26" xfId="6" applyBorder="1" applyAlignment="1">
      <alignment horizontal="right" vertical="center" indent="1"/>
      <protection locked="0"/>
    </xf>
    <xf numFmtId="0" fontId="14" fillId="8" borderId="22" xfId="6" applyBorder="1" applyAlignment="1">
      <alignment horizontal="right" vertical="center" indent="1"/>
      <protection locked="0"/>
    </xf>
    <xf numFmtId="0" fontId="1" fillId="8" borderId="4" xfId="8" applyFont="1">
      <alignment horizontal="left" vertical="center"/>
      <protection locked="0"/>
    </xf>
    <xf numFmtId="0" fontId="14" fillId="8" borderId="4" xfId="8">
      <alignment horizontal="left" vertical="center"/>
      <protection locked="0"/>
    </xf>
    <xf numFmtId="0" fontId="1" fillId="8" borderId="4" xfId="8" applyFont="1" applyProtection="1">
      <alignment horizontal="left" vertical="center"/>
    </xf>
    <xf numFmtId="0" fontId="14"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5" fillId="3" borderId="43" xfId="0" applyFont="1" applyFill="1" applyBorder="1" applyAlignment="1" applyProtection="1">
      <alignment horizontal="center" vertical="center" wrapText="1"/>
      <protection hidden="1"/>
    </xf>
    <xf numFmtId="0" fontId="15" fillId="3" borderId="25" xfId="0" applyFont="1" applyFill="1" applyBorder="1" applyAlignment="1" applyProtection="1">
      <alignment horizontal="center" vertical="center" wrapText="1"/>
      <protection hidden="1"/>
    </xf>
    <xf numFmtId="0" fontId="31" fillId="3" borderId="50" xfId="0" applyFont="1" applyFill="1" applyBorder="1" applyAlignment="1" applyProtection="1">
      <alignment horizontal="center" vertical="center" wrapText="1"/>
      <protection hidden="1"/>
    </xf>
    <xf numFmtId="0" fontId="31" fillId="3" borderId="49" xfId="0" applyFont="1" applyFill="1" applyBorder="1" applyAlignment="1" applyProtection="1">
      <alignment horizontal="center" vertical="center" wrapText="1"/>
      <protection hidden="1"/>
    </xf>
    <xf numFmtId="0" fontId="15" fillId="3" borderId="94" xfId="0" applyFont="1" applyFill="1" applyBorder="1" applyAlignment="1" applyProtection="1">
      <alignment horizontal="center"/>
      <protection hidden="1"/>
    </xf>
    <xf numFmtId="0" fontId="15" fillId="3" borderId="95"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0" fontId="40" fillId="0" borderId="12" xfId="0" applyFont="1" applyBorder="1" applyAlignment="1" applyProtection="1">
      <alignment horizontal="left" vertical="center" wrapText="1"/>
      <protection hidden="1"/>
    </xf>
    <xf numFmtId="0" fontId="40" fillId="0" borderId="42" xfId="0" applyFont="1" applyBorder="1" applyAlignment="1" applyProtection="1">
      <alignment horizontal="left" vertical="center" wrapText="1"/>
      <protection hidden="1"/>
    </xf>
    <xf numFmtId="0" fontId="40"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5" fillId="3" borderId="51" xfId="0" applyFont="1" applyFill="1" applyBorder="1" applyAlignment="1" applyProtection="1">
      <alignment horizontal="center" vertical="center" wrapText="1"/>
      <protection hidden="1"/>
    </xf>
    <xf numFmtId="0" fontId="15" fillId="3" borderId="52" xfId="0" applyFont="1" applyFill="1" applyBorder="1" applyAlignment="1" applyProtection="1">
      <alignment horizontal="center" vertical="center" wrapText="1"/>
      <protection hidden="1"/>
    </xf>
    <xf numFmtId="0" fontId="15" fillId="3" borderId="45" xfId="0" applyFont="1" applyFill="1" applyBorder="1" applyAlignment="1" applyProtection="1">
      <alignment horizontal="center" vertical="center"/>
      <protection hidden="1"/>
    </xf>
    <xf numFmtId="0" fontId="15" fillId="3" borderId="24" xfId="0" applyFont="1" applyFill="1" applyBorder="1" applyAlignment="1" applyProtection="1">
      <alignment horizontal="center" vertical="center"/>
      <protection hidden="1"/>
    </xf>
    <xf numFmtId="0" fontId="15" fillId="3" borderId="46" xfId="0" applyFont="1" applyFill="1" applyBorder="1" applyAlignment="1" applyProtection="1">
      <alignment horizontal="center" vertical="center"/>
      <protection hidden="1"/>
    </xf>
    <xf numFmtId="0" fontId="15" fillId="3" borderId="47" xfId="0" applyFont="1" applyFill="1" applyBorder="1" applyAlignment="1" applyProtection="1">
      <alignment horizontal="center" vertical="center"/>
      <protection hidden="1"/>
    </xf>
    <xf numFmtId="0" fontId="15" fillId="3" borderId="53" xfId="0" applyFont="1" applyFill="1" applyBorder="1" applyAlignment="1" applyProtection="1">
      <alignment horizontal="center" vertical="center"/>
      <protection hidden="1"/>
    </xf>
    <xf numFmtId="0" fontId="15" fillId="3" borderId="48" xfId="0" applyFont="1" applyFill="1" applyBorder="1" applyAlignment="1" applyProtection="1">
      <alignment horizontal="center" vertical="center"/>
      <protection hidden="1"/>
    </xf>
    <xf numFmtId="0" fontId="15" fillId="3" borderId="45" xfId="0" applyFont="1" applyFill="1" applyBorder="1" applyAlignment="1" applyProtection="1">
      <alignment horizontal="center" vertical="center" wrapText="1"/>
      <protection hidden="1"/>
    </xf>
    <xf numFmtId="0" fontId="15" fillId="3" borderId="46" xfId="0" applyFont="1" applyFill="1" applyBorder="1" applyAlignment="1" applyProtection="1">
      <alignment horizontal="center" vertical="center" wrapText="1"/>
      <protection hidden="1"/>
    </xf>
    <xf numFmtId="0" fontId="15" fillId="3" borderId="96" xfId="0" applyFont="1" applyFill="1" applyBorder="1" applyAlignment="1" applyProtection="1">
      <alignment horizontal="center" vertical="center" wrapText="1"/>
      <protection hidden="1"/>
    </xf>
    <xf numFmtId="0" fontId="15" fillId="3" borderId="98"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wrapText="1"/>
      <protection hidden="1"/>
    </xf>
    <xf numFmtId="0" fontId="15" fillId="3" borderId="49" xfId="0" applyFont="1" applyFill="1" applyBorder="1" applyAlignment="1" applyProtection="1">
      <alignment horizontal="center" vertical="center" wrapText="1"/>
      <protection hidden="1"/>
    </xf>
    <xf numFmtId="0" fontId="15"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5" fillId="12" borderId="45" xfId="0" applyFont="1" applyFill="1" applyBorder="1" applyAlignment="1" applyProtection="1">
      <alignment horizontal="center" vertical="center"/>
      <protection hidden="1"/>
    </xf>
    <xf numFmtId="0" fontId="15" fillId="12" borderId="24" xfId="0" applyFont="1" applyFill="1" applyBorder="1" applyAlignment="1" applyProtection="1">
      <alignment horizontal="center" vertical="center"/>
      <protection hidden="1"/>
    </xf>
    <xf numFmtId="0" fontId="15" fillId="12" borderId="46" xfId="0" applyFont="1" applyFill="1" applyBorder="1" applyAlignment="1" applyProtection="1">
      <alignment horizontal="center" vertical="center"/>
      <protection hidden="1"/>
    </xf>
    <xf numFmtId="0" fontId="15" fillId="12" borderId="47" xfId="0" applyFont="1" applyFill="1" applyBorder="1" applyAlignment="1" applyProtection="1">
      <alignment horizontal="center" vertical="center"/>
      <protection hidden="1"/>
    </xf>
    <xf numFmtId="0" fontId="15" fillId="12" borderId="53" xfId="0" applyFont="1" applyFill="1" applyBorder="1" applyAlignment="1" applyProtection="1">
      <alignment horizontal="center" vertical="center"/>
      <protection hidden="1"/>
    </xf>
    <xf numFmtId="0" fontId="15"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5" fillId="3" borderId="18"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0" fillId="4" borderId="12" xfId="0" applyFont="1" applyFill="1" applyBorder="1" applyAlignment="1" applyProtection="1">
      <alignment horizontal="left" vertical="center" wrapText="1"/>
      <protection hidden="1"/>
    </xf>
    <xf numFmtId="0" fontId="40" fillId="4" borderId="42" xfId="0" applyFont="1" applyFill="1" applyBorder="1" applyAlignment="1" applyProtection="1">
      <alignment horizontal="left" vertical="center" wrapText="1"/>
      <protection hidden="1"/>
    </xf>
    <xf numFmtId="0" fontId="40" fillId="4" borderId="13" xfId="0" applyFont="1" applyFill="1" applyBorder="1" applyAlignment="1" applyProtection="1">
      <alignment horizontal="left" vertical="center" wrapText="1"/>
      <protection hidden="1"/>
    </xf>
    <xf numFmtId="0" fontId="23" fillId="0" borderId="12" xfId="0" applyFont="1" applyBorder="1" applyAlignment="1" applyProtection="1">
      <alignment horizontal="left" vertical="center" wrapText="1"/>
      <protection hidden="1"/>
    </xf>
    <xf numFmtId="0" fontId="23" fillId="0" borderId="42" xfId="0" applyFont="1" applyBorder="1" applyAlignment="1" applyProtection="1">
      <alignment horizontal="left" vertical="center" wrapText="1"/>
      <protection hidden="1"/>
    </xf>
    <xf numFmtId="0" fontId="23" fillId="0" borderId="13" xfId="0" applyFont="1" applyBorder="1" applyAlignment="1" applyProtection="1">
      <alignment horizontal="left" vertical="center" wrapText="1"/>
      <protection hidden="1"/>
    </xf>
    <xf numFmtId="0" fontId="23" fillId="4" borderId="12" xfId="0" applyFont="1" applyFill="1" applyBorder="1" applyAlignment="1" applyProtection="1">
      <alignment horizontal="left" vertical="center" wrapText="1"/>
      <protection hidden="1"/>
    </xf>
    <xf numFmtId="0" fontId="23" fillId="4" borderId="42" xfId="0" applyFont="1" applyFill="1" applyBorder="1" applyAlignment="1" applyProtection="1">
      <alignment horizontal="left" vertical="center" wrapText="1"/>
      <protection hidden="1"/>
    </xf>
    <xf numFmtId="0" fontId="23"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15" fillId="3" borderId="101" xfId="0" applyFont="1" applyFill="1" applyBorder="1" applyAlignment="1" applyProtection="1">
      <alignment horizontal="center" vertical="center" wrapText="1"/>
      <protection hidden="1"/>
    </xf>
    <xf numFmtId="0" fontId="15" fillId="3" borderId="102" xfId="0" applyFont="1" applyFill="1" applyBorder="1" applyAlignment="1" applyProtection="1">
      <alignment horizontal="center" vertical="center" wrapText="1"/>
      <protection hidden="1"/>
    </xf>
    <xf numFmtId="0" fontId="15" fillId="3" borderId="113" xfId="0" applyFont="1" applyFill="1" applyBorder="1" applyAlignment="1" applyProtection="1">
      <alignment horizontal="center" vertical="center"/>
      <protection hidden="1"/>
    </xf>
    <xf numFmtId="0" fontId="15" fillId="3" borderId="114" xfId="0" applyFont="1" applyFill="1" applyBorder="1" applyAlignment="1" applyProtection="1">
      <alignment horizontal="center" vertical="center"/>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3" fillId="4" borderId="88" xfId="0" applyFont="1" applyFill="1" applyBorder="1" applyAlignment="1" applyProtection="1">
      <alignment horizontal="left" vertical="center" wrapText="1"/>
      <protection hidden="1"/>
    </xf>
    <xf numFmtId="0" fontId="23" fillId="4" borderId="89" xfId="0" applyFont="1" applyFill="1" applyBorder="1" applyAlignment="1" applyProtection="1">
      <alignment horizontal="left" vertical="center" wrapText="1"/>
      <protection hidden="1"/>
    </xf>
    <xf numFmtId="0" fontId="23" fillId="4" borderId="90" xfId="0" applyFont="1" applyFill="1" applyBorder="1" applyAlignment="1" applyProtection="1">
      <alignment horizontal="left" vertical="center" wrapText="1"/>
      <protection hidden="1"/>
    </xf>
    <xf numFmtId="0" fontId="23" fillId="4" borderId="80" xfId="0" applyFont="1" applyFill="1" applyBorder="1" applyAlignment="1" applyProtection="1">
      <alignment horizontal="left" vertical="center" wrapText="1"/>
      <protection hidden="1"/>
    </xf>
    <xf numFmtId="0" fontId="23" fillId="4" borderId="81" xfId="0" applyFont="1" applyFill="1" applyBorder="1" applyAlignment="1" applyProtection="1">
      <alignment horizontal="left" vertical="center" wrapText="1"/>
      <protection hidden="1"/>
    </xf>
    <xf numFmtId="0" fontId="23" fillId="4" borderId="82" xfId="0" applyFont="1" applyFill="1" applyBorder="1" applyAlignment="1" applyProtection="1">
      <alignment horizontal="left" vertical="center" wrapText="1"/>
      <protection hidden="1"/>
    </xf>
    <xf numFmtId="0" fontId="23" fillId="0" borderId="80" xfId="0" applyFont="1" applyBorder="1" applyAlignment="1" applyProtection="1">
      <alignment horizontal="left" vertical="center" wrapText="1"/>
      <protection hidden="1"/>
    </xf>
    <xf numFmtId="0" fontId="23" fillId="0" borderId="81" xfId="0" applyFont="1" applyBorder="1" applyAlignment="1" applyProtection="1">
      <alignment horizontal="left" vertical="center" wrapText="1"/>
      <protection hidden="1"/>
    </xf>
    <xf numFmtId="0" fontId="23" fillId="0" borderId="82" xfId="0" applyFont="1" applyBorder="1" applyAlignment="1" applyProtection="1">
      <alignment horizontal="left" vertical="center" wrapText="1"/>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1" fillId="3" borderId="111" xfId="0" applyFont="1" applyFill="1" applyBorder="1" applyAlignment="1" applyProtection="1">
      <alignment horizontal="center" vertical="center" wrapText="1"/>
      <protection hidden="1"/>
    </xf>
    <xf numFmtId="0" fontId="31" fillId="3" borderId="112" xfId="0" applyFont="1" applyFill="1" applyBorder="1" applyAlignment="1" applyProtection="1">
      <alignment horizontal="center" vertical="center" wrapText="1"/>
      <protection hidden="1"/>
    </xf>
    <xf numFmtId="0" fontId="31" fillId="3" borderId="106" xfId="0" applyFont="1" applyFill="1" applyBorder="1" applyAlignment="1" applyProtection="1">
      <alignment horizontal="center" vertical="center"/>
      <protection hidden="1"/>
    </xf>
    <xf numFmtId="0" fontId="31" fillId="3" borderId="24" xfId="0" applyFont="1" applyFill="1" applyBorder="1" applyAlignment="1" applyProtection="1">
      <alignment horizontal="center" vertical="center"/>
      <protection hidden="1"/>
    </xf>
    <xf numFmtId="0" fontId="31" fillId="3" borderId="107" xfId="0" applyFont="1" applyFill="1" applyBorder="1" applyAlignment="1" applyProtection="1">
      <alignment horizontal="center" vertical="center"/>
      <protection hidden="1"/>
    </xf>
    <xf numFmtId="0" fontId="31" fillId="3" borderId="108" xfId="0" applyFont="1" applyFill="1" applyBorder="1" applyAlignment="1" applyProtection="1">
      <alignment horizontal="center" vertical="center"/>
      <protection hidden="1"/>
    </xf>
    <xf numFmtId="0" fontId="31" fillId="3" borderId="109" xfId="0" applyFont="1" applyFill="1" applyBorder="1" applyAlignment="1" applyProtection="1">
      <alignment horizontal="center" vertical="center"/>
      <protection hidden="1"/>
    </xf>
    <xf numFmtId="0" fontId="31" fillId="3" borderId="110" xfId="0" applyFont="1" applyFill="1" applyBorder="1" applyAlignment="1" applyProtection="1">
      <alignment horizontal="center" vertical="center"/>
      <protection hidden="1"/>
    </xf>
    <xf numFmtId="0" fontId="31" fillId="3" borderId="103" xfId="0" applyFont="1" applyFill="1" applyBorder="1" applyAlignment="1" applyProtection="1">
      <alignment horizontal="center"/>
      <protection hidden="1"/>
    </xf>
    <xf numFmtId="0" fontId="31" fillId="3" borderId="104" xfId="0" applyFont="1" applyFill="1" applyBorder="1" applyAlignment="1" applyProtection="1">
      <alignment horizontal="center"/>
      <protection hidden="1"/>
    </xf>
    <xf numFmtId="0" fontId="31"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3"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5" fillId="3" borderId="83" xfId="0" applyFont="1" applyFill="1" applyBorder="1" applyAlignment="1" applyProtection="1">
      <alignment horizontal="center" vertical="center" wrapText="1"/>
      <protection hidden="1"/>
    </xf>
    <xf numFmtId="0" fontId="15" fillId="3" borderId="84" xfId="0" applyFont="1" applyFill="1" applyBorder="1" applyAlignment="1" applyProtection="1">
      <alignment horizontal="center" vertical="center" wrapText="1"/>
      <protection hidden="1"/>
    </xf>
    <xf numFmtId="0" fontId="15" fillId="3" borderId="78" xfId="0" applyFont="1" applyFill="1" applyBorder="1" applyAlignment="1" applyProtection="1">
      <alignment horizontal="center" vertical="center"/>
      <protection hidden="1"/>
    </xf>
    <xf numFmtId="0" fontId="15" fillId="3" borderId="55" xfId="0" applyFont="1" applyFill="1" applyBorder="1" applyAlignment="1" applyProtection="1">
      <alignment horizontal="center" vertical="center"/>
      <protection hidden="1"/>
    </xf>
    <xf numFmtId="0" fontId="15"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0" fillId="0" borderId="0" xfId="0" applyFont="1" applyFill="1" applyBorder="1" applyAlignment="1" applyProtection="1">
      <alignment horizontal="center" vertical="center"/>
      <protection hidden="1"/>
    </xf>
    <xf numFmtId="0" fontId="15" fillId="3" borderId="78" xfId="0" applyFont="1" applyFill="1" applyBorder="1" applyAlignment="1" applyProtection="1">
      <alignment horizontal="center" vertical="center" wrapText="1"/>
      <protection hidden="1"/>
    </xf>
    <xf numFmtId="0" fontId="15" fillId="3" borderId="55" xfId="0" applyFont="1" applyFill="1" applyBorder="1" applyAlignment="1" applyProtection="1">
      <alignment horizontal="center" vertical="center" wrapText="1"/>
      <protection hidden="1"/>
    </xf>
    <xf numFmtId="0" fontId="15"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5"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5" fillId="3" borderId="152" xfId="0" applyFont="1" applyFill="1" applyBorder="1" applyAlignment="1" applyProtection="1">
      <alignment horizontal="center" vertical="center" wrapText="1"/>
      <protection hidden="1"/>
    </xf>
    <xf numFmtId="0" fontId="15" fillId="3" borderId="1" xfId="0" applyFont="1" applyFill="1" applyBorder="1" applyAlignment="1" applyProtection="1">
      <alignment horizontal="center" vertical="center" wrapText="1"/>
      <protection hidden="1"/>
    </xf>
    <xf numFmtId="0" fontId="15" fillId="3" borderId="153" xfId="0" applyFont="1" applyFill="1" applyBorder="1" applyAlignment="1" applyProtection="1">
      <alignment horizontal="center" vertical="center" wrapText="1"/>
      <protection hidden="1"/>
    </xf>
    <xf numFmtId="0" fontId="15" fillId="3" borderId="154" xfId="0" applyFont="1" applyFill="1" applyBorder="1" applyAlignment="1" applyProtection="1">
      <alignment horizontal="center" vertical="center" wrapText="1"/>
      <protection hidden="1"/>
    </xf>
    <xf numFmtId="0" fontId="15" fillId="3" borderId="145" xfId="0" applyFont="1" applyFill="1" applyBorder="1" applyAlignment="1" applyProtection="1">
      <alignment horizontal="center" vertical="center" wrapText="1"/>
      <protection hidden="1"/>
    </xf>
    <xf numFmtId="0" fontId="15" fillId="3" borderId="146" xfId="0" applyFont="1" applyFill="1" applyBorder="1" applyAlignment="1" applyProtection="1">
      <alignment horizontal="center" vertical="center" wrapText="1"/>
      <protection hidden="1"/>
    </xf>
    <xf numFmtId="0" fontId="15" fillId="3" borderId="147" xfId="0" applyFont="1" applyFill="1" applyBorder="1" applyAlignment="1" applyProtection="1">
      <alignment horizontal="center" vertical="center" wrapText="1"/>
      <protection hidden="1"/>
    </xf>
    <xf numFmtId="0" fontId="15" fillId="3" borderId="144" xfId="0" applyFont="1" applyFill="1" applyBorder="1" applyAlignment="1" applyProtection="1">
      <alignment horizontal="center" vertical="center" wrapText="1"/>
      <protection hidden="1"/>
    </xf>
    <xf numFmtId="0" fontId="15"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5" fillId="3" borderId="156" xfId="0" applyFont="1" applyFill="1" applyBorder="1" applyAlignment="1" applyProtection="1">
      <alignment horizontal="center" wrapText="1"/>
      <protection hidden="1"/>
    </xf>
    <xf numFmtId="0" fontId="15" fillId="3" borderId="44" xfId="0" applyFont="1" applyFill="1" applyBorder="1" applyAlignment="1" applyProtection="1">
      <alignment horizontal="center" wrapText="1"/>
      <protection hidden="1"/>
    </xf>
    <xf numFmtId="0" fontId="15" fillId="3" borderId="27" xfId="0" applyFont="1" applyFill="1" applyBorder="1" applyAlignment="1" applyProtection="1">
      <alignment horizontal="center" wrapText="1"/>
      <protection hidden="1"/>
    </xf>
    <xf numFmtId="0" fontId="15" fillId="3" borderId="148" xfId="0" applyFont="1" applyFill="1" applyBorder="1" applyAlignment="1" applyProtection="1">
      <alignment horizontal="center" vertical="center" wrapText="1"/>
      <protection hidden="1"/>
    </xf>
    <xf numFmtId="0" fontId="15" fillId="3" borderId="149" xfId="0" applyFont="1" applyFill="1" applyBorder="1" applyAlignment="1" applyProtection="1">
      <alignment horizontal="center" vertical="center"/>
      <protection hidden="1"/>
    </xf>
    <xf numFmtId="0" fontId="15" fillId="3" borderId="150" xfId="0" applyFont="1" applyFill="1" applyBorder="1" applyAlignment="1" applyProtection="1">
      <alignment horizontal="center" vertical="center"/>
      <protection hidden="1"/>
    </xf>
    <xf numFmtId="0" fontId="15"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5">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0" formatCode="General"/>
      <alignment horizontal="right" vertical="bottom" textRotation="0" wrapText="0" indent="0" relativeIndent="255"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relativeIndent="255"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relativeIndent="255"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relativeIndent="255"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relativeIndent="255" justifyLastLine="0" shrinkToFit="0" readingOrder="0"/>
    </dxf>
    <dxf>
      <numFmt numFmtId="0" formatCode="General"/>
      <alignment horizontal="center" vertical="center" textRotation="0" wrapText="0" indent="0" relativeIndent="255" justifyLastLine="0" shrinkToFit="0" readingOrder="0"/>
    </dxf>
    <dxf>
      <font>
        <strike val="0"/>
        <outline val="0"/>
        <shadow val="0"/>
        <u val="none"/>
        <vertAlign val="baseline"/>
        <sz val="10"/>
      </font>
      <numFmt numFmtId="30" formatCode="@"/>
      <alignment horizontal="center" vertical="center" textRotation="0" wrapText="1" indent="0" relativeIndent="255" justifyLastLine="0" shrinkToFit="0" readingOrder="0"/>
    </dxf>
    <dxf>
      <font>
        <strike val="0"/>
        <outline val="0"/>
        <shadow val="0"/>
        <u val="none"/>
        <vertAlign val="baseline"/>
        <sz val="10"/>
      </font>
      <numFmt numFmtId="30" formatCode="@"/>
      <alignment horizontal="left" vertical="center" textRotation="0" wrapText="1" indent="0" relativeIndent="255" justifyLastLine="0" shrinkToFit="0" readingOrder="0"/>
    </dxf>
    <dxf>
      <font>
        <strike val="0"/>
        <outline val="0"/>
        <shadow val="0"/>
        <u val="none"/>
        <vertAlign val="baseline"/>
        <sz val="10"/>
      </font>
      <numFmt numFmtId="30" formatCode="@"/>
      <alignment horizontal="left" vertical="center" textRotation="0" wrapText="1" indent="0" relativeIndent="255" justifyLastLine="0" shrinkToFit="0" readingOrder="0"/>
    </dxf>
    <dxf>
      <font>
        <strike val="0"/>
        <outline val="0"/>
        <shadow val="0"/>
        <u val="none"/>
        <vertAlign val="baseline"/>
        <sz val="10"/>
      </font>
      <numFmt numFmtId="30" formatCode="@"/>
      <alignment horizontal="left" vertical="center" textRotation="0" wrapText="1" indent="0" relativeIndent="255" justifyLastLine="0" shrinkToFit="0" readingOrder="0"/>
    </dxf>
    <dxf>
      <font>
        <strike val="0"/>
        <outline val="0"/>
        <shadow val="0"/>
        <u val="none"/>
        <vertAlign val="baseline"/>
        <sz val="10"/>
      </font>
      <alignment horizontal="left" textRotation="0" indent="0" relativeIndent="255" justifyLastLine="0" shrinkToFit="0" readingOrder="0"/>
    </dxf>
    <dxf>
      <font>
        <strike val="0"/>
        <outline val="0"/>
        <shadow val="0"/>
        <u val="none"/>
        <vertAlign val="baseline"/>
        <sz val="10"/>
      </font>
      <alignment horizontal="left" textRotation="0" indent="0" relativeIndent="255" justifyLastLine="0" shrinkToFit="0" readingOrder="0"/>
    </dxf>
    <dxf>
      <font>
        <strike val="0"/>
        <outline val="0"/>
        <shadow val="0"/>
        <u val="none"/>
        <vertAlign val="baseline"/>
        <sz val="10"/>
      </font>
      <alignment horizontal="left" textRotation="0" indent="0" relativeIndent="255" justifyLastLine="0" shrinkToFit="0" readingOrder="0"/>
    </dxf>
    <dxf>
      <font>
        <strike val="0"/>
        <outline val="0"/>
        <shadow val="0"/>
        <u val="none"/>
        <vertAlign val="baseline"/>
        <sz val="10"/>
      </font>
      <alignment horizontal="left" textRotation="0" indent="0" relativeIndent="255" justifyLastLine="0" shrinkToFit="0" readingOrder="0"/>
    </dxf>
    <dxf>
      <numFmt numFmtId="0" formatCode="General"/>
    </dxf>
    <dxf>
      <numFmt numFmtId="0" formatCode="General"/>
      <alignment horizontal="center" vertical="center" textRotation="0" wrapText="0" indent="0" relativeIndent="255" justifyLastLine="0" shrinkToFit="0" readingOrder="0"/>
    </dxf>
    <dxf>
      <numFmt numFmtId="0" formatCode="General"/>
    </dxf>
    <dxf>
      <numFmt numFmtId="0" formatCode="General"/>
    </dxf>
    <dxf>
      <numFmt numFmtId="0" formatCode="General"/>
    </dxf>
    <dxf>
      <alignment horizontal="center" vertical="center" textRotation="0" wrapText="1" indent="0" relativeIndent="255"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relativeIndent="255"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 xmlns:a16="http://schemas.microsoft.com/office/drawing/2014/main" id="{00000000-0008-0000-0000-0000FCE30100}"/>
            </a:ext>
          </a:extLst>
        </xdr:cNvPr>
        <xdr:cNvGrpSpPr>
          <a:grpSpLocks/>
        </xdr:cNvGrpSpPr>
      </xdr:nvGrpSpPr>
      <xdr:grpSpPr bwMode="auto">
        <a:xfrm>
          <a:off x="381000" y="47625"/>
          <a:ext cx="10991850" cy="600075"/>
          <a:chOff x="7343770" y="3810001"/>
          <a:chExt cx="7258050" cy="590550"/>
        </a:xfrm>
      </xdr:grpSpPr>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 xmlns:a16="http://schemas.microsoft.com/office/drawing/2014/main" id="{00000000-0008-0000-0100-00000A000000}"/>
            </a:ext>
          </a:extLst>
        </xdr:cNvPr>
        <xdr:cNvGrpSpPr/>
      </xdr:nvGrpSpPr>
      <xdr:grpSpPr>
        <a:xfrm>
          <a:off x="365167" y="0"/>
          <a:ext cx="9521783" cy="819511"/>
          <a:chOff x="365167" y="0"/>
          <a:chExt cx="9521783" cy="819510"/>
        </a:xfrm>
      </xdr:grpSpPr>
      <xdr:sp macro="" textlink="Linkovi_Link_BS">
        <xdr:nvSpPr>
          <xdr:cNvPr id="88" name="Link BS">
            <a:hlinkClick xmlns:r="http://schemas.openxmlformats.org/officeDocument/2006/relationships" r:id="rId1" tooltip="01"/>
            <a:extLst>
              <a:ext uri="{FF2B5EF4-FFF2-40B4-BE49-F238E27FC236}">
                <a16:creationId xmlns=""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 xmlns:a16="http://schemas.microsoft.com/office/drawing/2014/main" id="{00000000-0008-0000-0500-000002000000}"/>
            </a:ext>
          </a:extLst>
        </xdr:cNvPr>
        <xdr:cNvGrpSpPr/>
      </xdr:nvGrpSpPr>
      <xdr:grpSpPr>
        <a:xfrm>
          <a:off x="257174" y="28575"/>
          <a:ext cx="9552110" cy="567104"/>
          <a:chOff x="257174" y="28575"/>
          <a:chExt cx="8943975" cy="528271"/>
        </a:xfrm>
      </xdr:grpSpPr>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 xmlns:a16="http://schemas.microsoft.com/office/drawing/2014/main" id="{00000000-0008-0000-0900-0000FCF70100}"/>
            </a:ext>
          </a:extLst>
        </xdr:cNvPr>
        <xdr:cNvGrpSpPr>
          <a:grpSpLocks/>
        </xdr:cNvGrpSpPr>
      </xdr:nvGrpSpPr>
      <xdr:grpSpPr bwMode="auto">
        <a:xfrm>
          <a:off x="377051" y="47625"/>
          <a:ext cx="11713194" cy="592641"/>
          <a:chOff x="7343770" y="3809530"/>
          <a:chExt cx="7258050" cy="590549"/>
        </a:xfrm>
      </xdr:grpSpPr>
      <xdr:sp macro="" textlink="Linkovi_Link_BS">
        <xdr:nvSpPr>
          <xdr:cNvPr id="4" name="Link BS">
            <a:hlinkClick xmlns:r="http://schemas.openxmlformats.org/officeDocument/2006/relationships" r:id="rId1" tooltip="01"/>
            <a:extLst>
              <a:ext uri="{FF2B5EF4-FFF2-40B4-BE49-F238E27FC236}">
                <a16:creationId xmlns=""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2"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1" dataCellStyle="Normal">
      <calculatedColumnFormula>CHOOSE( ID_Jezik, C2, D2, E2,F2)</calculatedColumnFormula>
    </tableColumn>
    <tableColumn id="7" name="Kolona za pravljenje imena" dataDxfId="190" dataCellStyle="Normal">
      <calculatedColumnFormula>SUBSTITUTE(A2&amp;"_"&amp;B2," ","_")</calculatedColumnFormula>
    </tableColumn>
    <tableColumn id="8"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1.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00a">
    <tabColor rgb="FFB2B2B2"/>
    <pageSetUpPr fitToPage="1"/>
  </sheetPr>
  <dimension ref="A1:U62"/>
  <sheetViews>
    <sheetView showGridLines="0" showRowColHeaders="0" zoomScaleSheetLayoutView="85" workbookViewId="0">
      <pane ySplit="4" topLeftCell="A5" activePane="bottomLeft" state="frozen"/>
      <selection activeCell="K31" sqref="K31"/>
      <selection pane="bottomLeft" activeCell="K31" sqref="K31"/>
    </sheetView>
  </sheetViews>
  <sheetFormatPr defaultColWidth="0" defaultRowHeight="12.75" zeroHeight="1"/>
  <cols>
    <col min="1" max="1" width="5.7109375" style="8" customWidth="1"/>
    <col min="2" max="4" width="10.42578125" style="8" customWidth="1"/>
    <col min="5" max="17" width="9.42578125" style="8" customWidth="1"/>
    <col min="18" max="22" width="9.140625" style="8" customWidth="1"/>
    <col min="23" max="16384" width="0" style="8" hidden="1"/>
  </cols>
  <sheetData>
    <row r="1" spans="2:21">
      <c r="B1" s="18"/>
      <c r="C1" s="18"/>
      <c r="D1" s="18"/>
      <c r="E1" s="18"/>
      <c r="F1" s="18"/>
      <c r="G1" s="18"/>
      <c r="H1" s="18"/>
      <c r="I1" s="18"/>
      <c r="J1" s="18"/>
      <c r="K1" s="18"/>
      <c r="L1" s="18"/>
      <c r="M1" s="18"/>
      <c r="N1" s="18"/>
      <c r="O1" s="18"/>
      <c r="P1" s="18"/>
      <c r="Q1" s="18"/>
    </row>
    <row r="2" spans="2:21">
      <c r="B2" s="18"/>
      <c r="C2" s="18"/>
      <c r="D2" s="18"/>
      <c r="E2" s="18"/>
      <c r="F2" s="18"/>
      <c r="G2" s="18"/>
      <c r="H2" s="18"/>
      <c r="I2" s="18"/>
      <c r="J2" s="18"/>
      <c r="K2" s="18"/>
      <c r="L2" s="18"/>
      <c r="M2" s="18"/>
      <c r="N2" s="18"/>
      <c r="O2" s="18"/>
      <c r="P2" s="18"/>
      <c r="Q2" s="18"/>
    </row>
    <row r="3" spans="2:21">
      <c r="B3" s="18"/>
      <c r="C3" s="18"/>
      <c r="D3" s="18"/>
      <c r="E3" s="18"/>
      <c r="F3" s="18"/>
      <c r="G3" s="18"/>
      <c r="H3" s="18"/>
      <c r="I3" s="18"/>
      <c r="J3" s="18"/>
      <c r="K3" s="18"/>
      <c r="L3" s="18"/>
      <c r="M3" s="18"/>
      <c r="N3" s="18"/>
      <c r="O3" s="18"/>
      <c r="P3" s="18"/>
      <c r="Q3" s="18"/>
    </row>
    <row r="4" spans="2:21">
      <c r="B4" s="18"/>
      <c r="C4" s="18"/>
      <c r="D4" s="18"/>
      <c r="E4" s="18"/>
      <c r="F4" s="18"/>
      <c r="G4" s="18"/>
      <c r="H4" s="18"/>
      <c r="I4" s="18"/>
      <c r="J4" s="18"/>
      <c r="K4" s="18"/>
      <c r="L4" s="18"/>
      <c r="M4" s="18"/>
      <c r="N4" s="18"/>
      <c r="O4" s="18"/>
      <c r="P4" s="18"/>
      <c r="Q4" s="18"/>
    </row>
    <row r="5" spans="2:21" ht="18.75">
      <c r="B5" s="578" t="s">
        <v>58</v>
      </c>
      <c r="C5" s="578"/>
      <c r="D5" s="578"/>
      <c r="E5" s="578"/>
      <c r="F5" s="578"/>
      <c r="G5" s="578"/>
      <c r="H5" s="578"/>
      <c r="I5" s="578"/>
      <c r="J5" s="578"/>
      <c r="K5" s="578"/>
      <c r="L5" s="578"/>
      <c r="M5" s="578"/>
      <c r="N5" s="578"/>
      <c r="O5" s="578"/>
      <c r="P5" s="578"/>
      <c r="Q5" s="578"/>
      <c r="R5" s="578"/>
      <c r="S5" s="578"/>
      <c r="T5" s="578"/>
      <c r="U5" s="578"/>
    </row>
    <row r="6" spans="2:21" ht="18.75">
      <c r="B6" s="144" t="s">
        <v>491</v>
      </c>
      <c r="C6" s="145"/>
      <c r="D6" s="145"/>
      <c r="E6" s="145"/>
      <c r="F6" s="145"/>
      <c r="G6" s="145"/>
      <c r="H6" s="145"/>
      <c r="I6" s="145"/>
      <c r="J6" s="145"/>
      <c r="K6" s="145"/>
      <c r="L6" s="145"/>
      <c r="M6" s="145"/>
      <c r="N6" s="145"/>
      <c r="O6" s="145"/>
      <c r="P6" s="145"/>
      <c r="Q6" s="145"/>
    </row>
    <row r="7" spans="2:21" ht="15">
      <c r="B7" s="143" t="s">
        <v>308</v>
      </c>
      <c r="C7" s="18"/>
      <c r="D7" s="18"/>
      <c r="E7" s="18"/>
      <c r="F7" s="18"/>
      <c r="G7" s="18"/>
      <c r="H7" s="18"/>
      <c r="I7" s="18"/>
      <c r="J7" s="18"/>
      <c r="K7" s="18"/>
      <c r="L7" s="18"/>
      <c r="M7" s="18"/>
      <c r="N7" s="18"/>
      <c r="O7" s="18"/>
      <c r="P7" s="18"/>
      <c r="Q7" s="18"/>
    </row>
    <row r="8" spans="2:21" ht="15">
      <c r="B8" s="422" t="s">
        <v>2743</v>
      </c>
      <c r="C8" s="423"/>
      <c r="D8" s="423"/>
      <c r="E8" s="423"/>
      <c r="F8" s="423"/>
      <c r="G8" s="423"/>
      <c r="H8" s="18"/>
      <c r="I8" s="18"/>
      <c r="J8" s="18"/>
      <c r="K8" s="18"/>
      <c r="L8" s="18"/>
      <c r="M8" s="18"/>
      <c r="N8" s="18"/>
      <c r="O8" s="18"/>
      <c r="P8" s="18"/>
      <c r="Q8" s="18"/>
    </row>
    <row r="9" spans="2:21" ht="15">
      <c r="B9" s="143" t="s">
        <v>314</v>
      </c>
      <c r="C9" s="18"/>
      <c r="D9" s="18"/>
      <c r="E9" s="18"/>
      <c r="F9" s="18"/>
      <c r="G9" s="18"/>
      <c r="H9" s="18"/>
      <c r="I9" s="18"/>
      <c r="J9" s="18"/>
      <c r="K9" s="18"/>
      <c r="L9" s="18"/>
      <c r="M9" s="18"/>
      <c r="N9" s="18"/>
      <c r="O9" s="18"/>
      <c r="P9" s="18"/>
      <c r="Q9" s="18"/>
    </row>
    <row r="10" spans="2:21" ht="15">
      <c r="B10" s="143" t="s">
        <v>758</v>
      </c>
      <c r="C10" s="18"/>
      <c r="D10" s="18"/>
      <c r="E10" s="18"/>
      <c r="F10" s="18"/>
      <c r="G10" s="18"/>
      <c r="H10" s="18"/>
      <c r="I10" s="18"/>
      <c r="J10" s="18"/>
      <c r="K10" s="18"/>
      <c r="L10" s="18"/>
      <c r="M10" s="18"/>
      <c r="N10" s="18"/>
      <c r="O10" s="18"/>
      <c r="P10" s="18"/>
      <c r="Q10" s="18"/>
    </row>
    <row r="11" spans="2:21" ht="15">
      <c r="B11" s="143"/>
      <c r="C11" s="18"/>
      <c r="D11" s="18"/>
      <c r="E11" s="18"/>
      <c r="F11" s="18"/>
      <c r="G11" s="18"/>
      <c r="H11" s="18"/>
      <c r="I11" s="18"/>
      <c r="J11" s="18"/>
      <c r="K11" s="18"/>
      <c r="L11" s="18"/>
      <c r="M11" s="18"/>
      <c r="N11" s="18"/>
      <c r="O11" s="18"/>
      <c r="P11" s="18"/>
      <c r="Q11" s="18"/>
    </row>
    <row r="12" spans="2:21" ht="15">
      <c r="B12" s="144" t="s">
        <v>493</v>
      </c>
      <c r="C12" s="18"/>
      <c r="D12" s="18"/>
      <c r="E12" s="18"/>
      <c r="F12" s="18"/>
      <c r="G12" s="18"/>
      <c r="H12" s="18"/>
      <c r="I12" s="18"/>
      <c r="J12" s="18"/>
      <c r="K12" s="18"/>
      <c r="L12" s="18"/>
      <c r="M12" s="18"/>
      <c r="N12" s="18"/>
      <c r="O12" s="18"/>
      <c r="P12" s="18"/>
      <c r="Q12" s="18"/>
    </row>
    <row r="13" spans="2:21" ht="15">
      <c r="B13" s="143" t="s">
        <v>492</v>
      </c>
      <c r="C13" s="18"/>
      <c r="D13" s="18"/>
      <c r="E13" s="18"/>
      <c r="F13" s="18"/>
      <c r="G13" s="18"/>
      <c r="H13" s="18"/>
      <c r="I13" s="18"/>
      <c r="J13" s="18"/>
      <c r="K13" s="18"/>
      <c r="L13" s="18"/>
      <c r="M13" s="18"/>
      <c r="N13" s="18"/>
      <c r="O13" s="18"/>
      <c r="P13" s="18"/>
      <c r="Q13" s="18"/>
    </row>
    <row r="14" spans="2:21" ht="15">
      <c r="B14" s="143"/>
      <c r="C14" s="18"/>
      <c r="D14" s="18"/>
      <c r="E14" s="18"/>
      <c r="F14" s="18"/>
      <c r="G14" s="18"/>
      <c r="H14" s="18"/>
      <c r="I14" s="18"/>
      <c r="J14" s="18"/>
      <c r="K14" s="18"/>
      <c r="L14" s="18"/>
      <c r="M14" s="18"/>
      <c r="N14" s="18"/>
      <c r="O14" s="18"/>
      <c r="P14" s="18"/>
      <c r="Q14" s="18"/>
    </row>
    <row r="15" spans="2:21" ht="15">
      <c r="B15" s="214" t="s">
        <v>21</v>
      </c>
      <c r="C15" s="215"/>
      <c r="D15" s="215"/>
      <c r="E15" s="215"/>
      <c r="F15" s="215"/>
      <c r="G15" s="215"/>
      <c r="H15" s="215"/>
      <c r="I15" s="215"/>
      <c r="J15" s="215"/>
      <c r="K15" s="215"/>
      <c r="L15" s="215"/>
      <c r="M15" s="216"/>
      <c r="N15" s="18"/>
      <c r="O15" s="18"/>
      <c r="P15" s="18"/>
      <c r="Q15" s="18"/>
    </row>
    <row r="16" spans="2:21" ht="15">
      <c r="B16" s="217" t="s">
        <v>25</v>
      </c>
      <c r="C16" s="138"/>
      <c r="D16" s="138"/>
      <c r="E16" s="138"/>
      <c r="F16" s="138"/>
      <c r="G16" s="138"/>
      <c r="H16" s="138"/>
      <c r="I16" s="138"/>
      <c r="J16" s="138"/>
      <c r="K16" s="138"/>
      <c r="L16" s="138"/>
      <c r="M16" s="218"/>
      <c r="N16" s="18"/>
      <c r="O16" s="18"/>
      <c r="P16" s="18"/>
      <c r="Q16" s="18"/>
    </row>
    <row r="17" spans="2:17" ht="15">
      <c r="B17" s="219" t="s">
        <v>22</v>
      </c>
      <c r="C17" s="138"/>
      <c r="D17" s="138"/>
      <c r="E17" s="138"/>
      <c r="F17" s="138"/>
      <c r="G17" s="138"/>
      <c r="H17" s="138"/>
      <c r="I17" s="138"/>
      <c r="J17" s="138"/>
      <c r="K17" s="138"/>
      <c r="L17" s="138"/>
      <c r="M17" s="218"/>
      <c r="N17" s="18"/>
      <c r="O17" s="18"/>
      <c r="P17" s="18"/>
      <c r="Q17" s="18"/>
    </row>
    <row r="18" spans="2:17" ht="15">
      <c r="B18" s="220" t="s">
        <v>23</v>
      </c>
      <c r="C18" s="221"/>
      <c r="D18" s="221"/>
      <c r="E18" s="221"/>
      <c r="F18" s="221"/>
      <c r="G18" s="221"/>
      <c r="H18" s="221"/>
      <c r="I18" s="221"/>
      <c r="J18" s="221"/>
      <c r="K18" s="221"/>
      <c r="L18" s="221"/>
      <c r="M18" s="222"/>
      <c r="N18" s="18"/>
      <c r="O18" s="18"/>
      <c r="P18" s="18"/>
      <c r="Q18" s="18"/>
    </row>
    <row r="19" spans="2:17">
      <c r="C19" s="18"/>
      <c r="D19" s="18"/>
      <c r="E19" s="18"/>
      <c r="F19" s="18"/>
      <c r="G19" s="18"/>
      <c r="H19" s="18"/>
      <c r="I19" s="18"/>
      <c r="J19" s="18"/>
      <c r="K19" s="18"/>
      <c r="L19" s="18"/>
      <c r="M19" s="18"/>
      <c r="N19" s="18"/>
      <c r="O19" s="18"/>
      <c r="P19" s="18"/>
      <c r="Q19" s="18"/>
    </row>
    <row r="20" spans="2:17" ht="15">
      <c r="B20" s="144" t="s">
        <v>16</v>
      </c>
      <c r="C20" s="18"/>
      <c r="D20" s="18"/>
      <c r="E20" s="18"/>
      <c r="F20" s="18"/>
      <c r="G20" s="18"/>
      <c r="H20" s="18"/>
      <c r="I20" s="18"/>
      <c r="J20" s="18"/>
      <c r="K20" s="18"/>
      <c r="L20" s="18"/>
      <c r="M20" s="18"/>
      <c r="N20" s="18"/>
      <c r="O20" s="18"/>
      <c r="P20" s="18"/>
      <c r="Q20" s="18"/>
    </row>
    <row r="21" spans="2:17" ht="15">
      <c r="B21" s="143" t="s">
        <v>2736</v>
      </c>
      <c r="C21" s="18"/>
      <c r="D21" s="18"/>
      <c r="E21" s="18"/>
      <c r="F21" s="18"/>
      <c r="G21" s="18"/>
      <c r="H21" s="18"/>
      <c r="I21" s="18"/>
      <c r="J21" s="18"/>
      <c r="K21" s="18"/>
      <c r="L21" s="18"/>
      <c r="M21" s="18"/>
      <c r="N21" s="18"/>
      <c r="O21" s="18"/>
      <c r="P21" s="18"/>
      <c r="Q21" s="18"/>
    </row>
    <row r="22" spans="2:17" ht="15">
      <c r="B22" s="143" t="s">
        <v>2737</v>
      </c>
      <c r="C22" s="18"/>
      <c r="D22" s="18"/>
      <c r="E22" s="18"/>
      <c r="F22" s="18"/>
      <c r="G22" s="18"/>
      <c r="H22" s="18"/>
      <c r="I22" s="18"/>
      <c r="J22" s="18"/>
      <c r="K22" s="18"/>
      <c r="L22" s="18"/>
      <c r="M22" s="18"/>
      <c r="N22" s="18"/>
      <c r="O22" s="18"/>
      <c r="P22" s="18"/>
      <c r="Q22" s="18"/>
    </row>
    <row r="23" spans="2:17" ht="15">
      <c r="B23" s="146" t="s">
        <v>2741</v>
      </c>
      <c r="C23" s="18"/>
      <c r="D23" s="18"/>
      <c r="E23" s="18"/>
      <c r="F23" s="18"/>
      <c r="G23" s="18"/>
      <c r="H23" s="18"/>
      <c r="I23" s="18"/>
      <c r="J23" s="18"/>
      <c r="K23" s="18"/>
      <c r="L23" s="18"/>
      <c r="M23" s="18"/>
      <c r="N23" s="18"/>
      <c r="O23" s="18"/>
      <c r="P23" s="18"/>
      <c r="Q23" s="18"/>
    </row>
    <row r="24" spans="2:17" ht="15">
      <c r="B24" s="143"/>
      <c r="C24" s="18"/>
      <c r="D24" s="18"/>
      <c r="E24" s="18"/>
      <c r="F24" s="18"/>
      <c r="G24" s="18"/>
      <c r="H24" s="18"/>
      <c r="I24" s="18"/>
      <c r="J24" s="18"/>
      <c r="K24" s="18"/>
      <c r="L24" s="18"/>
      <c r="M24" s="18"/>
      <c r="N24" s="18"/>
      <c r="O24" s="18"/>
      <c r="P24" s="18"/>
      <c r="Q24" s="18"/>
    </row>
    <row r="25" spans="2:17" ht="15">
      <c r="B25" s="144" t="s">
        <v>17</v>
      </c>
      <c r="C25" s="18"/>
      <c r="D25" s="18"/>
      <c r="E25" s="18"/>
      <c r="F25" s="18"/>
      <c r="G25" s="18"/>
      <c r="H25" s="18"/>
      <c r="I25" s="18"/>
      <c r="J25" s="18"/>
      <c r="K25" s="18"/>
      <c r="L25" s="18"/>
      <c r="M25" s="18"/>
      <c r="N25" s="18"/>
      <c r="O25" s="18"/>
      <c r="P25" s="18"/>
      <c r="Q25" s="18"/>
    </row>
    <row r="26" spans="2:17" ht="15">
      <c r="B26" s="143" t="s">
        <v>2738</v>
      </c>
      <c r="C26" s="18"/>
      <c r="D26" s="18"/>
      <c r="E26" s="18"/>
      <c r="F26" s="18"/>
      <c r="G26" s="18"/>
      <c r="H26" s="18"/>
      <c r="I26" s="18"/>
      <c r="J26" s="18"/>
      <c r="K26" s="18"/>
      <c r="L26" s="18"/>
      <c r="M26" s="18"/>
      <c r="N26" s="18"/>
      <c r="O26" s="18"/>
      <c r="P26" s="18"/>
      <c r="Q26" s="18"/>
    </row>
    <row r="27" spans="2:17" ht="15">
      <c r="B27" s="143"/>
      <c r="C27" s="18"/>
      <c r="D27" s="18"/>
      <c r="E27" s="18"/>
      <c r="F27" s="18"/>
      <c r="G27" s="18"/>
      <c r="H27" s="18"/>
      <c r="I27" s="18"/>
      <c r="J27" s="18"/>
      <c r="K27" s="18"/>
      <c r="L27" s="18"/>
      <c r="M27" s="18"/>
      <c r="N27" s="18"/>
      <c r="O27" s="18"/>
      <c r="P27" s="18"/>
      <c r="Q27" s="18"/>
    </row>
    <row r="28" spans="2:17" ht="15">
      <c r="B28" s="144" t="s">
        <v>2911</v>
      </c>
      <c r="C28" s="18"/>
      <c r="D28" s="18"/>
      <c r="E28" s="18"/>
      <c r="F28" s="18"/>
      <c r="G28" s="18"/>
      <c r="H28" s="18"/>
      <c r="I28" s="18"/>
      <c r="J28" s="18"/>
      <c r="K28" s="18"/>
      <c r="L28" s="18"/>
      <c r="M28" s="18"/>
      <c r="N28" s="18"/>
      <c r="O28" s="18"/>
      <c r="P28" s="18"/>
      <c r="Q28" s="18"/>
    </row>
    <row r="29" spans="2:17" ht="15">
      <c r="B29" s="143" t="s">
        <v>2910</v>
      </c>
      <c r="C29" s="18"/>
      <c r="D29" s="18"/>
      <c r="E29" s="18"/>
      <c r="F29" s="18"/>
      <c r="G29" s="18"/>
      <c r="H29" s="18"/>
      <c r="I29" s="18"/>
      <c r="J29" s="18"/>
      <c r="K29" s="18"/>
      <c r="L29" s="18"/>
      <c r="M29" s="18"/>
      <c r="N29" s="18"/>
      <c r="O29" s="18"/>
      <c r="P29" s="18"/>
      <c r="Q29" s="18"/>
    </row>
    <row r="30" spans="2:17" ht="15">
      <c r="B30" s="143"/>
      <c r="C30" s="18"/>
      <c r="D30" s="18"/>
      <c r="E30" s="18"/>
      <c r="F30" s="18"/>
      <c r="G30" s="18"/>
      <c r="H30" s="18"/>
      <c r="I30" s="18"/>
      <c r="J30" s="18"/>
      <c r="K30" s="18"/>
      <c r="L30" s="18"/>
      <c r="M30" s="18"/>
      <c r="N30" s="18"/>
      <c r="O30" s="18"/>
      <c r="P30" s="18"/>
      <c r="Q30" s="18"/>
    </row>
    <row r="31" spans="2:17" ht="15">
      <c r="B31" s="144" t="s">
        <v>18</v>
      </c>
      <c r="C31" s="18"/>
      <c r="D31" s="18"/>
      <c r="E31" s="18"/>
      <c r="F31" s="18"/>
      <c r="G31" s="18"/>
      <c r="H31" s="18"/>
      <c r="I31" s="18"/>
      <c r="J31" s="18"/>
      <c r="K31" s="18"/>
      <c r="L31" s="18"/>
      <c r="M31" s="18"/>
      <c r="N31" s="18"/>
      <c r="O31" s="18"/>
      <c r="P31" s="18"/>
      <c r="Q31" s="18"/>
    </row>
    <row r="32" spans="2:17" ht="15">
      <c r="B32" s="143" t="s">
        <v>2739</v>
      </c>
      <c r="C32" s="18"/>
      <c r="D32" s="18"/>
      <c r="E32" s="18"/>
      <c r="F32" s="18"/>
      <c r="G32" s="18"/>
      <c r="H32" s="18"/>
      <c r="I32" s="18"/>
      <c r="J32" s="18"/>
      <c r="K32" s="18"/>
      <c r="L32" s="18"/>
      <c r="M32" s="18"/>
      <c r="N32" s="18"/>
      <c r="O32" s="18"/>
      <c r="P32" s="18"/>
      <c r="Q32" s="18"/>
    </row>
    <row r="33" spans="2:21" ht="15">
      <c r="B33" s="143"/>
      <c r="C33" s="18"/>
      <c r="D33" s="18"/>
      <c r="E33" s="18"/>
      <c r="F33" s="18"/>
      <c r="G33" s="18"/>
      <c r="H33" s="18"/>
      <c r="I33" s="18"/>
      <c r="J33" s="18"/>
      <c r="K33" s="18"/>
      <c r="L33" s="18"/>
      <c r="M33" s="18"/>
      <c r="N33" s="18"/>
      <c r="O33" s="18"/>
      <c r="P33" s="18"/>
      <c r="Q33" s="18"/>
    </row>
    <row r="34" spans="2:21" ht="15">
      <c r="B34" s="144" t="s">
        <v>134</v>
      </c>
      <c r="C34" s="18"/>
      <c r="D34" s="18"/>
      <c r="E34" s="18"/>
      <c r="F34" s="18"/>
      <c r="G34" s="18"/>
      <c r="H34" s="18"/>
      <c r="I34" s="18"/>
      <c r="J34" s="18"/>
      <c r="K34" s="18"/>
      <c r="L34" s="18"/>
      <c r="M34" s="18"/>
      <c r="N34" s="18"/>
      <c r="O34" s="18"/>
      <c r="P34" s="18"/>
      <c r="Q34" s="18"/>
    </row>
    <row r="35" spans="2:21" ht="15">
      <c r="B35" s="143" t="s">
        <v>759</v>
      </c>
      <c r="C35" s="18"/>
      <c r="D35" s="18"/>
      <c r="E35" s="18"/>
      <c r="F35" s="18"/>
      <c r="G35" s="18"/>
      <c r="H35" s="18"/>
      <c r="I35" s="18"/>
      <c r="J35" s="18"/>
      <c r="K35" s="18"/>
      <c r="L35" s="18"/>
      <c r="M35" s="18"/>
      <c r="N35" s="18"/>
      <c r="O35" s="18"/>
      <c r="P35" s="18"/>
      <c r="Q35" s="18"/>
    </row>
    <row r="36" spans="2:21" ht="15">
      <c r="B36" s="143"/>
      <c r="C36" s="18"/>
      <c r="D36" s="18"/>
      <c r="E36" s="18"/>
      <c r="F36" s="18"/>
      <c r="G36" s="18"/>
      <c r="H36" s="18"/>
      <c r="I36" s="18"/>
      <c r="J36" s="18"/>
      <c r="K36" s="18"/>
      <c r="L36" s="18"/>
      <c r="M36" s="18"/>
      <c r="N36" s="18"/>
      <c r="O36" s="18"/>
      <c r="P36" s="18"/>
      <c r="Q36" s="18"/>
    </row>
    <row r="37" spans="2:21" ht="15">
      <c r="B37" s="144" t="s">
        <v>494</v>
      </c>
      <c r="C37" s="18"/>
      <c r="D37" s="18"/>
      <c r="E37" s="18"/>
      <c r="F37" s="18"/>
      <c r="G37" s="18"/>
      <c r="H37" s="18"/>
      <c r="I37" s="18"/>
      <c r="J37" s="18"/>
      <c r="K37" s="18"/>
      <c r="L37" s="18"/>
      <c r="M37" s="18"/>
      <c r="N37" s="18"/>
      <c r="O37" s="18"/>
      <c r="P37" s="18"/>
      <c r="Q37" s="18"/>
    </row>
    <row r="38" spans="2:21" ht="15">
      <c r="B38" s="143" t="s">
        <v>31</v>
      </c>
      <c r="C38" s="18"/>
      <c r="D38" s="18"/>
      <c r="E38" s="18"/>
      <c r="F38" s="18"/>
      <c r="G38" s="18"/>
      <c r="H38" s="18"/>
      <c r="I38" s="18"/>
      <c r="J38" s="18"/>
      <c r="K38" s="18"/>
      <c r="L38" s="18"/>
      <c r="M38" s="18"/>
      <c r="N38" s="18"/>
      <c r="O38" s="18"/>
      <c r="P38" s="18"/>
      <c r="Q38" s="18"/>
    </row>
    <row r="39" spans="2:21" ht="15">
      <c r="B39" s="143" t="s">
        <v>57</v>
      </c>
      <c r="C39" s="18"/>
      <c r="D39" s="18"/>
      <c r="E39" s="18"/>
      <c r="F39" s="18"/>
      <c r="G39" s="18"/>
      <c r="H39" s="18"/>
      <c r="I39" s="18"/>
      <c r="J39" s="18"/>
      <c r="K39" s="18"/>
      <c r="L39" s="18"/>
      <c r="M39" s="18"/>
      <c r="N39" s="18"/>
      <c r="O39" s="18"/>
      <c r="P39" s="18"/>
      <c r="Q39" s="18"/>
    </row>
    <row r="40" spans="2:21" ht="15">
      <c r="B40" s="143" t="s">
        <v>2742</v>
      </c>
      <c r="C40" s="18"/>
      <c r="D40" s="18"/>
      <c r="E40" s="18"/>
      <c r="F40" s="18"/>
      <c r="G40" s="18"/>
      <c r="H40" s="18"/>
      <c r="I40" s="18"/>
      <c r="J40" s="18"/>
      <c r="K40" s="18"/>
      <c r="L40" s="18"/>
      <c r="M40" s="18"/>
      <c r="N40" s="18"/>
      <c r="O40" s="18"/>
      <c r="P40" s="18"/>
      <c r="Q40" s="18"/>
    </row>
    <row r="41" spans="2:21" ht="15">
      <c r="B41" s="143" t="s">
        <v>2740</v>
      </c>
      <c r="C41" s="18"/>
      <c r="D41" s="18"/>
      <c r="E41" s="18"/>
      <c r="F41" s="18"/>
      <c r="G41" s="18"/>
      <c r="H41" s="18"/>
      <c r="I41" s="18"/>
      <c r="J41" s="18"/>
      <c r="K41" s="18"/>
      <c r="L41" s="18"/>
      <c r="M41" s="18"/>
      <c r="N41" s="18"/>
      <c r="O41" s="18"/>
      <c r="P41" s="18"/>
      <c r="Q41" s="18"/>
    </row>
    <row r="42" spans="2:21" ht="15">
      <c r="B42" s="143" t="s">
        <v>2924</v>
      </c>
      <c r="C42" s="18"/>
      <c r="D42" s="18"/>
      <c r="E42" s="18"/>
      <c r="F42" s="18"/>
      <c r="G42" s="18"/>
      <c r="H42" s="18"/>
      <c r="I42" s="18"/>
      <c r="J42" s="18"/>
      <c r="K42" s="18"/>
      <c r="L42" s="18"/>
      <c r="M42" s="18"/>
      <c r="N42" s="18"/>
      <c r="O42" s="18"/>
      <c r="P42" s="18"/>
      <c r="Q42" s="18"/>
    </row>
    <row r="43" spans="2:21" ht="15">
      <c r="B43" s="143"/>
      <c r="C43" s="18"/>
      <c r="D43" s="18"/>
      <c r="E43" s="18"/>
      <c r="F43" s="18"/>
      <c r="G43" s="18"/>
      <c r="H43" s="18"/>
      <c r="I43" s="18"/>
      <c r="J43" s="18"/>
      <c r="K43" s="18"/>
      <c r="L43" s="18"/>
      <c r="M43" s="18"/>
      <c r="N43" s="18"/>
      <c r="O43" s="18"/>
      <c r="P43" s="18"/>
      <c r="Q43" s="18"/>
    </row>
    <row r="44" spans="2:21" ht="15">
      <c r="B44" s="143"/>
      <c r="C44" s="18"/>
      <c r="D44" s="18"/>
      <c r="E44" s="18"/>
      <c r="F44" s="18"/>
      <c r="G44" s="18"/>
      <c r="H44" s="18"/>
      <c r="I44" s="18"/>
      <c r="J44" s="18"/>
      <c r="K44" s="18"/>
      <c r="L44" s="18"/>
      <c r="M44" s="18"/>
      <c r="N44" s="18"/>
      <c r="O44" s="18"/>
      <c r="P44" s="18"/>
      <c r="Q44" s="18"/>
    </row>
    <row r="45" spans="2:21" ht="15">
      <c r="B45" s="144" t="s">
        <v>716</v>
      </c>
      <c r="C45" s="18"/>
      <c r="D45" s="18"/>
      <c r="E45" s="18"/>
      <c r="F45" s="18"/>
      <c r="G45" s="18"/>
      <c r="H45" s="18"/>
      <c r="I45" s="18"/>
      <c r="J45" s="18"/>
      <c r="K45" s="18"/>
      <c r="L45" s="18"/>
      <c r="M45" s="18"/>
      <c r="N45" s="18"/>
      <c r="O45" s="18"/>
      <c r="P45" s="18"/>
      <c r="Q45" s="18"/>
    </row>
    <row r="46" spans="2:21" ht="45">
      <c r="B46" s="210" t="s">
        <v>719</v>
      </c>
      <c r="C46" s="210" t="s">
        <v>717</v>
      </c>
      <c r="D46" s="210" t="s">
        <v>718</v>
      </c>
      <c r="E46" s="18"/>
      <c r="F46" s="18"/>
      <c r="G46" s="18"/>
      <c r="H46" s="18"/>
      <c r="I46" s="18"/>
      <c r="J46" s="18"/>
      <c r="K46" s="18"/>
      <c r="L46" s="18"/>
      <c r="M46" s="18"/>
      <c r="N46" s="18"/>
      <c r="O46" s="18"/>
      <c r="P46" s="18"/>
      <c r="Q46" s="18"/>
    </row>
    <row r="47" spans="2:21" ht="1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c r="B54" s="143"/>
      <c r="C54" s="18"/>
      <c r="D54" s="18"/>
      <c r="E54" s="18"/>
      <c r="F54" s="18"/>
      <c r="G54" s="18"/>
      <c r="H54" s="18"/>
      <c r="I54" s="18"/>
      <c r="J54" s="18"/>
      <c r="K54" s="18"/>
      <c r="L54" s="18"/>
      <c r="O54" s="18"/>
      <c r="P54" s="18"/>
      <c r="Q54" s="18"/>
      <c r="S54" s="18"/>
      <c r="T54" s="18"/>
      <c r="U54" s="18"/>
    </row>
    <row r="55" spans="1:21" ht="15">
      <c r="B55" s="144" t="s">
        <v>760</v>
      </c>
      <c r="E55" s="18"/>
      <c r="F55" s="18"/>
      <c r="G55" s="18"/>
      <c r="H55" s="18"/>
      <c r="I55" s="18"/>
      <c r="J55" s="18"/>
      <c r="K55" s="18"/>
      <c r="L55" s="18"/>
      <c r="O55" s="18"/>
      <c r="P55" s="18"/>
      <c r="Q55" s="18"/>
      <c r="S55" s="18"/>
      <c r="T55" s="18"/>
      <c r="U55" s="18"/>
    </row>
    <row r="56" spans="1:21" ht="15">
      <c r="B56" s="143" t="s">
        <v>720</v>
      </c>
      <c r="E56" s="18"/>
      <c r="F56" s="18"/>
      <c r="G56" s="18"/>
      <c r="H56" s="18"/>
      <c r="I56" s="18"/>
      <c r="J56" s="18"/>
      <c r="K56" s="18"/>
      <c r="L56" s="18"/>
      <c r="O56" s="18"/>
      <c r="P56" s="18"/>
      <c r="Q56" s="18"/>
      <c r="S56" s="18"/>
      <c r="T56" s="18"/>
      <c r="U56" s="18"/>
    </row>
    <row r="57" spans="1:21" ht="15">
      <c r="A57" s="8" t="s">
        <v>786</v>
      </c>
      <c r="B57" s="143"/>
      <c r="G57" s="18"/>
      <c r="H57" s="18"/>
      <c r="I57" s="18"/>
      <c r="J57" s="18"/>
      <c r="K57" s="18"/>
      <c r="L57" s="18"/>
      <c r="O57" s="18"/>
      <c r="P57" s="18"/>
      <c r="Q57" s="18"/>
      <c r="S57" s="18"/>
      <c r="T57" s="18"/>
      <c r="U57" s="18"/>
    </row>
    <row r="58" spans="1:21">
      <c r="G58" s="18"/>
      <c r="H58" s="18"/>
      <c r="I58" s="18"/>
      <c r="J58" s="18"/>
      <c r="K58" s="18"/>
      <c r="L58" s="18"/>
      <c r="O58" s="18"/>
      <c r="P58" s="18"/>
      <c r="Q58" s="18"/>
      <c r="S58" s="18"/>
      <c r="T58" s="18"/>
      <c r="U58" s="18"/>
    </row>
    <row r="59" spans="1:21" ht="15">
      <c r="B59" s="144" t="s">
        <v>2878</v>
      </c>
      <c r="C59" s="144"/>
      <c r="D59" s="144"/>
      <c r="E59" s="144"/>
      <c r="F59" s="144"/>
      <c r="G59" s="18"/>
      <c r="H59" s="18"/>
      <c r="I59" s="18"/>
      <c r="J59" s="18"/>
      <c r="K59" s="18"/>
      <c r="L59" s="18"/>
      <c r="M59" s="18"/>
      <c r="N59" s="18"/>
      <c r="O59" s="18"/>
      <c r="P59" s="18"/>
      <c r="Q59" s="18"/>
    </row>
    <row r="60" spans="1:21">
      <c r="M60" s="18"/>
      <c r="N60" s="18"/>
      <c r="O60" s="18"/>
      <c r="P60" s="18"/>
      <c r="Q60" s="18"/>
    </row>
    <row r="61" spans="1:21">
      <c r="M61" s="18"/>
      <c r="N61" s="18"/>
      <c r="O61" s="18"/>
      <c r="P61" s="18"/>
      <c r="Q61" s="18"/>
    </row>
    <row r="62" spans="1:21">
      <c r="M62" s="18"/>
      <c r="N62" s="18"/>
      <c r="O62" s="18"/>
      <c r="P62" s="18"/>
    </row>
  </sheetData>
  <sheetProtection sheet="1" selectLockedCells="1" selectUnlockedCells="1"/>
  <mergeCells count="1">
    <mergeCell ref="B5:U5"/>
  </mergeCells>
  <phoneticPr fontId="2"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sheetPr codeName="Sheet05">
    <tabColor rgb="FFB2B2B2"/>
  </sheetPr>
  <dimension ref="B1:S65"/>
  <sheetViews>
    <sheetView showGridLines="0" showRowColHeaders="0" tabSelected="1" zoomScale="82" zoomScaleNormal="82" zoomScaleSheetLayoutView="100" workbookViewId="0">
      <pane ySplit="4" topLeftCell="A40" activePane="bottomLeft" state="frozen"/>
      <selection activeCell="K31" sqref="K31"/>
      <selection pane="bottomLeft" activeCell="J22" sqref="J22"/>
    </sheetView>
  </sheetViews>
  <sheetFormatPr defaultColWidth="0" defaultRowHeight="12.75" zeroHeight="1"/>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c r="C1" s="18"/>
      <c r="D1" s="18"/>
      <c r="E1" s="18"/>
      <c r="F1" s="18"/>
      <c r="G1" s="18"/>
      <c r="H1" s="18"/>
      <c r="I1" s="18"/>
      <c r="J1" s="18"/>
      <c r="K1" s="18"/>
      <c r="L1" s="18"/>
      <c r="M1" s="18"/>
      <c r="N1" s="18"/>
      <c r="O1" s="18"/>
      <c r="P1" s="18"/>
      <c r="Q1" s="18"/>
    </row>
    <row r="2" spans="3:17">
      <c r="C2" s="18"/>
      <c r="D2" s="18"/>
      <c r="E2" s="18"/>
      <c r="F2" s="18"/>
      <c r="G2" s="18"/>
      <c r="H2" s="18"/>
      <c r="I2" s="18"/>
      <c r="J2" s="18"/>
      <c r="K2" s="18"/>
      <c r="L2" s="18"/>
      <c r="M2" s="18"/>
      <c r="N2" s="18"/>
      <c r="O2" s="18"/>
      <c r="P2" s="18"/>
      <c r="Q2" s="18"/>
    </row>
    <row r="3" spans="3:17">
      <c r="C3" s="18"/>
      <c r="D3" s="18"/>
      <c r="E3" s="18"/>
      <c r="F3" s="18"/>
      <c r="G3" s="18"/>
      <c r="H3" s="18"/>
      <c r="I3" s="18"/>
      <c r="J3" s="18"/>
      <c r="K3" s="18"/>
      <c r="L3" s="18"/>
      <c r="M3" s="18"/>
      <c r="N3" s="18"/>
      <c r="O3" s="18"/>
      <c r="P3" s="18"/>
      <c r="Q3" s="18"/>
    </row>
    <row r="4" spans="3:17">
      <c r="C4" s="18"/>
      <c r="D4" s="18"/>
      <c r="E4" s="18"/>
      <c r="F4" s="18"/>
      <c r="G4" s="18"/>
      <c r="H4" s="18"/>
      <c r="I4" s="18"/>
      <c r="J4" s="18"/>
      <c r="K4" s="18"/>
      <c r="L4" s="18"/>
      <c r="M4" s="18"/>
      <c r="N4" s="18"/>
      <c r="O4" s="18"/>
      <c r="P4" s="18"/>
      <c r="Q4" s="18"/>
    </row>
    <row r="5" spans="3:17">
      <c r="D5" s="646" t="str">
        <f>Zaglavlje_Naziv_preduzeca</f>
        <v xml:space="preserve">Naziv privrednog društva, zadruge, drugog pravnog lica ili preduzetnika: </v>
      </c>
      <c r="E5" s="646"/>
      <c r="F5" s="646"/>
      <c r="O5" s="15" t="s">
        <v>786</v>
      </c>
      <c r="P5" s="660" t="str">
        <f>Podatak_MB</f>
        <v>01937189</v>
      </c>
      <c r="Q5" s="660"/>
    </row>
    <row r="6" spans="3:17">
      <c r="D6" s="646"/>
      <c r="E6" s="646"/>
      <c r="F6" s="646"/>
      <c r="Q6" s="243" t="str">
        <f>Zaglavlje_MB</f>
        <v>Matični broj</v>
      </c>
    </row>
    <row r="7" spans="3:17" ht="15.2" customHeight="1">
      <c r="D7" s="658" t="str">
        <f>Podatak_Naziv_preduzeca</f>
        <v>Javno preduzeće Komus akcionarsko društvo</v>
      </c>
      <c r="E7" s="658"/>
      <c r="F7" s="658"/>
      <c r="P7" s="660" t="str">
        <f>Podatak_Sifra_djelatnosti</f>
        <v>38.11</v>
      </c>
      <c r="Q7" s="660"/>
    </row>
    <row r="8" spans="3:17">
      <c r="D8" s="125" t="str">
        <f>Zaglavlje_Sjediste</f>
        <v>Sjedište:</v>
      </c>
      <c r="E8" s="670" t="str">
        <f>Podatak_Sjediste</f>
        <v>Svetog Vasilija Ostroškog 5 Bileća</v>
      </c>
      <c r="F8" s="670"/>
      <c r="Q8" s="243" t="str">
        <f>Zaglavlje_Sifra_djelatnosti</f>
        <v>Šifra djelatnosti</v>
      </c>
    </row>
    <row r="9" spans="3:17">
      <c r="D9" s="657" t="str">
        <f>Zaglavlje_Ziro_racun</f>
        <v>Račun kod ovlašćene organizacije za platni promet:</v>
      </c>
      <c r="E9" s="657"/>
      <c r="F9" s="657"/>
      <c r="H9" s="14"/>
      <c r="Q9" s="392" t="str">
        <f>Podatak_JIB</f>
        <v>4401376020001</v>
      </c>
    </row>
    <row r="10" spans="3:17">
      <c r="D10" s="659" t="str">
        <f>Podatak_Ziro_racun_1</f>
        <v>562-008-00000026-25</v>
      </c>
      <c r="E10" s="659"/>
      <c r="F10" s="659"/>
      <c r="Q10" s="243" t="str">
        <f>Zaglavlje_JIB</f>
        <v>JIB</v>
      </c>
    </row>
    <row r="11" spans="3:17">
      <c r="C11" s="257"/>
      <c r="D11" s="659" t="str">
        <f>Podatak_Ziro_racun_2</f>
        <v>552-003-00007081-13</v>
      </c>
      <c r="E11" s="659"/>
      <c r="F11" s="659"/>
      <c r="H11" s="14"/>
    </row>
    <row r="12" spans="3:17">
      <c r="C12" s="257"/>
      <c r="D12" s="691" t="str">
        <f>Podatak_Ziro_racun_3</f>
        <v/>
      </c>
      <c r="E12" s="691"/>
      <c r="F12" s="691"/>
    </row>
    <row r="13" spans="3:17">
      <c r="C13" s="257"/>
      <c r="D13" s="691" t="str">
        <f>Podatak_Ziro_racun_4</f>
        <v/>
      </c>
      <c r="E13" s="691"/>
      <c r="F13" s="691"/>
      <c r="H13" s="18"/>
      <c r="I13" s="18"/>
      <c r="J13" s="18"/>
      <c r="K13" s="19"/>
      <c r="L13" s="19"/>
      <c r="M13" s="19"/>
      <c r="N13" s="19"/>
      <c r="O13" s="18"/>
      <c r="P13"/>
      <c r="Q13"/>
    </row>
    <row r="14" spans="3:17" ht="15.75">
      <c r="C14" s="257"/>
      <c r="D14" s="671" t="str">
        <f>IF( Id_Konsolidovani, Nazivi_bilansa_Konsolidovani_naziv &amp; LOWER( Nazivi_bilansa_BPK), Nazivi_bilansa_BPK)</f>
        <v>IZVJEŠTAJ O PROMJENAMA NA KAPITALU</v>
      </c>
      <c r="E14" s="671"/>
      <c r="F14" s="671"/>
      <c r="G14" s="671"/>
      <c r="H14" s="671"/>
      <c r="I14" s="671"/>
      <c r="J14" s="671"/>
      <c r="K14" s="671"/>
      <c r="L14" s="671"/>
      <c r="M14" s="671"/>
      <c r="N14" s="671"/>
      <c r="O14" s="671"/>
      <c r="P14" s="671"/>
      <c r="Q14" s="671"/>
    </row>
    <row r="15" spans="3:17">
      <c r="C15" s="257"/>
      <c r="D15" s="656" t="str">
        <f>Datumi_Datum_BPK</f>
        <v>za period koji se završava na dan 30.06.2025. godine</v>
      </c>
      <c r="E15" s="656"/>
      <c r="F15" s="656"/>
      <c r="G15" s="656"/>
      <c r="H15" s="656"/>
      <c r="I15" s="656"/>
      <c r="J15" s="656"/>
      <c r="K15" s="656"/>
      <c r="L15" s="656"/>
      <c r="M15" s="656"/>
      <c r="N15" s="656"/>
      <c r="O15" s="656"/>
      <c r="P15" s="656"/>
      <c r="Q15" s="656"/>
    </row>
    <row r="16" spans="3:17">
      <c r="C16" s="257"/>
      <c r="D16" s="473"/>
      <c r="E16" s="473"/>
      <c r="F16" s="473"/>
      <c r="G16" s="473"/>
      <c r="H16" s="473"/>
      <c r="I16" s="473"/>
      <c r="J16" s="473"/>
      <c r="K16" s="473"/>
      <c r="L16" s="473"/>
      <c r="M16" s="473"/>
      <c r="N16" s="473"/>
      <c r="O16" s="473"/>
      <c r="P16" s="473"/>
      <c r="Q16" s="474" t="str">
        <f>Tabele_zaglavlje_Valuta</f>
        <v>- u konvertibilnim markama -</v>
      </c>
    </row>
    <row r="17" spans="2:19">
      <c r="C17" s="257"/>
      <c r="D17" s="771" t="str">
        <f>Tabele_zaglavlje_BPK1</f>
        <v>VRSTA PROMJENE NA KAPITALU</v>
      </c>
      <c r="E17" s="772"/>
      <c r="F17" s="773"/>
      <c r="G17" s="788" t="str">
        <f>Tabele_zaglavlje_Oznaka_aop</f>
        <v>Oznaka za AOP</v>
      </c>
      <c r="H17" s="789" t="str">
        <f>Tabele_zaglavlje_BPK0</f>
        <v>KAPITAL KOJI PRIPADA VLASNICIMA MATIČNOG DRUŠTVA</v>
      </c>
      <c r="I17" s="790"/>
      <c r="J17" s="790"/>
      <c r="K17" s="790"/>
      <c r="L17" s="790"/>
      <c r="M17" s="790"/>
      <c r="N17" s="790"/>
      <c r="O17" s="791"/>
      <c r="P17" s="767" t="str">
        <f>Tabele_zaglavlje_BPK11</f>
        <v>UDJELI KOJI NEMAJU KONTROLU (MANJINSKI INTERESI)</v>
      </c>
      <c r="Q17" s="769" t="str" cm="1">
        <f t="array" ref="Q17">Tabele_zaglavlje_BPK12</f>
        <v>UKUPNI KAPITAL
(10+11)</v>
      </c>
    </row>
    <row r="18" spans="2:19" ht="106.5" customHeight="1">
      <c r="C18" s="257"/>
      <c r="D18" s="774"/>
      <c r="E18" s="775"/>
      <c r="F18" s="642"/>
      <c r="G18" s="644"/>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8"/>
      <c r="Q18" s="770"/>
      <c r="S18" s="134" t="s">
        <v>490</v>
      </c>
    </row>
    <row r="19" spans="2:19">
      <c r="B19" s="44" t="s">
        <v>123</v>
      </c>
      <c r="C19" s="257"/>
      <c r="D19" s="785">
        <v>1</v>
      </c>
      <c r="E19" s="786"/>
      <c r="F19" s="787"/>
      <c r="G19" s="25">
        <v>2</v>
      </c>
      <c r="H19" s="25">
        <v>3</v>
      </c>
      <c r="I19" s="25">
        <v>4</v>
      </c>
      <c r="J19" s="25">
        <v>5</v>
      </c>
      <c r="K19" s="25">
        <v>6</v>
      </c>
      <c r="L19" s="25">
        <v>7</v>
      </c>
      <c r="M19" s="25">
        <v>8</v>
      </c>
      <c r="N19" s="25">
        <v>9</v>
      </c>
      <c r="O19" s="25">
        <v>10</v>
      </c>
      <c r="P19" s="25">
        <v>11</v>
      </c>
      <c r="Q19" s="475">
        <v>12</v>
      </c>
    </row>
    <row r="20" spans="2:19" ht="7.5" customHeight="1">
      <c r="B20" s="47">
        <v>419</v>
      </c>
      <c r="C20" s="257"/>
      <c r="D20" s="795" t="str">
        <f>VLOOKUP($B20,Aop!$A$2:$M$453,6,1)</f>
        <v/>
      </c>
      <c r="E20" s="796"/>
      <c r="F20" s="797"/>
      <c r="G20" s="185">
        <f>VLOOKUP($B20,Aop!$A$2:$M$453,4,1)</f>
        <v>0</v>
      </c>
      <c r="H20" s="64"/>
      <c r="I20" s="64"/>
      <c r="J20" s="64"/>
      <c r="K20" s="64"/>
      <c r="L20" s="64"/>
      <c r="M20" s="64"/>
      <c r="N20" s="64"/>
      <c r="O20" s="64"/>
      <c r="P20" s="64"/>
      <c r="Q20" s="467"/>
    </row>
    <row r="21" spans="2:19" ht="12.75" customHeight="1">
      <c r="B21" s="47">
        <v>420</v>
      </c>
      <c r="C21" s="257"/>
      <c r="D21" s="776" t="str">
        <f>VLOOKUP($B21,Aop!$A$2:$M$453,6,1)</f>
        <v>1. Stanje na dan 01.01.2024. god.</v>
      </c>
      <c r="E21" s="777"/>
      <c r="F21" s="778"/>
      <c r="G21" s="178">
        <f>VLOOKUP($B21,Aop!$A$2:$M$453,4,1)</f>
        <v>901</v>
      </c>
      <c r="H21" s="81">
        <v>87859</v>
      </c>
      <c r="I21" s="81"/>
      <c r="J21" s="81">
        <v>528</v>
      </c>
      <c r="K21" s="81"/>
      <c r="L21" s="81"/>
      <c r="M21" s="81"/>
      <c r="N21" s="81">
        <v>-250206</v>
      </c>
      <c r="O21" s="60">
        <f t="shared" ref="O21:O51" si="0">SUM(H21:N21)</f>
        <v>-161819</v>
      </c>
      <c r="P21" s="81"/>
      <c r="Q21" s="468">
        <f t="shared" ref="Q21:Q51" si="1">SUM(O21:P21)</f>
        <v>-161819</v>
      </c>
    </row>
    <row r="22" spans="2:19" ht="7.5" customHeight="1">
      <c r="B22" s="47">
        <v>421</v>
      </c>
      <c r="C22" s="257"/>
      <c r="D22" s="779" t="str">
        <f>VLOOKUP($B22,Aop!$A$2:$M$453,6,1)</f>
        <v/>
      </c>
      <c r="E22" s="780"/>
      <c r="F22" s="781"/>
      <c r="G22" s="75">
        <f>VLOOKUP($B22,Aop!$A$2:$M$453,4,1)</f>
        <v>0</v>
      </c>
      <c r="H22" s="64"/>
      <c r="I22" s="64"/>
      <c r="J22" s="64"/>
      <c r="K22" s="64"/>
      <c r="L22" s="64"/>
      <c r="M22" s="64"/>
      <c r="N22" s="64"/>
      <c r="O22" s="64"/>
      <c r="P22" s="64"/>
      <c r="Q22" s="467"/>
    </row>
    <row r="23" spans="2:19" ht="15.2" customHeight="1">
      <c r="B23" s="47">
        <v>422</v>
      </c>
      <c r="C23" s="257"/>
      <c r="D23" s="782" t="str">
        <f>VLOOKUP($B23,Aop!$A$2:$M$453,6,1)</f>
        <v xml:space="preserve">    2. Efekti promjena u računovodstvenim politikama </v>
      </c>
      <c r="E23" s="783"/>
      <c r="F23" s="784"/>
      <c r="G23" s="59">
        <f>VLOOKUP($B23,Aop!$A$2:$M$453,4,1)</f>
        <v>902</v>
      </c>
      <c r="H23" s="155"/>
      <c r="I23" s="155"/>
      <c r="J23" s="155"/>
      <c r="K23" s="155"/>
      <c r="L23" s="155"/>
      <c r="M23" s="155"/>
      <c r="N23" s="155"/>
      <c r="O23" s="153">
        <f t="shared" si="0"/>
        <v>0</v>
      </c>
      <c r="P23" s="155"/>
      <c r="Q23" s="468">
        <f t="shared" si="1"/>
        <v>0</v>
      </c>
    </row>
    <row r="24" spans="2:19" ht="15.2" customHeight="1">
      <c r="B24" s="47">
        <v>423</v>
      </c>
      <c r="C24" s="257"/>
      <c r="D24" s="779" t="str">
        <f>VLOOKUP($B24,Aop!$A$2:$M$453,6,1)</f>
        <v xml:space="preserve">    3. Efekti ispravki grešaka</v>
      </c>
      <c r="E24" s="780"/>
      <c r="F24" s="781"/>
      <c r="G24" s="75">
        <f>VLOOKUP($B24,Aop!$A$2:$M$453,4,1)</f>
        <v>903</v>
      </c>
      <c r="H24" s="157"/>
      <c r="I24" s="157"/>
      <c r="J24" s="157"/>
      <c r="K24" s="157"/>
      <c r="L24" s="157"/>
      <c r="M24" s="157"/>
      <c r="N24" s="157"/>
      <c r="O24" s="154">
        <f t="shared" si="0"/>
        <v>0</v>
      </c>
      <c r="P24" s="157"/>
      <c r="Q24" s="469">
        <f t="shared" si="1"/>
        <v>0</v>
      </c>
    </row>
    <row r="25" spans="2:19" ht="23.65" customHeight="1">
      <c r="B25" s="47">
        <v>424</v>
      </c>
      <c r="C25" s="257"/>
      <c r="D25" s="776" t="str">
        <f>VLOOKUP($B25,Aop!$A$2:$M$453,6,1)</f>
        <v xml:space="preserve">  4. Ponovo iskazano stanje na dan 01.01.2024. god. (901 ± 902 ± 903)</v>
      </c>
      <c r="E25" s="777"/>
      <c r="F25" s="778"/>
      <c r="G25" s="178">
        <f>VLOOKUP($B25,Aop!$A$2:$M$453,4,1)</f>
        <v>904</v>
      </c>
      <c r="H25" s="60">
        <f>SUM(H21:H24)</f>
        <v>87859</v>
      </c>
      <c r="I25" s="60">
        <f t="shared" ref="I25:P25" si="2">SUM(I21:I24)</f>
        <v>0</v>
      </c>
      <c r="J25" s="60">
        <f t="shared" si="2"/>
        <v>528</v>
      </c>
      <c r="K25" s="60">
        <f t="shared" si="2"/>
        <v>0</v>
      </c>
      <c r="L25" s="60">
        <f t="shared" si="2"/>
        <v>0</v>
      </c>
      <c r="M25" s="60">
        <f t="shared" si="2"/>
        <v>0</v>
      </c>
      <c r="N25" s="60">
        <f t="shared" si="2"/>
        <v>-250206</v>
      </c>
      <c r="O25" s="60">
        <f>SUM(H25:N25)</f>
        <v>-161819</v>
      </c>
      <c r="P25" s="60">
        <f t="shared" si="2"/>
        <v>0</v>
      </c>
      <c r="Q25" s="468">
        <f t="shared" si="1"/>
        <v>-161819</v>
      </c>
      <c r="S25" s="133" t="s">
        <v>313</v>
      </c>
    </row>
    <row r="26" spans="2:19" ht="8.25" customHeight="1">
      <c r="B26" s="47">
        <v>425</v>
      </c>
      <c r="C26" s="257"/>
      <c r="D26" s="779" t="str">
        <f>VLOOKUP($B26,Aop!$A$2:$M$453,6,1)</f>
        <v/>
      </c>
      <c r="E26" s="780"/>
      <c r="F26" s="781"/>
      <c r="G26" s="75">
        <f>VLOOKUP($B26,Aop!$A$2:$M$453,4,1)</f>
        <v>0</v>
      </c>
      <c r="H26" s="64"/>
      <c r="I26" s="64"/>
      <c r="J26" s="64"/>
      <c r="K26" s="64"/>
      <c r="L26" s="64"/>
      <c r="M26" s="64"/>
      <c r="N26" s="64"/>
      <c r="O26" s="64"/>
      <c r="P26" s="64"/>
      <c r="Q26" s="467"/>
      <c r="S26" s="133" t="s">
        <v>313</v>
      </c>
    </row>
    <row r="27" spans="2:19" ht="15.2" customHeight="1">
      <c r="B27" s="47">
        <v>426</v>
      </c>
      <c r="C27" s="257"/>
      <c r="D27" s="782" t="str">
        <f>VLOOKUP($B27,Aop!$A$2:$M$453,6,1)</f>
        <v xml:space="preserve">    5. Dobit/(gubitak) za godinu</v>
      </c>
      <c r="E27" s="783"/>
      <c r="F27" s="784"/>
      <c r="G27" s="59">
        <f>VLOOKUP($B27,Aop!$A$2:$M$453,4,1)</f>
        <v>905</v>
      </c>
      <c r="H27" s="155"/>
      <c r="I27" s="155"/>
      <c r="J27" s="155"/>
      <c r="K27" s="155"/>
      <c r="L27" s="155"/>
      <c r="M27" s="155"/>
      <c r="N27" s="155"/>
      <c r="O27" s="153">
        <f t="shared" si="0"/>
        <v>0</v>
      </c>
      <c r="P27" s="155"/>
      <c r="Q27" s="470">
        <f t="shared" si="1"/>
        <v>0</v>
      </c>
    </row>
    <row r="28" spans="2:19" ht="15.2" customHeight="1">
      <c r="B28" s="47">
        <v>427</v>
      </c>
      <c r="C28" s="257"/>
      <c r="D28" s="779" t="str">
        <f>VLOOKUP($B28,Aop!$A$2:$M$453,6,1)</f>
        <v xml:space="preserve">    6. Ostali ukupni rezultat za godinu</v>
      </c>
      <c r="E28" s="780"/>
      <c r="F28" s="781"/>
      <c r="G28" s="75">
        <f>VLOOKUP($B28,Aop!$A$2:$M$453,4,1)</f>
        <v>906</v>
      </c>
      <c r="H28" s="157"/>
      <c r="I28" s="157"/>
      <c r="J28" s="157"/>
      <c r="K28" s="157"/>
      <c r="L28" s="157"/>
      <c r="M28" s="157"/>
      <c r="N28" s="157"/>
      <c r="O28" s="154">
        <f t="shared" si="0"/>
        <v>0</v>
      </c>
      <c r="P28" s="157"/>
      <c r="Q28" s="469">
        <f t="shared" si="1"/>
        <v>0</v>
      </c>
    </row>
    <row r="29" spans="2:19" ht="15.2" customHeight="1">
      <c r="B29" s="47">
        <v>428</v>
      </c>
      <c r="C29" s="257"/>
      <c r="D29" s="776" t="str">
        <f>VLOOKUP($B29,Aop!$A$2:$M$453,6,1)</f>
        <v xml:space="preserve">  7. Ukupna dobit/(gubitak) (± 905 ± 906)</v>
      </c>
      <c r="E29" s="777"/>
      <c r="F29" s="778"/>
      <c r="G29" s="178">
        <f>VLOOKUP($B29,Aop!$A$2:$M$453,4,1)</f>
        <v>907</v>
      </c>
      <c r="H29" s="60">
        <f>SUM(H27:H28)</f>
        <v>0</v>
      </c>
      <c r="I29" s="60">
        <f t="shared" ref="I29:Q29" si="3">SUM(I27:I28)</f>
        <v>0</v>
      </c>
      <c r="J29" s="60">
        <f t="shared" si="3"/>
        <v>0</v>
      </c>
      <c r="K29" s="60">
        <f t="shared" si="3"/>
        <v>0</v>
      </c>
      <c r="L29" s="60">
        <f t="shared" si="3"/>
        <v>0</v>
      </c>
      <c r="M29" s="60">
        <f t="shared" si="3"/>
        <v>0</v>
      </c>
      <c r="N29" s="60">
        <f t="shared" si="3"/>
        <v>0</v>
      </c>
      <c r="O29" s="60">
        <f t="shared" si="3"/>
        <v>0</v>
      </c>
      <c r="P29" s="60">
        <f t="shared" si="3"/>
        <v>0</v>
      </c>
      <c r="Q29" s="468">
        <f t="shared" si="3"/>
        <v>0</v>
      </c>
    </row>
    <row r="30" spans="2:19" ht="6.75" customHeight="1">
      <c r="B30" s="47">
        <v>429</v>
      </c>
      <c r="C30" s="257"/>
      <c r="D30" s="779" t="str">
        <f>VLOOKUP($B30,Aop!$A$2:$M$453,6,1)</f>
        <v/>
      </c>
      <c r="E30" s="780"/>
      <c r="F30" s="781"/>
      <c r="G30" s="75">
        <f>VLOOKUP($B30,Aop!$A$2:$M$453,4,1)</f>
        <v>0</v>
      </c>
      <c r="H30" s="64"/>
      <c r="I30" s="64"/>
      <c r="J30" s="64"/>
      <c r="K30" s="64"/>
      <c r="L30" s="64"/>
      <c r="M30" s="64"/>
      <c r="N30" s="64"/>
      <c r="O30" s="64"/>
      <c r="P30" s="64"/>
      <c r="Q30" s="467"/>
    </row>
    <row r="31" spans="2:19" ht="15.2" customHeight="1">
      <c r="B31" s="47">
        <v>430</v>
      </c>
      <c r="C31" s="257"/>
      <c r="D31" s="782" t="str">
        <f>VLOOKUP($B31,Aop!$A$2:$M$453,6,1)</f>
        <v xml:space="preserve">    8. Emisija akcijskog kapitala i drugi oblici povećanja kapitala</v>
      </c>
      <c r="E31" s="783"/>
      <c r="F31" s="784"/>
      <c r="G31" s="59">
        <f>VLOOKUP($B31,Aop!$A$2:$M$453,4,1)</f>
        <v>908</v>
      </c>
      <c r="H31" s="155"/>
      <c r="I31" s="155"/>
      <c r="J31" s="155"/>
      <c r="K31" s="155"/>
      <c r="L31" s="155"/>
      <c r="M31" s="155"/>
      <c r="N31" s="155"/>
      <c r="O31" s="60">
        <f t="shared" si="0"/>
        <v>0</v>
      </c>
      <c r="P31" s="155"/>
      <c r="Q31" s="468">
        <f t="shared" si="1"/>
        <v>0</v>
      </c>
      <c r="S31" s="133" t="s">
        <v>313</v>
      </c>
    </row>
    <row r="32" spans="2:19" ht="15.2" customHeight="1">
      <c r="B32" s="47">
        <v>431</v>
      </c>
      <c r="C32" s="257"/>
      <c r="D32" s="779" t="str">
        <f>VLOOKUP($B32,Aop!$A$2:$M$453,6,1)</f>
        <v xml:space="preserve">    9. Sticanje sopstvenih akcija i drugi oblici smanjenja kapitala</v>
      </c>
      <c r="E32" s="780"/>
      <c r="F32" s="781"/>
      <c r="G32" s="75">
        <f>VLOOKUP($B32,Aop!$A$2:$M$453,4,1)</f>
        <v>909</v>
      </c>
      <c r="H32" s="157"/>
      <c r="I32" s="157"/>
      <c r="J32" s="157"/>
      <c r="K32" s="157"/>
      <c r="L32" s="157"/>
      <c r="M32" s="157"/>
      <c r="N32" s="157"/>
      <c r="O32" s="154">
        <f t="shared" si="0"/>
        <v>0</v>
      </c>
      <c r="P32" s="157"/>
      <c r="Q32" s="469">
        <f t="shared" si="1"/>
        <v>0</v>
      </c>
    </row>
    <row r="33" spans="2:19" ht="15.2" customHeight="1">
      <c r="B33" s="47">
        <v>432</v>
      </c>
      <c r="C33" s="257"/>
      <c r="D33" s="782" t="str">
        <f>VLOOKUP($B33,Aop!$A$2:$M$453,6,1)</f>
        <v xml:space="preserve">    10. Objavljene dividende </v>
      </c>
      <c r="E33" s="783"/>
      <c r="F33" s="784"/>
      <c r="G33" s="59">
        <f>VLOOKUP($B33,Aop!$A$2:$M$453,4,1)</f>
        <v>910</v>
      </c>
      <c r="H33" s="155"/>
      <c r="I33" s="155"/>
      <c r="J33" s="155"/>
      <c r="K33" s="155"/>
      <c r="L33" s="155"/>
      <c r="M33" s="155"/>
      <c r="N33" s="155"/>
      <c r="O33" s="153">
        <f t="shared" si="0"/>
        <v>0</v>
      </c>
      <c r="P33" s="155"/>
      <c r="Q33" s="470">
        <f t="shared" si="1"/>
        <v>0</v>
      </c>
    </row>
    <row r="34" spans="2:19" ht="15.2" customHeight="1">
      <c r="B34" s="47">
        <v>433</v>
      </c>
      <c r="C34" s="257"/>
      <c r="D34" s="779" t="str">
        <f>VLOOKUP($B34,Aop!$A$2:$M$453,6,1)</f>
        <v xml:space="preserve">    11. Drugi oblici raspodjele dobiti i pokriće gubitka</v>
      </c>
      <c r="E34" s="780"/>
      <c r="F34" s="781"/>
      <c r="G34" s="75">
        <f>VLOOKUP($B34,Aop!$A$2:$M$453,4,1)</f>
        <v>911</v>
      </c>
      <c r="H34" s="157"/>
      <c r="I34" s="157"/>
      <c r="J34" s="157"/>
      <c r="K34" s="157"/>
      <c r="L34" s="157"/>
      <c r="M34" s="157"/>
      <c r="N34" s="157"/>
      <c r="O34" s="64">
        <f t="shared" si="0"/>
        <v>0</v>
      </c>
      <c r="P34" s="157"/>
      <c r="Q34" s="467">
        <f t="shared" si="1"/>
        <v>0</v>
      </c>
    </row>
    <row r="35" spans="2:19" ht="15.2" customHeight="1">
      <c r="B35" s="47">
        <v>434</v>
      </c>
      <c r="C35" s="257"/>
      <c r="D35" s="782" t="str">
        <f>VLOOKUP($B35,Aop!$A$2:$M$453,6,1)</f>
        <v xml:space="preserve">    12. Ostale promjene</v>
      </c>
      <c r="E35" s="783"/>
      <c r="F35" s="784"/>
      <c r="G35" s="59">
        <f>VLOOKUP($B35,Aop!$A$2:$M$453,4,1)</f>
        <v>912</v>
      </c>
      <c r="H35" s="155"/>
      <c r="I35" s="155"/>
      <c r="J35" s="155"/>
      <c r="K35" s="155"/>
      <c r="L35" s="155"/>
      <c r="M35" s="155"/>
      <c r="N35" s="155"/>
      <c r="O35" s="153">
        <f t="shared" si="0"/>
        <v>0</v>
      </c>
      <c r="P35" s="155"/>
      <c r="Q35" s="470">
        <f t="shared" si="1"/>
        <v>0</v>
      </c>
    </row>
    <row r="36" spans="2:19" ht="9" customHeight="1">
      <c r="B36" s="47">
        <v>435</v>
      </c>
      <c r="C36" s="257"/>
      <c r="D36" s="779" t="str">
        <f>VLOOKUP($B36,Aop!$A$2:$M$453,6,1)</f>
        <v/>
      </c>
      <c r="E36" s="780"/>
      <c r="F36" s="781"/>
      <c r="G36" s="75">
        <f>VLOOKUP($B36,Aop!$A$2:$M$453,4,1)</f>
        <v>0</v>
      </c>
      <c r="H36" s="64"/>
      <c r="I36" s="64"/>
      <c r="J36" s="64"/>
      <c r="K36" s="64"/>
      <c r="L36" s="64"/>
      <c r="M36" s="64"/>
      <c r="N36" s="64"/>
      <c r="O36" s="64"/>
      <c r="P36" s="64"/>
      <c r="Q36" s="467"/>
      <c r="S36" s="133" t="s">
        <v>313</v>
      </c>
    </row>
    <row r="37" spans="2:19" ht="25.5">
      <c r="B37" s="47">
        <v>436</v>
      </c>
      <c r="C37" s="257"/>
      <c r="D37" s="776" t="str">
        <f>VLOOKUP($B37,Aop!$A$2:$M$453,6,1)</f>
        <v xml:space="preserve">  13. Stanje na dan 31.12.2024. god. / 01.01.2025. god.    (904 ± 907 ± 908 - 909 - 910 ± 911 ± 912)</v>
      </c>
      <c r="E37" s="777"/>
      <c r="F37" s="778"/>
      <c r="G37" s="178">
        <f>VLOOKUP($B37,Aop!$A$2:$M$453,4,1)</f>
        <v>913</v>
      </c>
      <c r="H37" s="60">
        <f>SUM(H25, H29, -H32, -H33, H31, H34:H35)</f>
        <v>87859</v>
      </c>
      <c r="I37" s="60">
        <f t="shared" ref="I37:Q37" si="4">SUM(I25, I29, -I32, -I33, I31, I34:I35)</f>
        <v>0</v>
      </c>
      <c r="J37" s="60">
        <f t="shared" si="4"/>
        <v>528</v>
      </c>
      <c r="K37" s="60">
        <f t="shared" si="4"/>
        <v>0</v>
      </c>
      <c r="L37" s="60">
        <f t="shared" si="4"/>
        <v>0</v>
      </c>
      <c r="M37" s="60">
        <f t="shared" si="4"/>
        <v>0</v>
      </c>
      <c r="N37" s="60">
        <f t="shared" si="4"/>
        <v>-250206</v>
      </c>
      <c r="O37" s="60">
        <f t="shared" si="4"/>
        <v>-161819</v>
      </c>
      <c r="P37" s="60">
        <f t="shared" si="4"/>
        <v>0</v>
      </c>
      <c r="Q37" s="468">
        <f t="shared" si="4"/>
        <v>-161819</v>
      </c>
      <c r="S37" s="133" t="s">
        <v>313</v>
      </c>
    </row>
    <row r="38" spans="2:19" ht="9" customHeight="1">
      <c r="B38" s="47">
        <v>437</v>
      </c>
      <c r="C38" s="257"/>
      <c r="D38" s="779" t="str">
        <f>VLOOKUP($B38,Aop!$A$2:$M$453,6,1)</f>
        <v/>
      </c>
      <c r="E38" s="780"/>
      <c r="F38" s="781"/>
      <c r="G38" s="75">
        <f>VLOOKUP($B38,Aop!$A$2:$M$453,4,1)</f>
        <v>0</v>
      </c>
      <c r="H38" s="64"/>
      <c r="I38" s="64"/>
      <c r="J38" s="64"/>
      <c r="K38" s="64"/>
      <c r="L38" s="64"/>
      <c r="M38" s="64"/>
      <c r="N38" s="64"/>
      <c r="O38" s="64"/>
      <c r="P38" s="64"/>
      <c r="Q38" s="467"/>
    </row>
    <row r="39" spans="2:19" ht="15.75" customHeight="1">
      <c r="B39" s="47">
        <v>438</v>
      </c>
      <c r="C39" s="257"/>
      <c r="D39" s="782" t="str">
        <f>VLOOKUP($B39,Aop!$A$2:$M$453,6,1)</f>
        <v xml:space="preserve">    14. Efekti promjena u računovodstvenim politikama</v>
      </c>
      <c r="E39" s="783"/>
      <c r="F39" s="784"/>
      <c r="G39" s="59">
        <f>VLOOKUP($B39,Aop!$A$2:$M$453,4,1)</f>
        <v>914</v>
      </c>
      <c r="H39" s="155"/>
      <c r="I39" s="155"/>
      <c r="J39" s="155"/>
      <c r="K39" s="155"/>
      <c r="L39" s="155"/>
      <c r="M39" s="155"/>
      <c r="N39" s="155"/>
      <c r="O39" s="153">
        <f t="shared" si="0"/>
        <v>0</v>
      </c>
      <c r="P39" s="155"/>
      <c r="Q39" s="470">
        <f t="shared" si="1"/>
        <v>0</v>
      </c>
    </row>
    <row r="40" spans="2:19" ht="15.75" customHeight="1">
      <c r="B40" s="47">
        <v>439</v>
      </c>
      <c r="C40" s="257"/>
      <c r="D40" s="779" t="str">
        <f>VLOOKUP($B40,Aop!$A$2:$M$453,6,1)</f>
        <v xml:space="preserve">    15. Efekti ispravki grešaka</v>
      </c>
      <c r="E40" s="780"/>
      <c r="F40" s="781"/>
      <c r="G40" s="75">
        <f>VLOOKUP($B40,Aop!$A$2:$M$453,4,1)</f>
        <v>915</v>
      </c>
      <c r="H40" s="157"/>
      <c r="I40" s="157"/>
      <c r="J40" s="157"/>
      <c r="K40" s="157"/>
      <c r="L40" s="157"/>
      <c r="M40" s="157"/>
      <c r="N40" s="157"/>
      <c r="O40" s="64">
        <f t="shared" si="0"/>
        <v>0</v>
      </c>
      <c r="P40" s="157"/>
      <c r="Q40" s="467">
        <f t="shared" si="1"/>
        <v>0</v>
      </c>
    </row>
    <row r="41" spans="2:19" ht="15.75" customHeight="1">
      <c r="B41" s="47">
        <v>440</v>
      </c>
      <c r="C41" s="257"/>
      <c r="D41" s="776" t="str">
        <f>VLOOKUP($B41,Aop!$A$2:$M$453,6,1)</f>
        <v xml:space="preserve">  16. Ponovo iskazano stanje na dan 01.01.2025. godine (913 ± 914 ± 915)</v>
      </c>
      <c r="E41" s="777"/>
      <c r="F41" s="778"/>
      <c r="G41" s="178">
        <f>VLOOKUP($B41,Aop!$A$2:$M$453,4,1)</f>
        <v>916</v>
      </c>
      <c r="H41" s="60">
        <f>SUM(H37:H40)</f>
        <v>87859</v>
      </c>
      <c r="I41" s="60">
        <f t="shared" ref="I41:Q41" si="5">SUM(I37:I40)</f>
        <v>0</v>
      </c>
      <c r="J41" s="60">
        <f t="shared" si="5"/>
        <v>528</v>
      </c>
      <c r="K41" s="60">
        <f t="shared" si="5"/>
        <v>0</v>
      </c>
      <c r="L41" s="60">
        <f t="shared" si="5"/>
        <v>0</v>
      </c>
      <c r="M41" s="60">
        <f t="shared" si="5"/>
        <v>0</v>
      </c>
      <c r="N41" s="60">
        <f t="shared" si="5"/>
        <v>-250206</v>
      </c>
      <c r="O41" s="60">
        <f t="shared" si="5"/>
        <v>-161819</v>
      </c>
      <c r="P41" s="60">
        <f t="shared" si="5"/>
        <v>0</v>
      </c>
      <c r="Q41" s="468">
        <f t="shared" si="5"/>
        <v>-161819</v>
      </c>
    </row>
    <row r="42" spans="2:19" ht="6.75" customHeight="1">
      <c r="B42" s="47">
        <v>441</v>
      </c>
      <c r="C42" s="257"/>
      <c r="D42" s="779" t="str">
        <f>VLOOKUP($B42,Aop!$A$2:$M$453,6,1)</f>
        <v/>
      </c>
      <c r="E42" s="780"/>
      <c r="F42" s="781"/>
      <c r="G42" s="75">
        <f>VLOOKUP($B42,Aop!$A$2:$M$453,4,1)</f>
        <v>0</v>
      </c>
      <c r="H42" s="64"/>
      <c r="I42" s="64"/>
      <c r="J42" s="64"/>
      <c r="K42" s="64"/>
      <c r="L42" s="64"/>
      <c r="M42" s="64"/>
      <c r="N42" s="64"/>
      <c r="O42" s="64"/>
      <c r="P42" s="64"/>
      <c r="Q42" s="467"/>
    </row>
    <row r="43" spans="2:19" ht="15.2" customHeight="1">
      <c r="B43" s="47">
        <v>442</v>
      </c>
      <c r="C43" s="257"/>
      <c r="D43" s="782" t="str">
        <f>VLOOKUP($B43,Aop!$A$2:$M$453,6,1)</f>
        <v xml:space="preserve">    17. Dobit/(gubitak) za godinu</v>
      </c>
      <c r="E43" s="783"/>
      <c r="F43" s="784"/>
      <c r="G43" s="59">
        <f>VLOOKUP($B43,Aop!$A$2:$M$453,4,1)</f>
        <v>917</v>
      </c>
      <c r="H43" s="155"/>
      <c r="I43" s="155"/>
      <c r="J43" s="155"/>
      <c r="K43" s="155"/>
      <c r="L43" s="155"/>
      <c r="M43" s="155"/>
      <c r="N43" s="155">
        <v>252624</v>
      </c>
      <c r="O43" s="153">
        <f t="shared" si="0"/>
        <v>252624</v>
      </c>
      <c r="P43" s="155"/>
      <c r="Q43" s="470">
        <f t="shared" si="1"/>
        <v>252624</v>
      </c>
    </row>
    <row r="44" spans="2:19" ht="15.2" customHeight="1">
      <c r="B44" s="47">
        <v>443</v>
      </c>
      <c r="C44" s="257"/>
      <c r="D44" s="779" t="str">
        <f>VLOOKUP($B44,Aop!$A$2:$M$453,6,1)</f>
        <v xml:space="preserve">    18. Ostali ukupni rezultat za godinu</v>
      </c>
      <c r="E44" s="780"/>
      <c r="F44" s="781"/>
      <c r="G44" s="75">
        <f>VLOOKUP($B44,Aop!$A$2:$M$453,4,1)</f>
        <v>918</v>
      </c>
      <c r="H44" s="157"/>
      <c r="I44" s="157"/>
      <c r="J44" s="157"/>
      <c r="K44" s="157"/>
      <c r="L44" s="157"/>
      <c r="M44" s="157"/>
      <c r="N44" s="157"/>
      <c r="O44" s="64">
        <f t="shared" si="0"/>
        <v>0</v>
      </c>
      <c r="P44" s="157"/>
      <c r="Q44" s="467">
        <f t="shared" si="1"/>
        <v>0</v>
      </c>
    </row>
    <row r="45" spans="2:19" ht="15.2" customHeight="1">
      <c r="B45" s="47">
        <v>444</v>
      </c>
      <c r="C45" s="257"/>
      <c r="D45" s="776" t="str">
        <f>VLOOKUP($B45,Aop!$A$2:$M$453,6,1)</f>
        <v xml:space="preserve">  19. Ukupna dobit/(gubitak) (± 917 ± 918)</v>
      </c>
      <c r="E45" s="777"/>
      <c r="F45" s="778"/>
      <c r="G45" s="178">
        <f>VLOOKUP($B45,Aop!$A$2:$M$453,4,1)</f>
        <v>919</v>
      </c>
      <c r="H45" s="60">
        <f>SUM(H43:H44)</f>
        <v>0</v>
      </c>
      <c r="I45" s="60">
        <f t="shared" ref="I45:Q45" si="6">SUM(I43:I44)</f>
        <v>0</v>
      </c>
      <c r="J45" s="60">
        <f t="shared" si="6"/>
        <v>0</v>
      </c>
      <c r="K45" s="60">
        <f>SUM(K43:K44)</f>
        <v>0</v>
      </c>
      <c r="L45" s="60">
        <f t="shared" si="6"/>
        <v>0</v>
      </c>
      <c r="M45" s="60">
        <f t="shared" si="6"/>
        <v>0</v>
      </c>
      <c r="N45" s="60">
        <f t="shared" si="6"/>
        <v>252624</v>
      </c>
      <c r="O45" s="60">
        <f t="shared" si="6"/>
        <v>252624</v>
      </c>
      <c r="P45" s="60">
        <f t="shared" si="6"/>
        <v>0</v>
      </c>
      <c r="Q45" s="468">
        <f t="shared" si="6"/>
        <v>252624</v>
      </c>
    </row>
    <row r="46" spans="2:19" ht="4.9000000000000004" customHeight="1">
      <c r="B46" s="47">
        <v>445</v>
      </c>
      <c r="C46" s="257"/>
      <c r="D46" s="779" t="str">
        <f>VLOOKUP($B46,Aop!$A$2:$M$453,6,1)</f>
        <v/>
      </c>
      <c r="E46" s="780"/>
      <c r="F46" s="781"/>
      <c r="G46" s="75">
        <f>VLOOKUP($B46,Aop!$A$2:$M$453,4,1)</f>
        <v>0</v>
      </c>
      <c r="H46" s="64"/>
      <c r="I46" s="64"/>
      <c r="J46" s="64"/>
      <c r="K46" s="64"/>
      <c r="L46" s="64"/>
      <c r="M46" s="64"/>
      <c r="N46" s="64"/>
      <c r="O46" s="64"/>
      <c r="P46" s="64"/>
      <c r="Q46" s="467"/>
    </row>
    <row r="47" spans="2:19" ht="15.75" customHeight="1">
      <c r="B47" s="47">
        <v>446</v>
      </c>
      <c r="C47" s="257"/>
      <c r="D47" s="782" t="str">
        <f>VLOOKUP($B47,Aop!$A$2:$M$453,6,1)</f>
        <v xml:space="preserve">    20. Emisija akcijskog kapitala i drugi oblici povećanja kapitala</v>
      </c>
      <c r="E47" s="783"/>
      <c r="F47" s="784"/>
      <c r="G47" s="59">
        <f>VLOOKUP($B47,Aop!$A$2:$M$453,4,1)</f>
        <v>920</v>
      </c>
      <c r="H47" s="155"/>
      <c r="I47" s="155"/>
      <c r="J47" s="155"/>
      <c r="K47" s="155"/>
      <c r="L47" s="155"/>
      <c r="M47" s="155"/>
      <c r="N47" s="155"/>
      <c r="O47" s="153">
        <f t="shared" si="0"/>
        <v>0</v>
      </c>
      <c r="P47" s="155"/>
      <c r="Q47" s="470">
        <f t="shared" si="1"/>
        <v>0</v>
      </c>
    </row>
    <row r="48" spans="2:19" ht="18.75" customHeight="1">
      <c r="B48" s="47">
        <v>447</v>
      </c>
      <c r="C48" s="257"/>
      <c r="D48" s="779" t="str">
        <f>VLOOKUP($B48,Aop!$A$2:$M$453,6,1)</f>
        <v xml:space="preserve">    21. Sticanje sopstvenih akcija i drugi oblici smanjenja kapitala</v>
      </c>
      <c r="E48" s="780"/>
      <c r="F48" s="781"/>
      <c r="G48" s="75">
        <f>VLOOKUP($B48,Aop!$A$2:$M$453,4,1)</f>
        <v>921</v>
      </c>
      <c r="H48" s="157"/>
      <c r="I48" s="157"/>
      <c r="J48" s="157"/>
      <c r="K48" s="157"/>
      <c r="L48" s="157"/>
      <c r="M48" s="157"/>
      <c r="N48" s="157"/>
      <c r="O48" s="64">
        <f t="shared" si="0"/>
        <v>0</v>
      </c>
      <c r="P48" s="157"/>
      <c r="Q48" s="467">
        <f t="shared" si="1"/>
        <v>0</v>
      </c>
    </row>
    <row r="49" spans="2:17" ht="15.2" customHeight="1">
      <c r="B49" s="47">
        <v>448</v>
      </c>
      <c r="C49" s="257"/>
      <c r="D49" s="782" t="str">
        <f>VLOOKUP($B49,Aop!$A$2:$M$453,6,1)</f>
        <v xml:space="preserve">    22. Objavljene dividende </v>
      </c>
      <c r="E49" s="783"/>
      <c r="F49" s="784"/>
      <c r="G49" s="59">
        <f>VLOOKUP($B49,Aop!$A$2:$M$453,4,1)</f>
        <v>922</v>
      </c>
      <c r="H49" s="155"/>
      <c r="I49" s="155"/>
      <c r="J49" s="155"/>
      <c r="K49" s="155"/>
      <c r="L49" s="155"/>
      <c r="M49" s="155"/>
      <c r="N49" s="155"/>
      <c r="O49" s="153">
        <f t="shared" si="0"/>
        <v>0</v>
      </c>
      <c r="P49" s="155"/>
      <c r="Q49" s="470">
        <f t="shared" si="1"/>
        <v>0</v>
      </c>
    </row>
    <row r="50" spans="2:17" ht="15.2" customHeight="1">
      <c r="B50" s="47">
        <v>449</v>
      </c>
      <c r="C50" s="257"/>
      <c r="D50" s="779" t="str">
        <f>VLOOKUP($B50,Aop!$A$2:$M$453,6,1)</f>
        <v xml:space="preserve">    23. Drugi oblici raspodjele dobiti i pokriće gubitka</v>
      </c>
      <c r="E50" s="780"/>
      <c r="F50" s="781"/>
      <c r="G50" s="75">
        <f>VLOOKUP($B50,Aop!$A$2:$M$453,4,1)</f>
        <v>923</v>
      </c>
      <c r="H50" s="157"/>
      <c r="I50" s="157"/>
      <c r="J50" s="157"/>
      <c r="K50" s="157"/>
      <c r="L50" s="157"/>
      <c r="M50" s="157"/>
      <c r="N50" s="157"/>
      <c r="O50" s="64">
        <f t="shared" si="0"/>
        <v>0</v>
      </c>
      <c r="P50" s="157"/>
      <c r="Q50" s="467">
        <f t="shared" si="1"/>
        <v>0</v>
      </c>
    </row>
    <row r="51" spans="2:17" ht="15.2" customHeight="1">
      <c r="B51" s="47">
        <v>450</v>
      </c>
      <c r="C51" s="257"/>
      <c r="D51" s="782" t="str">
        <f>VLOOKUP($B51,Aop!$A$2:$M$453,6,1)</f>
        <v xml:space="preserve">    24. Ostale promjene</v>
      </c>
      <c r="E51" s="783"/>
      <c r="F51" s="784"/>
      <c r="G51" s="59">
        <f>VLOOKUP($B51,Aop!$A$2:$M$453,4,1)</f>
        <v>924</v>
      </c>
      <c r="H51" s="155"/>
      <c r="I51" s="155"/>
      <c r="J51" s="155"/>
      <c r="K51" s="155"/>
      <c r="L51" s="155"/>
      <c r="M51" s="155"/>
      <c r="N51" s="155"/>
      <c r="O51" s="153">
        <f t="shared" si="0"/>
        <v>0</v>
      </c>
      <c r="P51" s="155"/>
      <c r="Q51" s="470">
        <f t="shared" si="1"/>
        <v>0</v>
      </c>
    </row>
    <row r="52" spans="2:17" ht="7.5" customHeight="1">
      <c r="B52" s="47">
        <v>451</v>
      </c>
      <c r="C52" s="257"/>
      <c r="D52" s="779" t="str">
        <f>VLOOKUP($B52,Aop!$A$2:$M$453,6,1)</f>
        <v/>
      </c>
      <c r="E52" s="780"/>
      <c r="F52" s="781"/>
      <c r="G52" s="75">
        <f>VLOOKUP($B52,Aop!$A$2:$M$453,4,1)</f>
        <v>0</v>
      </c>
      <c r="H52" s="64"/>
      <c r="I52" s="64"/>
      <c r="J52" s="64"/>
      <c r="K52" s="64"/>
      <c r="L52" s="64"/>
      <c r="M52" s="64"/>
      <c r="N52" s="64"/>
      <c r="O52" s="64"/>
      <c r="P52" s="64"/>
      <c r="Q52" s="467"/>
    </row>
    <row r="53" spans="2:17" ht="22.9" customHeight="1">
      <c r="B53" s="47">
        <v>452</v>
      </c>
      <c r="C53" s="257"/>
      <c r="D53" s="792" t="str">
        <f>VLOOKUP($B53,Aop!$A$2:$M$453,6,1)</f>
        <v>25. Stanje na dan 30.06.2025. godine (916 ± 919 ± 920  - 921 - 922± 923 ± 924)</v>
      </c>
      <c r="E53" s="793"/>
      <c r="F53" s="794"/>
      <c r="G53" s="505">
        <f>VLOOKUP($B53,Aop!$A$2:$M$453,4,1)</f>
        <v>925</v>
      </c>
      <c r="H53" s="471">
        <f>SUM(H41, H45,H47,-H48,-H49,H50:H51)</f>
        <v>87859</v>
      </c>
      <c r="I53" s="471">
        <f t="shared" ref="I53:Q53" si="7">SUM(I41, I45,I47,-I48,-I49,I50:I51)</f>
        <v>0</v>
      </c>
      <c r="J53" s="471">
        <f t="shared" si="7"/>
        <v>528</v>
      </c>
      <c r="K53" s="471">
        <f t="shared" si="7"/>
        <v>0</v>
      </c>
      <c r="L53" s="471">
        <f t="shared" si="7"/>
        <v>0</v>
      </c>
      <c r="M53" s="471">
        <f t="shared" si="7"/>
        <v>0</v>
      </c>
      <c r="N53" s="471">
        <f t="shared" si="7"/>
        <v>2418</v>
      </c>
      <c r="O53" s="415">
        <f>SUM(O41, O45,O47,-O48,-O49,O50:O51)</f>
        <v>90805</v>
      </c>
      <c r="P53" s="471">
        <f t="shared" si="7"/>
        <v>0</v>
      </c>
      <c r="Q53" s="472">
        <f t="shared" si="7"/>
        <v>90805</v>
      </c>
    </row>
    <row r="54" spans="2:17">
      <c r="C54" s="257"/>
      <c r="D54" s="40"/>
      <c r="E54" s="40"/>
      <c r="F54" s="40"/>
      <c r="G54" s="40"/>
      <c r="H54" s="40"/>
      <c r="I54" s="233"/>
      <c r="J54" s="37"/>
      <c r="K54" s="37"/>
      <c r="L54" s="37"/>
      <c r="M54" s="37"/>
    </row>
    <row r="55" spans="2:17">
      <c r="D55" s="180" t="str">
        <f>Podnozje_U</f>
        <v>U:</v>
      </c>
      <c r="E55" s="419" t="str">
        <f>Podatak_U</f>
        <v>Bileći</v>
      </c>
      <c r="H55" s="746" t="str">
        <f>Podnozje_Lice_sa_licencom</f>
        <v>Lice sa licencom:</v>
      </c>
      <c r="I55" s="746"/>
      <c r="K55" s="8" t="str">
        <f>Podnozje_Broj_licence</f>
        <v>Broj licence:</v>
      </c>
      <c r="L55" s="37"/>
      <c r="M55" s="37" t="str">
        <f>Podnozje_MP</f>
        <v>(M.P.)</v>
      </c>
      <c r="O55" s="746" t="str">
        <f>Podnozje_Direktor</f>
        <v>Lice ovlašćeno za zastupanje:</v>
      </c>
      <c r="P55" s="746"/>
    </row>
    <row r="56" spans="2:17">
      <c r="C56" s="28"/>
      <c r="G56"/>
      <c r="H56" s="799" t="str">
        <f>Podatak_Lice_sa_licencom</f>
        <v>Dragana Popara</v>
      </c>
      <c r="I56" s="799"/>
      <c r="O56" s="747" t="str">
        <f>Podatak_Direktor</f>
        <v>Božo Delić</v>
      </c>
      <c r="P56" s="747"/>
    </row>
    <row r="57" spans="2:17">
      <c r="D57" s="180" t="str">
        <f>Podnozje_Dana</f>
        <v>Dana:</v>
      </c>
      <c r="E57" s="418" t="str">
        <f>Podatak_Dana</f>
        <v>31.07.2025.</v>
      </c>
      <c r="F57" s="38"/>
      <c r="H57" s="798"/>
      <c r="I57" s="798"/>
      <c r="J57" s="9"/>
      <c r="K57" s="9" t="str">
        <f>Podatak_Broj_Licence</f>
        <v>SR 1639/25</v>
      </c>
      <c r="L57" s="9"/>
      <c r="M57" s="9"/>
      <c r="O57" s="704"/>
      <c r="P57" s="704"/>
      <c r="Q57" s="9"/>
    </row>
    <row r="58" spans="2:17">
      <c r="K58"/>
      <c r="L58"/>
      <c r="M58"/>
      <c r="N58"/>
      <c r="O58"/>
      <c r="P58"/>
      <c r="Q58"/>
    </row>
    <row r="59" spans="2:17"/>
    <row r="60" spans="2:17"/>
    <row r="61" spans="2:17"/>
    <row r="62" spans="2:17"/>
    <row r="63" spans="2:17"/>
    <row r="64" spans="2:17"/>
    <row r="65"/>
  </sheetData>
  <sheetProtection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10;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10;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sheetPr codeName="Sheet11">
    <tabColor theme="1"/>
  </sheetPr>
  <dimension ref="B1:AD33"/>
  <sheetViews>
    <sheetView showGridLines="0" workbookViewId="0">
      <selection activeCell="H2" sqref="H2:K6"/>
    </sheetView>
  </sheetViews>
  <sheetFormatPr defaultRowHeight="12.75"/>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c r="B1" s="57">
        <v>1</v>
      </c>
      <c r="C1" t="str">
        <f>VLOOKUP(ID_Jezik, $B$3:$C$6, 2, 1)</f>
        <v>Srpski - latinica</v>
      </c>
      <c r="E1" s="149">
        <v>1</v>
      </c>
      <c r="F1" t="str">
        <f>VLOOKUP(E1, $E$3:$F$6, 2, 1)</f>
        <v/>
      </c>
      <c r="H1" s="5">
        <f>DATE( Godina, Period_Kraj_Mjesec, Period_Kraj_Dan)</f>
        <v>45838</v>
      </c>
      <c r="I1">
        <f>VLOOKUP(Datum_Broj, $H$3:$L$6, 2, 0)</f>
        <v>2</v>
      </c>
      <c r="J1">
        <f>VLOOKUP(ID_Izvjestaj,$I$3:$L$6,3,1)</f>
        <v>6</v>
      </c>
      <c r="U1">
        <f>Period_Kraj_Godina</f>
        <v>2025</v>
      </c>
      <c r="V1">
        <f>Period_Kraj_Mjesec</f>
        <v>6</v>
      </c>
      <c r="W1">
        <f>Period_Kraj_Dan</f>
        <v>30</v>
      </c>
      <c r="X1" s="6" t="str">
        <f>TEXT( DATE( Godina, Period_Kraj_Mjesec, Period_Kraj_Dan), "dd.mm.yyyy.")</f>
        <v>30.06.2025.</v>
      </c>
      <c r="Y1" s="6" t="str">
        <f>TEXT( DATE( Godina, Period_Kraj_Mjesec, Period_Kraj_Dan), "dd.mm.yyyy")</f>
        <v>30.06.2025</v>
      </c>
    </row>
    <row r="2" spans="2:30" ht="1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45838</v>
      </c>
      <c r="X3" t="str">
        <f>TEXT(W3, "dd.mm.yyyy.")</f>
        <v>30.06.2025.</v>
      </c>
      <c r="Y3" t="str">
        <f>TEXT(W3, "dd.mm.yyyy")</f>
        <v>30.06.2025</v>
      </c>
      <c r="AA3" t="str">
        <f>CONCATENATE(T_ApifKolone[[#This Row],[Bilans]],T_ApifKolone[[#This Row],[ApifKolona]])</f>
        <v>BSaNapomena</v>
      </c>
      <c r="AB3" t="s">
        <v>771</v>
      </c>
      <c r="AC3" t="s">
        <v>971</v>
      </c>
      <c r="AD3">
        <v>2</v>
      </c>
    </row>
    <row r="4" spans="2:30">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c r="B10" t="s">
        <v>393</v>
      </c>
      <c r="C10" t="b">
        <f>Osnovni_podaci!$Y$76</f>
        <v>0</v>
      </c>
      <c r="AA10" s="258" t="str">
        <f>CONCATENATE(T_ApifKolone[[#This Row],[Bilans]],T_ApifKolone[[#This Row],[ApifKolona]])</f>
        <v>BSpKolona2</v>
      </c>
      <c r="AB10" s="258" t="s">
        <v>770</v>
      </c>
      <c r="AC10" s="258" t="s">
        <v>763</v>
      </c>
      <c r="AD10" s="567">
        <v>6</v>
      </c>
    </row>
    <row r="11" spans="2:30">
      <c r="AA11" t="str">
        <f>CONCATENATE(T_ApifKolone[[#This Row],[Bilans]],T_ApifKolone[[#This Row],[ApifKolona]])</f>
        <v>BUaNapomena</v>
      </c>
      <c r="AB11" t="s">
        <v>255</v>
      </c>
      <c r="AC11" t="s">
        <v>971</v>
      </c>
      <c r="AD11" s="105">
        <v>2</v>
      </c>
    </row>
    <row r="12" spans="2:30">
      <c r="AA12" t="str">
        <f>CONCATENATE(T_ApifKolone[[#This Row],[Bilans]],T_ApifKolone[[#This Row],[ApifKolona]])</f>
        <v>BUaKolona1</v>
      </c>
      <c r="AB12" t="s">
        <v>255</v>
      </c>
      <c r="AC12" t="s">
        <v>762</v>
      </c>
      <c r="AD12" s="105">
        <v>3</v>
      </c>
    </row>
    <row r="13" spans="2:30">
      <c r="AA13" t="str">
        <f>CONCATENATE(T_ApifKolone[[#This Row],[Bilans]],T_ApifKolone[[#This Row],[ApifKolona]])</f>
        <v>BUaKolona2</v>
      </c>
      <c r="AB13" t="s">
        <v>255</v>
      </c>
      <c r="AC13" t="s">
        <v>763</v>
      </c>
      <c r="AD13" s="105">
        <v>4</v>
      </c>
    </row>
    <row r="14" spans="2:30">
      <c r="AA14" t="str">
        <f>CONCATENATE(T_ApifKolone[[#This Row],[Bilans]],T_ApifKolone[[#This Row],[ApifKolona]])</f>
        <v>BUbNapomena</v>
      </c>
      <c r="AB14" t="s">
        <v>264</v>
      </c>
      <c r="AC14" t="s">
        <v>971</v>
      </c>
      <c r="AD14" s="105">
        <v>2</v>
      </c>
    </row>
    <row r="15" spans="2:30">
      <c r="AA15" t="str">
        <f>CONCATENATE(T_ApifKolone[[#This Row],[Bilans]],T_ApifKolone[[#This Row],[ApifKolona]])</f>
        <v>BUbKolona1</v>
      </c>
      <c r="AB15" t="s">
        <v>264</v>
      </c>
      <c r="AC15" t="s">
        <v>762</v>
      </c>
      <c r="AD15">
        <v>3</v>
      </c>
    </row>
    <row r="16" spans="2:30">
      <c r="AA16" s="258" t="str">
        <f>CONCATENATE(T_ApifKolone[[#This Row],[Bilans]],T_ApifKolone[[#This Row],[ApifKolona]])</f>
        <v>BUbKolona2</v>
      </c>
      <c r="AB16" s="258" t="s">
        <v>264</v>
      </c>
      <c r="AC16" s="258" t="s">
        <v>763</v>
      </c>
      <c r="AD16" s="258">
        <v>4</v>
      </c>
    </row>
    <row r="17" spans="24:30">
      <c r="X17" s="113"/>
      <c r="AA17" t="str">
        <f>CONCATENATE(T_ApifKolone[[#This Row],[Bilans]],T_ApifKolone[[#This Row],[ApifKolona]])</f>
        <v>BTGNapomena</v>
      </c>
      <c r="AB17" t="s">
        <v>133</v>
      </c>
      <c r="AC17" t="s">
        <v>971</v>
      </c>
      <c r="AD17">
        <v>2</v>
      </c>
    </row>
    <row r="18" spans="24:30">
      <c r="X18" s="113"/>
      <c r="AA18" t="str">
        <f>CONCATENATE(T_ApifKolone[[#This Row],[Bilans]],T_ApifKolone[[#This Row],[ApifKolona]])</f>
        <v>BTGKolona1</v>
      </c>
      <c r="AB18" t="s">
        <v>133</v>
      </c>
      <c r="AC18" t="s">
        <v>762</v>
      </c>
      <c r="AD18">
        <v>3</v>
      </c>
    </row>
    <row r="19" spans="24:30">
      <c r="X19" s="113"/>
      <c r="AA19" s="258" t="str">
        <f>CONCATENATE(T_ApifKolone[[#This Row],[Bilans]],T_ApifKolone[[#This Row],[ApifKolona]])</f>
        <v>BTGKolona2</v>
      </c>
      <c r="AB19" s="258" t="s">
        <v>133</v>
      </c>
      <c r="AC19" s="258" t="s">
        <v>763</v>
      </c>
      <c r="AD19" s="258">
        <v>4</v>
      </c>
    </row>
    <row r="20" spans="24:30">
      <c r="X20" s="113"/>
      <c r="AA20" t="str">
        <f>CONCATENATE(T_ApifKolone[[#This Row],[Bilans]],T_ApifKolone[[#This Row],[ApifKolona]])</f>
        <v>AneksKolona1</v>
      </c>
      <c r="AB20" t="s">
        <v>134</v>
      </c>
      <c r="AC20" t="s">
        <v>762</v>
      </c>
      <c r="AD20">
        <v>2</v>
      </c>
    </row>
    <row r="21" spans="24:30">
      <c r="AA21" s="258" t="str">
        <f>CONCATENATE(T_ApifKolone[[#This Row],[Bilans]],T_ApifKolone[[#This Row],[ApifKolona]])</f>
        <v>AneksKolona2</v>
      </c>
      <c r="AB21" s="223" t="s">
        <v>134</v>
      </c>
      <c r="AC21" s="223" t="s">
        <v>763</v>
      </c>
      <c r="AD21" s="223">
        <v>3</v>
      </c>
    </row>
    <row r="22" spans="24:30">
      <c r="AA22" t="str">
        <f>CONCATENATE(T_ApifKolone[[#This Row],[Bilans]],T_ApifKolone[[#This Row],[ApifKolona]])</f>
        <v>BPKKolona1</v>
      </c>
      <c r="AB22" t="s">
        <v>135</v>
      </c>
      <c r="AC22" t="s">
        <v>762</v>
      </c>
      <c r="AD22">
        <v>2</v>
      </c>
    </row>
    <row r="23" spans="24:30">
      <c r="AA23" t="str">
        <f>CONCATENATE(T_ApifKolone[[#This Row],[Bilans]],T_ApifKolone[[#This Row],[ApifKolona]])</f>
        <v>BPKKolona2</v>
      </c>
      <c r="AB23" t="s">
        <v>135</v>
      </c>
      <c r="AC23" t="s">
        <v>763</v>
      </c>
      <c r="AD23">
        <v>3</v>
      </c>
    </row>
    <row r="24" spans="24:30">
      <c r="AA24" t="str">
        <f>CONCATENATE(T_ApifKolone[[#This Row],[Bilans]],T_ApifKolone[[#This Row],[ApifKolona]])</f>
        <v>BPKKolona3</v>
      </c>
      <c r="AB24" t="s">
        <v>135</v>
      </c>
      <c r="AC24" t="s">
        <v>764</v>
      </c>
      <c r="AD24">
        <v>4</v>
      </c>
    </row>
    <row r="25" spans="24:30">
      <c r="AA25" t="str">
        <f>CONCATENATE(T_ApifKolone[[#This Row],[Bilans]],T_ApifKolone[[#This Row],[ApifKolona]])</f>
        <v>BPKKolona4</v>
      </c>
      <c r="AB25" t="s">
        <v>135</v>
      </c>
      <c r="AC25" t="s">
        <v>765</v>
      </c>
      <c r="AD25">
        <v>5</v>
      </c>
    </row>
    <row r="26" spans="24:30">
      <c r="AA26" t="str">
        <f>CONCATENATE(T_ApifKolone[[#This Row],[Bilans]],T_ApifKolone[[#This Row],[ApifKolona]])</f>
        <v>BPKKolona5</v>
      </c>
      <c r="AB26" t="s">
        <v>135</v>
      </c>
      <c r="AC26" t="s">
        <v>766</v>
      </c>
      <c r="AD26">
        <v>6</v>
      </c>
    </row>
    <row r="27" spans="24:30">
      <c r="AA27" t="str">
        <f>CONCATENATE(T_ApifKolone[[#This Row],[Bilans]],T_ApifKolone[[#This Row],[ApifKolona]])</f>
        <v>BPKKolona6</v>
      </c>
      <c r="AB27" t="s">
        <v>135</v>
      </c>
      <c r="AC27" t="s">
        <v>767</v>
      </c>
      <c r="AD27">
        <v>7</v>
      </c>
    </row>
    <row r="28" spans="24:30">
      <c r="AA28" t="str">
        <f>CONCATENATE(T_ApifKolone[[#This Row],[Bilans]],T_ApifKolone[[#This Row],[ApifKolona]])</f>
        <v>BPKKolona7</v>
      </c>
      <c r="AB28" t="s">
        <v>135</v>
      </c>
      <c r="AC28" t="s">
        <v>768</v>
      </c>
      <c r="AD28">
        <v>8</v>
      </c>
    </row>
    <row r="29" spans="24:30">
      <c r="AA29" t="str">
        <f>CONCATENATE(T_ApifKolone[[#This Row],[Bilans]],T_ApifKolone[[#This Row],[ApifKolona]])</f>
        <v>BPKKolona8</v>
      </c>
      <c r="AB29" t="s">
        <v>135</v>
      </c>
      <c r="AC29" t="s">
        <v>769</v>
      </c>
      <c r="AD29">
        <v>9</v>
      </c>
    </row>
    <row r="30" spans="24:30">
      <c r="AA30" t="str">
        <f>CONCATENATE(T_ApifKolone[[#This Row],[Bilans]],T_ApifKolone[[#This Row],[ApifKolona]])</f>
        <v>BPKKolona9</v>
      </c>
      <c r="AB30" t="s">
        <v>135</v>
      </c>
      <c r="AC30" t="s">
        <v>1600</v>
      </c>
      <c r="AD30">
        <v>10</v>
      </c>
    </row>
    <row r="31" spans="24:30">
      <c r="AA31" t="str">
        <f>CONCATENATE(T_ApifKolone[[#This Row],[Bilans]],T_ApifKolone[[#This Row],[ApifKolona]])</f>
        <v>BPKKolona10</v>
      </c>
      <c r="AB31" t="s">
        <v>135</v>
      </c>
      <c r="AC31" t="s">
        <v>1601</v>
      </c>
      <c r="AD31">
        <v>11</v>
      </c>
    </row>
    <row r="32" spans="24:30">
      <c r="AA32" t="str">
        <f>CONCATENATE(T_ApifKolone[[#This Row],[Bilans]],T_ApifKolone[[#This Row],[ApifKolona]])</f>
        <v>BPKKolona11</v>
      </c>
      <c r="AB32" t="s">
        <v>135</v>
      </c>
      <c r="AC32" t="s">
        <v>1626</v>
      </c>
      <c r="AD32">
        <v>12</v>
      </c>
    </row>
    <row r="33" spans="27:30">
      <c r="AA33" s="258" t="str">
        <f>CONCATENATE(T_ApifKolone[[#This Row],[Bilans]],T_ApifKolone[[#This Row],[ApifKolona]])</f>
        <v>BPKKolona12</v>
      </c>
      <c r="AB33" s="258" t="s">
        <v>135</v>
      </c>
      <c r="AC33" s="258" t="s">
        <v>1627</v>
      </c>
      <c r="AD33" s="258">
        <v>13</v>
      </c>
    </row>
  </sheetData>
  <sheetProtection sheet="1" objects="1" scenarios="1"/>
  <phoneticPr fontId="26" type="noConversion"/>
  <pageMargins left="0.7" right="0.7" top="0.75" bottom="0.75" header="0.3" footer="0.3"/>
  <pageSetup paperSize="9" orientation="portrait" verticalDpi="200" r:id="rId1"/>
  <ignoredErrors>
    <ignoredError sqref="K3:K6" calculatedColumn="1"/>
  </ignoredErrors>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sheetPr codeName="Sheet20"/>
  <dimension ref="A1:T408"/>
  <sheetViews>
    <sheetView showGridLines="0" showRowColHeaders="0" topLeftCell="A370" workbookViewId="0">
      <selection activeCell="G407" sqref="G407"/>
    </sheetView>
  </sheetViews>
  <sheetFormatPr defaultRowHeight="12.75"/>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c r="A2" s="105">
        <v>1</v>
      </c>
      <c r="B2" s="105" t="str">
        <f>VLOOKUP( $A2, Aop!$A$2:$P$453, 2, 0)</f>
        <v>BSa</v>
      </c>
      <c r="C2" s="105">
        <v>25</v>
      </c>
      <c r="D2" s="105" t="str">
        <f t="shared" ref="D2:D65" si="0">Podatak_MB</f>
        <v>01937189</v>
      </c>
      <c r="E2" s="105" t="str">
        <f>Podatak_JIB</f>
        <v>4401376020001</v>
      </c>
      <c r="F2" s="105" t="b">
        <f t="shared" ref="F2:F65" si="1">Konsolidovan_izvjestaj</f>
        <v>0</v>
      </c>
      <c r="G2" s="139">
        <f t="shared" ref="G2:G65" si="2">Datum_Broj</f>
        <v>45838</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868508</v>
      </c>
      <c r="L2" s="55">
        <f t="shared" ref="L2:L65" ca="1" si="4">IF( VLOOKUP( $H2, INDIRECT( "Lookup_" &amp; $B2), IF( LEFT( $B2, 2) = "BS", R$2, R$1), 0) = "", "", VLOOKUP( $H2, INDIRECT( "Lookup_" &amp; $B2), IF( $B2 = "BSa", R$2, R$1), 0))</f>
        <v>600509</v>
      </c>
      <c r="M2" s="55">
        <f ca="1">IF( VLOOKUP( $H2, INDIRECT( "Lookup_" &amp; $B2), IF( LEFT( $B2, 2) = "BS", S$2, S$1), 0) = "", "", VLOOKUP( $H2, INDIRECT( "Lookup_" &amp; $B2), IF( LEFT( $B2, 2) = "BS", S$2, S$1), 0))</f>
        <v>267999</v>
      </c>
      <c r="N2" s="55">
        <f t="shared" ref="N2:N65" ca="1" si="5">IF( VLOOKUP( $H2, INDIRECT( "Lookup_" &amp; $B2), IF( LEFT( $B2, 2) = "BS", S$2, S$1), 0) = "", "", VLOOKUP( $H2, INDIRECT( "Lookup_" &amp; $B2), IF( LEFT( $B2, 2) = "BS", S$2, S$1), 0))</f>
        <v>267999</v>
      </c>
      <c r="P2" s="2">
        <v>2</v>
      </c>
      <c r="Q2" s="2">
        <v>3</v>
      </c>
      <c r="R2" s="2">
        <v>4</v>
      </c>
      <c r="S2" s="2">
        <v>5</v>
      </c>
      <c r="T2" s="569">
        <v>6</v>
      </c>
    </row>
    <row r="3" spans="1:20">
      <c r="A3" s="105">
        <v>2</v>
      </c>
      <c r="B3" s="105" t="str">
        <f>VLOOKUP( $A3, Aop!$A$2:$P$453, 2, 0)</f>
        <v>BSa</v>
      </c>
      <c r="C3" s="105">
        <v>25</v>
      </c>
      <c r="D3" s="105" t="str">
        <f t="shared" si="0"/>
        <v>01937189</v>
      </c>
      <c r="E3" s="105" t="str">
        <f t="shared" ref="E3:E65" si="6">Podatak_JIB</f>
        <v>4401376020001</v>
      </c>
      <c r="F3" s="105" t="b">
        <f t="shared" si="1"/>
        <v>0</v>
      </c>
      <c r="G3" s="139">
        <f t="shared" si="2"/>
        <v>45838</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0</v>
      </c>
      <c r="L3" s="55">
        <f t="shared" ca="1" si="4"/>
        <v>0</v>
      </c>
      <c r="M3" s="55">
        <f ca="1">IF( VLOOKUP( $H3, INDIRECT( "Lookup_" &amp; $B3), IF( LEFT( $B3, 2) = "BS", S$2, S$1), 0) = "", "", VLOOKUP( $H3, INDIRECT( "Lookup_" &amp; $B3), IF( LEFT( $B3, 2) = "BS", S$2, S$1), 0))</f>
        <v>0</v>
      </c>
      <c r="N3" s="55">
        <f t="shared" ca="1" si="5"/>
        <v>0</v>
      </c>
    </row>
    <row r="4" spans="1:20">
      <c r="A4" s="105">
        <v>3</v>
      </c>
      <c r="B4" s="105" t="str">
        <f>VLOOKUP( $A4, Aop!$A$2:$P$453, 2, 0)</f>
        <v>BSa</v>
      </c>
      <c r="C4" s="105">
        <v>25</v>
      </c>
      <c r="D4" s="105" t="str">
        <f t="shared" si="0"/>
        <v>01937189</v>
      </c>
      <c r="E4" s="105" t="str">
        <f t="shared" si="6"/>
        <v>4401376020001</v>
      </c>
      <c r="F4" s="105" t="b">
        <f t="shared" si="1"/>
        <v>0</v>
      </c>
      <c r="G4" s="139">
        <f t="shared" si="2"/>
        <v>45838</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c r="A5" s="105">
        <v>4</v>
      </c>
      <c r="B5" s="105" t="str">
        <f>VLOOKUP( $A5, Aop!$A$2:$P$453, 2, 0)</f>
        <v>BSa</v>
      </c>
      <c r="C5" s="105">
        <v>25</v>
      </c>
      <c r="D5" s="105" t="str">
        <f t="shared" si="0"/>
        <v>01937189</v>
      </c>
      <c r="E5" s="105" t="str">
        <f t="shared" si="6"/>
        <v>4401376020001</v>
      </c>
      <c r="F5" s="105" t="b">
        <f t="shared" si="1"/>
        <v>0</v>
      </c>
      <c r="G5" s="139">
        <f t="shared" si="2"/>
        <v>45838</v>
      </c>
      <c r="H5" s="105">
        <v>4</v>
      </c>
      <c r="I5" s="105">
        <f t="shared" si="3"/>
        <v>2025</v>
      </c>
      <c r="J5" s="55" t="str">
        <f t="shared" ca="1" si="7"/>
        <v/>
      </c>
      <c r="K5" s="55" t="str">
        <f t="shared" ca="1" si="8"/>
        <v/>
      </c>
      <c r="L5" s="55" t="str">
        <f t="shared" ca="1" si="4"/>
        <v/>
      </c>
      <c r="M5" s="55">
        <f t="shared" ca="1" si="9"/>
        <v>0</v>
      </c>
      <c r="N5" s="55">
        <f t="shared" ca="1" si="5"/>
        <v>0</v>
      </c>
    </row>
    <row r="6" spans="1:20">
      <c r="A6" s="105">
        <v>5</v>
      </c>
      <c r="B6" s="105" t="str">
        <f>VLOOKUP( $A6, Aop!$A$2:$P$453, 2, 0)</f>
        <v>BSa</v>
      </c>
      <c r="C6" s="105">
        <v>25</v>
      </c>
      <c r="D6" s="105" t="str">
        <f t="shared" si="0"/>
        <v>01937189</v>
      </c>
      <c r="E6" s="105" t="str">
        <f t="shared" si="6"/>
        <v>4401376020001</v>
      </c>
      <c r="F6" s="105" t="b">
        <f t="shared" si="1"/>
        <v>0</v>
      </c>
      <c r="G6" s="139">
        <f t="shared" si="2"/>
        <v>45838</v>
      </c>
      <c r="H6" s="105">
        <v>5</v>
      </c>
      <c r="I6" s="105">
        <f t="shared" si="3"/>
        <v>2025</v>
      </c>
      <c r="J6" s="55" t="str">
        <f t="shared" ca="1" si="7"/>
        <v/>
      </c>
      <c r="K6" s="55" t="str">
        <f t="shared" ca="1" si="8"/>
        <v/>
      </c>
      <c r="L6" s="55" t="str">
        <f t="shared" ca="1" si="4"/>
        <v/>
      </c>
      <c r="M6" s="55">
        <f t="shared" ca="1" si="9"/>
        <v>0</v>
      </c>
      <c r="N6" s="55">
        <f t="shared" ca="1" si="5"/>
        <v>0</v>
      </c>
    </row>
    <row r="7" spans="1:20">
      <c r="A7" s="105">
        <v>6</v>
      </c>
      <c r="B7" s="105" t="str">
        <f>VLOOKUP( $A7, Aop!$A$2:$P$453, 2, 0)</f>
        <v>BSa</v>
      </c>
      <c r="C7" s="105">
        <v>25</v>
      </c>
      <c r="D7" s="105" t="str">
        <f t="shared" si="0"/>
        <v>01937189</v>
      </c>
      <c r="E7" s="105" t="str">
        <f t="shared" si="6"/>
        <v>4401376020001</v>
      </c>
      <c r="F7" s="105" t="b">
        <f t="shared" si="1"/>
        <v>0</v>
      </c>
      <c r="G7" s="139">
        <f t="shared" si="2"/>
        <v>45838</v>
      </c>
      <c r="H7" s="105">
        <v>6</v>
      </c>
      <c r="I7" s="105">
        <f t="shared" si="3"/>
        <v>2025</v>
      </c>
      <c r="J7" s="55" t="str">
        <f t="shared" ca="1" si="7"/>
        <v/>
      </c>
      <c r="K7" s="55" t="str">
        <f t="shared" ca="1" si="8"/>
        <v/>
      </c>
      <c r="L7" s="55" t="str">
        <f t="shared" ca="1" si="4"/>
        <v/>
      </c>
      <c r="M7" s="55">
        <f t="shared" ca="1" si="9"/>
        <v>0</v>
      </c>
      <c r="N7" s="55">
        <f t="shared" ca="1" si="5"/>
        <v>0</v>
      </c>
    </row>
    <row r="8" spans="1:20">
      <c r="A8" s="105">
        <v>7</v>
      </c>
      <c r="B8" s="105" t="str">
        <f>VLOOKUP( $A8, Aop!$A$2:$P$453, 2, 0)</f>
        <v>BSa</v>
      </c>
      <c r="C8" s="105">
        <v>25</v>
      </c>
      <c r="D8" s="105" t="str">
        <f t="shared" si="0"/>
        <v>01937189</v>
      </c>
      <c r="E8" s="105" t="str">
        <f t="shared" si="6"/>
        <v>4401376020001</v>
      </c>
      <c r="F8" s="105" t="b">
        <f t="shared" si="1"/>
        <v>0</v>
      </c>
      <c r="G8" s="139">
        <f t="shared" si="2"/>
        <v>45838</v>
      </c>
      <c r="H8" s="105">
        <v>7</v>
      </c>
      <c r="I8" s="105">
        <f t="shared" si="3"/>
        <v>2025</v>
      </c>
      <c r="J8" s="55" t="str">
        <f t="shared" ca="1" si="7"/>
        <v/>
      </c>
      <c r="K8" s="55" t="str">
        <f t="shared" ca="1" si="8"/>
        <v/>
      </c>
      <c r="L8" s="55" t="str">
        <f t="shared" ca="1" si="4"/>
        <v/>
      </c>
      <c r="M8" s="55">
        <f t="shared" ca="1" si="9"/>
        <v>0</v>
      </c>
      <c r="N8" s="55">
        <f t="shared" ca="1" si="5"/>
        <v>0</v>
      </c>
    </row>
    <row r="9" spans="1:20">
      <c r="A9" s="105">
        <v>8</v>
      </c>
      <c r="B9" s="105" t="str">
        <f>VLOOKUP( $A9, Aop!$A$2:$P$453, 2, 0)</f>
        <v>BSa</v>
      </c>
      <c r="C9" s="105">
        <v>25</v>
      </c>
      <c r="D9" s="105" t="str">
        <f t="shared" si="0"/>
        <v>01937189</v>
      </c>
      <c r="E9" s="105" t="str">
        <f t="shared" si="6"/>
        <v>4401376020001</v>
      </c>
      <c r="F9" s="105" t="b">
        <f t="shared" si="1"/>
        <v>0</v>
      </c>
      <c r="G9" s="139">
        <f t="shared" si="2"/>
        <v>45838</v>
      </c>
      <c r="H9" s="105">
        <v>8</v>
      </c>
      <c r="I9" s="105">
        <f t="shared" si="3"/>
        <v>2025</v>
      </c>
      <c r="J9" s="55" t="str">
        <f t="shared" ca="1" si="7"/>
        <v/>
      </c>
      <c r="K9" s="55">
        <f t="shared" ca="1" si="8"/>
        <v>868508</v>
      </c>
      <c r="L9" s="55">
        <f t="shared" ca="1" si="4"/>
        <v>600509</v>
      </c>
      <c r="M9" s="55">
        <f t="shared" ca="1" si="9"/>
        <v>267999</v>
      </c>
      <c r="N9" s="55">
        <f t="shared" ca="1" si="5"/>
        <v>267999</v>
      </c>
    </row>
    <row r="10" spans="1:20">
      <c r="A10" s="105">
        <v>9</v>
      </c>
      <c r="B10" s="105" t="str">
        <f>VLOOKUP( $A10, Aop!$A$2:$P$453, 2, 0)</f>
        <v>BSa</v>
      </c>
      <c r="C10" s="105">
        <v>25</v>
      </c>
      <c r="D10" s="105" t="str">
        <f t="shared" si="0"/>
        <v>01937189</v>
      </c>
      <c r="E10" s="105" t="str">
        <f t="shared" si="6"/>
        <v>4401376020001</v>
      </c>
      <c r="F10" s="105" t="b">
        <f t="shared" si="1"/>
        <v>0</v>
      </c>
      <c r="G10" s="139">
        <f t="shared" si="2"/>
        <v>45838</v>
      </c>
      <c r="H10" s="105">
        <v>9</v>
      </c>
      <c r="I10" s="105">
        <f t="shared" si="3"/>
        <v>2025</v>
      </c>
      <c r="J10" s="55" t="str">
        <f t="shared" ca="1" si="7"/>
        <v/>
      </c>
      <c r="K10" s="55" t="str">
        <f t="shared" ca="1" si="8"/>
        <v/>
      </c>
      <c r="L10" s="55" t="str">
        <f t="shared" ca="1" si="4"/>
        <v/>
      </c>
      <c r="M10" s="55">
        <f t="shared" ca="1" si="9"/>
        <v>0</v>
      </c>
      <c r="N10" s="55">
        <f t="shared" ca="1" si="5"/>
        <v>0</v>
      </c>
    </row>
    <row r="11" spans="1:20">
      <c r="A11" s="105">
        <v>10</v>
      </c>
      <c r="B11" s="105" t="str">
        <f>VLOOKUP( $A11, Aop!$A$2:$P$453, 2, 0)</f>
        <v>BSa</v>
      </c>
      <c r="C11" s="105">
        <v>25</v>
      </c>
      <c r="D11" s="105" t="str">
        <f t="shared" si="0"/>
        <v>01937189</v>
      </c>
      <c r="E11" s="105" t="str">
        <f t="shared" si="6"/>
        <v>4401376020001</v>
      </c>
      <c r="F11" s="105" t="b">
        <f t="shared" si="1"/>
        <v>0</v>
      </c>
      <c r="G11" s="139">
        <f t="shared" si="2"/>
        <v>45838</v>
      </c>
      <c r="H11" s="105">
        <v>10</v>
      </c>
      <c r="I11" s="105">
        <f t="shared" si="3"/>
        <v>2025</v>
      </c>
      <c r="J11" s="55" t="str">
        <f t="shared" ca="1" si="7"/>
        <v/>
      </c>
      <c r="K11" s="55">
        <f t="shared" ca="1" si="8"/>
        <v>88362</v>
      </c>
      <c r="L11" s="55">
        <f t="shared" ca="1" si="4"/>
        <v>88142</v>
      </c>
      <c r="M11" s="55">
        <f t="shared" ca="1" si="9"/>
        <v>220</v>
      </c>
      <c r="N11" s="55">
        <f t="shared" ca="1" si="5"/>
        <v>220</v>
      </c>
    </row>
    <row r="12" spans="1:20">
      <c r="A12" s="105">
        <v>11</v>
      </c>
      <c r="B12" s="105" t="str">
        <f>VLOOKUP( $A12, Aop!$A$2:$P$453, 2, 0)</f>
        <v>BSa</v>
      </c>
      <c r="C12" s="105">
        <v>25</v>
      </c>
      <c r="D12" s="105" t="str">
        <f t="shared" si="0"/>
        <v>01937189</v>
      </c>
      <c r="E12" s="105" t="str">
        <f t="shared" si="6"/>
        <v>4401376020001</v>
      </c>
      <c r="F12" s="105" t="b">
        <f t="shared" si="1"/>
        <v>0</v>
      </c>
      <c r="G12" s="139">
        <f t="shared" si="2"/>
        <v>45838</v>
      </c>
      <c r="H12" s="105">
        <v>11</v>
      </c>
      <c r="I12" s="105">
        <f t="shared" si="3"/>
        <v>2025</v>
      </c>
      <c r="J12" s="55" t="str">
        <f t="shared" ca="1" si="7"/>
        <v/>
      </c>
      <c r="K12" s="55">
        <f t="shared" ca="1" si="8"/>
        <v>780146</v>
      </c>
      <c r="L12" s="55">
        <f t="shared" ca="1" si="4"/>
        <v>512367</v>
      </c>
      <c r="M12" s="55">
        <f t="shared" ca="1" si="9"/>
        <v>267779</v>
      </c>
      <c r="N12" s="55">
        <f t="shared" ca="1" si="5"/>
        <v>267779</v>
      </c>
    </row>
    <row r="13" spans="1:20">
      <c r="A13" s="105">
        <v>12</v>
      </c>
      <c r="B13" s="105" t="str">
        <f>VLOOKUP( $A13, Aop!$A$2:$P$453, 2, 0)</f>
        <v>BSa</v>
      </c>
      <c r="C13" s="105">
        <v>25</v>
      </c>
      <c r="D13" s="105" t="str">
        <f t="shared" si="0"/>
        <v>01937189</v>
      </c>
      <c r="E13" s="105" t="str">
        <f t="shared" si="6"/>
        <v>4401376020001</v>
      </c>
      <c r="F13" s="105" t="b">
        <f t="shared" si="1"/>
        <v>0</v>
      </c>
      <c r="G13" s="139">
        <f t="shared" si="2"/>
        <v>45838</v>
      </c>
      <c r="H13" s="105">
        <v>12</v>
      </c>
      <c r="I13" s="105">
        <f t="shared" si="3"/>
        <v>2025</v>
      </c>
      <c r="J13" s="55" t="str">
        <f t="shared" ca="1" si="7"/>
        <v/>
      </c>
      <c r="K13" s="55" t="str">
        <f t="shared" ca="1" si="8"/>
        <v/>
      </c>
      <c r="L13" s="55" t="str">
        <f t="shared" ca="1" si="4"/>
        <v/>
      </c>
      <c r="M13" s="55">
        <f t="shared" ca="1" si="9"/>
        <v>0</v>
      </c>
      <c r="N13" s="55">
        <f t="shared" ca="1" si="5"/>
        <v>0</v>
      </c>
    </row>
    <row r="14" spans="1:20">
      <c r="A14" s="105">
        <v>13</v>
      </c>
      <c r="B14" s="105" t="str">
        <f>VLOOKUP( $A14, Aop!$A$2:$P$453, 2, 0)</f>
        <v>BSa</v>
      </c>
      <c r="C14" s="105">
        <v>25</v>
      </c>
      <c r="D14" s="105" t="str">
        <f t="shared" si="0"/>
        <v>01937189</v>
      </c>
      <c r="E14" s="105" t="str">
        <f t="shared" si="6"/>
        <v>4401376020001</v>
      </c>
      <c r="F14" s="105" t="b">
        <f t="shared" si="1"/>
        <v>0</v>
      </c>
      <c r="G14" s="139">
        <f t="shared" si="2"/>
        <v>45838</v>
      </c>
      <c r="H14" s="105">
        <v>13</v>
      </c>
      <c r="I14" s="105">
        <f t="shared" si="3"/>
        <v>2025</v>
      </c>
      <c r="J14" s="55" t="str">
        <f t="shared" ca="1" si="7"/>
        <v/>
      </c>
      <c r="K14" s="55" t="str">
        <f t="shared" ca="1" si="8"/>
        <v/>
      </c>
      <c r="L14" s="55" t="str">
        <f t="shared" ca="1" si="4"/>
        <v/>
      </c>
      <c r="M14" s="55">
        <f t="shared" ca="1" si="9"/>
        <v>0</v>
      </c>
      <c r="N14" s="55">
        <f t="shared" ca="1" si="5"/>
        <v>0</v>
      </c>
    </row>
    <row r="15" spans="1:20">
      <c r="A15" s="105">
        <v>14</v>
      </c>
      <c r="B15" s="105" t="str">
        <f>VLOOKUP( $A15, Aop!$A$2:$P$453, 2, 0)</f>
        <v>BSa</v>
      </c>
      <c r="C15" s="105">
        <v>25</v>
      </c>
      <c r="D15" s="105" t="str">
        <f t="shared" si="0"/>
        <v>01937189</v>
      </c>
      <c r="E15" s="105" t="str">
        <f t="shared" si="6"/>
        <v>4401376020001</v>
      </c>
      <c r="F15" s="105" t="b">
        <f t="shared" si="1"/>
        <v>0</v>
      </c>
      <c r="G15" s="139">
        <f t="shared" si="2"/>
        <v>45838</v>
      </c>
      <c r="H15" s="105">
        <v>14</v>
      </c>
      <c r="I15" s="105">
        <f t="shared" si="3"/>
        <v>2025</v>
      </c>
      <c r="J15" s="55" t="str">
        <f t="shared" ca="1" si="7"/>
        <v/>
      </c>
      <c r="K15" s="55" t="str">
        <f t="shared" ca="1" si="8"/>
        <v/>
      </c>
      <c r="L15" s="55" t="str">
        <f t="shared" ca="1" si="4"/>
        <v/>
      </c>
      <c r="M15" s="55">
        <f t="shared" ca="1" si="9"/>
        <v>0</v>
      </c>
      <c r="N15" s="55">
        <f t="shared" ca="1" si="5"/>
        <v>0</v>
      </c>
    </row>
    <row r="16" spans="1:20">
      <c r="A16" s="105">
        <v>15</v>
      </c>
      <c r="B16" s="105" t="str">
        <f>VLOOKUP( $A16, Aop!$A$2:$P$453, 2, 0)</f>
        <v>BSa</v>
      </c>
      <c r="C16" s="105">
        <v>25</v>
      </c>
      <c r="D16" s="105" t="str">
        <f t="shared" si="0"/>
        <v>01937189</v>
      </c>
      <c r="E16" s="105" t="str">
        <f t="shared" si="6"/>
        <v>4401376020001</v>
      </c>
      <c r="F16" s="105" t="b">
        <f t="shared" si="1"/>
        <v>0</v>
      </c>
      <c r="G16" s="139">
        <f t="shared" si="2"/>
        <v>45838</v>
      </c>
      <c r="H16" s="105">
        <v>15</v>
      </c>
      <c r="I16" s="105">
        <f t="shared" si="3"/>
        <v>2025</v>
      </c>
      <c r="J16" s="55" t="str">
        <f t="shared" ca="1" si="7"/>
        <v/>
      </c>
      <c r="K16" s="55" t="str">
        <f t="shared" ca="1" si="8"/>
        <v/>
      </c>
      <c r="L16" s="55" t="str">
        <f t="shared" ca="1" si="4"/>
        <v/>
      </c>
      <c r="M16" s="55">
        <f t="shared" ca="1" si="9"/>
        <v>0</v>
      </c>
      <c r="N16" s="55">
        <f t="shared" ca="1" si="5"/>
        <v>0</v>
      </c>
    </row>
    <row r="17" spans="1:14">
      <c r="A17" s="105">
        <v>16</v>
      </c>
      <c r="B17" s="105" t="str">
        <f>VLOOKUP( $A17, Aop!$A$2:$P$453, 2, 0)</f>
        <v>BSa</v>
      </c>
      <c r="C17" s="105">
        <v>25</v>
      </c>
      <c r="D17" s="105" t="str">
        <f t="shared" si="0"/>
        <v>01937189</v>
      </c>
      <c r="E17" s="105" t="str">
        <f t="shared" si="6"/>
        <v>4401376020001</v>
      </c>
      <c r="F17" s="105" t="b">
        <f t="shared" si="1"/>
        <v>0</v>
      </c>
      <c r="G17" s="139">
        <f t="shared" si="2"/>
        <v>45838</v>
      </c>
      <c r="H17" s="105">
        <v>16</v>
      </c>
      <c r="I17" s="105">
        <f t="shared" si="3"/>
        <v>2025</v>
      </c>
      <c r="J17" s="55" t="str">
        <f t="shared" ca="1" si="7"/>
        <v/>
      </c>
      <c r="K17" s="55" t="str">
        <f t="shared" ca="1" si="8"/>
        <v/>
      </c>
      <c r="L17" s="55" t="str">
        <f t="shared" ca="1" si="4"/>
        <v/>
      </c>
      <c r="M17" s="55">
        <f t="shared" ca="1" si="9"/>
        <v>0</v>
      </c>
      <c r="N17" s="55">
        <f t="shared" ca="1" si="5"/>
        <v>0</v>
      </c>
    </row>
    <row r="18" spans="1:14">
      <c r="A18" s="105">
        <v>17</v>
      </c>
      <c r="B18" s="105" t="str">
        <f>VLOOKUP( $A18, Aop!$A$2:$P$453, 2, 0)</f>
        <v>BSa</v>
      </c>
      <c r="C18" s="105">
        <v>25</v>
      </c>
      <c r="D18" s="105" t="str">
        <f t="shared" si="0"/>
        <v>01937189</v>
      </c>
      <c r="E18" s="105" t="str">
        <f t="shared" si="6"/>
        <v>4401376020001</v>
      </c>
      <c r="F18" s="105" t="b">
        <f t="shared" si="1"/>
        <v>0</v>
      </c>
      <c r="G18" s="139">
        <f t="shared" si="2"/>
        <v>45838</v>
      </c>
      <c r="H18" s="105">
        <v>17</v>
      </c>
      <c r="I18" s="105">
        <f t="shared" si="3"/>
        <v>2025</v>
      </c>
      <c r="J18" s="55" t="str">
        <f t="shared" ca="1" si="7"/>
        <v/>
      </c>
      <c r="K18" s="55">
        <f t="shared" ca="1" si="8"/>
        <v>0</v>
      </c>
      <c r="L18" s="55">
        <f t="shared" ca="1" si="4"/>
        <v>0</v>
      </c>
      <c r="M18" s="55">
        <f t="shared" ca="1" si="9"/>
        <v>0</v>
      </c>
      <c r="N18" s="55">
        <f t="shared" ca="1" si="5"/>
        <v>0</v>
      </c>
    </row>
    <row r="19" spans="1:14">
      <c r="A19" s="105">
        <v>18</v>
      </c>
      <c r="B19" s="105" t="str">
        <f>VLOOKUP( $A19, Aop!$A$2:$P$453, 2, 0)</f>
        <v>BSa</v>
      </c>
      <c r="C19" s="105">
        <v>25</v>
      </c>
      <c r="D19" s="105" t="str">
        <f t="shared" si="0"/>
        <v>01937189</v>
      </c>
      <c r="E19" s="105" t="str">
        <f t="shared" si="6"/>
        <v>4401376020001</v>
      </c>
      <c r="F19" s="105" t="b">
        <f t="shared" si="1"/>
        <v>0</v>
      </c>
      <c r="G19" s="139">
        <f t="shared" si="2"/>
        <v>45838</v>
      </c>
      <c r="H19" s="105">
        <v>18</v>
      </c>
      <c r="I19" s="105">
        <f t="shared" si="3"/>
        <v>2025</v>
      </c>
      <c r="J19" s="55" t="str">
        <f t="shared" ca="1" si="7"/>
        <v/>
      </c>
      <c r="K19" s="55" t="str">
        <f t="shared" ca="1" si="8"/>
        <v/>
      </c>
      <c r="L19" s="55" t="str">
        <f t="shared" ca="1" si="4"/>
        <v/>
      </c>
      <c r="M19" s="55">
        <f t="shared" ca="1" si="9"/>
        <v>0</v>
      </c>
      <c r="N19" s="55">
        <f t="shared" ca="1" si="5"/>
        <v>0</v>
      </c>
    </row>
    <row r="20" spans="1:14">
      <c r="A20" s="105">
        <v>19</v>
      </c>
      <c r="B20" s="105" t="str">
        <f>VLOOKUP( $A20, Aop!$A$2:$P$453, 2, 0)</f>
        <v>BSa</v>
      </c>
      <c r="C20" s="105">
        <v>25</v>
      </c>
      <c r="D20" s="105" t="str">
        <f t="shared" si="0"/>
        <v>01937189</v>
      </c>
      <c r="E20" s="105" t="str">
        <f t="shared" si="6"/>
        <v>4401376020001</v>
      </c>
      <c r="F20" s="105" t="b">
        <f t="shared" si="1"/>
        <v>0</v>
      </c>
      <c r="G20" s="139">
        <f t="shared" si="2"/>
        <v>45838</v>
      </c>
      <c r="H20" s="105">
        <v>19</v>
      </c>
      <c r="I20" s="105">
        <f t="shared" si="3"/>
        <v>2025</v>
      </c>
      <c r="J20" s="55" t="str">
        <f t="shared" ca="1" si="7"/>
        <v/>
      </c>
      <c r="K20" s="55" t="str">
        <f t="shared" ca="1" si="8"/>
        <v/>
      </c>
      <c r="L20" s="55" t="str">
        <f t="shared" ca="1" si="4"/>
        <v/>
      </c>
      <c r="M20" s="55">
        <f t="shared" ca="1" si="9"/>
        <v>0</v>
      </c>
      <c r="N20" s="55">
        <f t="shared" ca="1" si="5"/>
        <v>0</v>
      </c>
    </row>
    <row r="21" spans="1:14">
      <c r="A21" s="105">
        <v>20</v>
      </c>
      <c r="B21" s="105" t="str">
        <f>VLOOKUP( $A21, Aop!$A$2:$P$453, 2, 0)</f>
        <v>BSa</v>
      </c>
      <c r="C21" s="105">
        <v>25</v>
      </c>
      <c r="D21" s="105" t="str">
        <f t="shared" si="0"/>
        <v>01937189</v>
      </c>
      <c r="E21" s="105" t="str">
        <f t="shared" si="6"/>
        <v>4401376020001</v>
      </c>
      <c r="F21" s="105" t="b">
        <f t="shared" si="1"/>
        <v>0</v>
      </c>
      <c r="G21" s="139">
        <f t="shared" si="2"/>
        <v>45838</v>
      </c>
      <c r="H21" s="105">
        <v>20</v>
      </c>
      <c r="I21" s="105">
        <f t="shared" si="3"/>
        <v>2025</v>
      </c>
      <c r="J21" s="55" t="str">
        <f t="shared" ca="1" si="7"/>
        <v/>
      </c>
      <c r="K21" s="55" t="str">
        <f t="shared" ca="1" si="8"/>
        <v/>
      </c>
      <c r="L21" s="55" t="str">
        <f t="shared" ca="1" si="4"/>
        <v/>
      </c>
      <c r="M21" s="55">
        <f t="shared" ca="1" si="9"/>
        <v>0</v>
      </c>
      <c r="N21" s="55">
        <f t="shared" ca="1" si="5"/>
        <v>0</v>
      </c>
    </row>
    <row r="22" spans="1:14">
      <c r="A22" s="105">
        <v>21</v>
      </c>
      <c r="B22" s="105" t="str">
        <f>VLOOKUP( $A22, Aop!$A$2:$P$453, 2, 0)</f>
        <v>BSa</v>
      </c>
      <c r="C22" s="105">
        <v>25</v>
      </c>
      <c r="D22" s="105" t="str">
        <f t="shared" si="0"/>
        <v>01937189</v>
      </c>
      <c r="E22" s="105" t="str">
        <f t="shared" si="6"/>
        <v>4401376020001</v>
      </c>
      <c r="F22" s="105" t="b">
        <f t="shared" si="1"/>
        <v>0</v>
      </c>
      <c r="G22" s="139">
        <f t="shared" si="2"/>
        <v>45838</v>
      </c>
      <c r="H22" s="105">
        <v>21</v>
      </c>
      <c r="I22" s="105">
        <f t="shared" si="3"/>
        <v>2025</v>
      </c>
      <c r="J22" s="55" t="str">
        <f t="shared" ca="1" si="7"/>
        <v/>
      </c>
      <c r="K22" s="55" t="str">
        <f t="shared" ca="1" si="8"/>
        <v/>
      </c>
      <c r="L22" s="55" t="str">
        <f t="shared" ca="1" si="4"/>
        <v/>
      </c>
      <c r="M22" s="55">
        <f t="shared" ca="1" si="9"/>
        <v>0</v>
      </c>
      <c r="N22" s="55">
        <f t="shared" ca="1" si="5"/>
        <v>0</v>
      </c>
    </row>
    <row r="23" spans="1:14">
      <c r="A23" s="105">
        <v>22</v>
      </c>
      <c r="B23" s="105" t="str">
        <f>VLOOKUP( $A23, Aop!$A$2:$P$453, 2, 0)</f>
        <v>BSa</v>
      </c>
      <c r="C23" s="105">
        <v>25</v>
      </c>
      <c r="D23" s="105" t="str">
        <f t="shared" si="0"/>
        <v>01937189</v>
      </c>
      <c r="E23" s="105" t="str">
        <f t="shared" si="6"/>
        <v>4401376020001</v>
      </c>
      <c r="F23" s="105" t="b">
        <f t="shared" si="1"/>
        <v>0</v>
      </c>
      <c r="G23" s="139">
        <f t="shared" si="2"/>
        <v>45838</v>
      </c>
      <c r="H23" s="105">
        <v>22</v>
      </c>
      <c r="I23" s="105">
        <f t="shared" si="3"/>
        <v>2025</v>
      </c>
      <c r="J23" s="55" t="str">
        <f t="shared" ca="1" si="7"/>
        <v/>
      </c>
      <c r="K23" s="55">
        <f t="shared" ca="1" si="8"/>
        <v>0</v>
      </c>
      <c r="L23" s="55">
        <f t="shared" ca="1" si="4"/>
        <v>0</v>
      </c>
      <c r="M23" s="55">
        <f t="shared" ca="1" si="9"/>
        <v>0</v>
      </c>
      <c r="N23" s="55">
        <f t="shared" ca="1" si="5"/>
        <v>0</v>
      </c>
    </row>
    <row r="24" spans="1:14">
      <c r="A24" s="105">
        <v>23</v>
      </c>
      <c r="B24" s="105" t="str">
        <f>VLOOKUP( $A24, Aop!$A$2:$P$453, 2, 0)</f>
        <v>BSa</v>
      </c>
      <c r="C24" s="105">
        <v>25</v>
      </c>
      <c r="D24" s="105" t="str">
        <f t="shared" si="0"/>
        <v>01937189</v>
      </c>
      <c r="E24" s="105" t="str">
        <f t="shared" si="6"/>
        <v>4401376020001</v>
      </c>
      <c r="F24" s="105" t="b">
        <f t="shared" si="1"/>
        <v>0</v>
      </c>
      <c r="G24" s="139">
        <f t="shared" si="2"/>
        <v>45838</v>
      </c>
      <c r="H24" s="105">
        <v>23</v>
      </c>
      <c r="I24" s="105">
        <f t="shared" si="3"/>
        <v>2025</v>
      </c>
      <c r="J24" s="55" t="str">
        <f t="shared" ca="1" si="7"/>
        <v/>
      </c>
      <c r="K24" s="55" t="str">
        <f t="shared" ca="1" si="8"/>
        <v/>
      </c>
      <c r="L24" s="55" t="str">
        <f t="shared" ca="1" si="4"/>
        <v/>
      </c>
      <c r="M24" s="55">
        <f t="shared" ca="1" si="9"/>
        <v>0</v>
      </c>
      <c r="N24" s="55">
        <f t="shared" ca="1" si="5"/>
        <v>0</v>
      </c>
    </row>
    <row r="25" spans="1:14">
      <c r="A25" s="105">
        <v>24</v>
      </c>
      <c r="B25" s="105" t="str">
        <f>VLOOKUP( $A25, Aop!$A$2:$P$453, 2, 0)</f>
        <v>BSa</v>
      </c>
      <c r="C25" s="105">
        <v>25</v>
      </c>
      <c r="D25" s="105" t="str">
        <f t="shared" si="0"/>
        <v>01937189</v>
      </c>
      <c r="E25" s="105" t="str">
        <f t="shared" si="6"/>
        <v>4401376020001</v>
      </c>
      <c r="F25" s="105" t="b">
        <f t="shared" si="1"/>
        <v>0</v>
      </c>
      <c r="G25" s="139">
        <f t="shared" si="2"/>
        <v>45838</v>
      </c>
      <c r="H25" s="105">
        <v>24</v>
      </c>
      <c r="I25" s="105">
        <f t="shared" si="3"/>
        <v>2025</v>
      </c>
      <c r="J25" s="55" t="str">
        <f t="shared" ca="1" si="7"/>
        <v/>
      </c>
      <c r="K25" s="55" t="str">
        <f t="shared" ca="1" si="8"/>
        <v/>
      </c>
      <c r="L25" s="55" t="str">
        <f t="shared" ca="1" si="4"/>
        <v/>
      </c>
      <c r="M25" s="55">
        <f t="shared" ca="1" si="9"/>
        <v>0</v>
      </c>
      <c r="N25" s="55">
        <f t="shared" ca="1" si="5"/>
        <v>0</v>
      </c>
    </row>
    <row r="26" spans="1:14">
      <c r="A26" s="105">
        <v>25</v>
      </c>
      <c r="B26" s="105" t="str">
        <f>VLOOKUP( $A26, Aop!$A$2:$P$453, 2, 0)</f>
        <v>BSa</v>
      </c>
      <c r="C26" s="105">
        <v>25</v>
      </c>
      <c r="D26" s="105" t="str">
        <f t="shared" si="0"/>
        <v>01937189</v>
      </c>
      <c r="E26" s="105" t="str">
        <f t="shared" si="6"/>
        <v>4401376020001</v>
      </c>
      <c r="F26" s="105" t="b">
        <f t="shared" si="1"/>
        <v>0</v>
      </c>
      <c r="G26" s="139">
        <f t="shared" si="2"/>
        <v>45838</v>
      </c>
      <c r="H26" s="105">
        <v>25</v>
      </c>
      <c r="I26" s="105">
        <f t="shared" si="3"/>
        <v>2025</v>
      </c>
      <c r="J26" s="55" t="str">
        <f t="shared" ca="1" si="7"/>
        <v/>
      </c>
      <c r="K26" s="55">
        <f t="shared" ca="1" si="8"/>
        <v>0</v>
      </c>
      <c r="L26" s="55">
        <f t="shared" ca="1" si="4"/>
        <v>0</v>
      </c>
      <c r="M26" s="55">
        <f t="shared" ca="1" si="9"/>
        <v>0</v>
      </c>
      <c r="N26" s="55">
        <f t="shared" ca="1" si="5"/>
        <v>0</v>
      </c>
    </row>
    <row r="27" spans="1:14">
      <c r="A27" s="105">
        <v>26</v>
      </c>
      <c r="B27" s="105" t="str">
        <f>VLOOKUP( $A27, Aop!$A$2:$P$453, 2, 0)</f>
        <v>BSa</v>
      </c>
      <c r="C27" s="105">
        <v>25</v>
      </c>
      <c r="D27" s="105" t="str">
        <f t="shared" si="0"/>
        <v>01937189</v>
      </c>
      <c r="E27" s="105" t="str">
        <f t="shared" si="6"/>
        <v>4401376020001</v>
      </c>
      <c r="F27" s="105" t="b">
        <f t="shared" si="1"/>
        <v>0</v>
      </c>
      <c r="G27" s="139">
        <f t="shared" si="2"/>
        <v>45838</v>
      </c>
      <c r="H27" s="105">
        <v>26</v>
      </c>
      <c r="I27" s="105">
        <f t="shared" si="3"/>
        <v>2025</v>
      </c>
      <c r="J27" s="55" t="str">
        <f t="shared" ca="1" si="7"/>
        <v/>
      </c>
      <c r="K27" s="55" t="str">
        <f t="shared" ca="1" si="8"/>
        <v/>
      </c>
      <c r="L27" s="55" t="str">
        <f t="shared" ca="1" si="4"/>
        <v/>
      </c>
      <c r="M27" s="55">
        <f t="shared" ca="1" si="9"/>
        <v>0</v>
      </c>
      <c r="N27" s="55">
        <f t="shared" ca="1" si="5"/>
        <v>0</v>
      </c>
    </row>
    <row r="28" spans="1:14">
      <c r="A28" s="105">
        <v>27</v>
      </c>
      <c r="B28" s="105" t="str">
        <f>VLOOKUP( $A28, Aop!$A$2:$P$453, 2, 0)</f>
        <v>BSa</v>
      </c>
      <c r="C28" s="105">
        <v>25</v>
      </c>
      <c r="D28" s="105" t="str">
        <f t="shared" si="0"/>
        <v>01937189</v>
      </c>
      <c r="E28" s="105" t="str">
        <f t="shared" si="6"/>
        <v>4401376020001</v>
      </c>
      <c r="F28" s="105" t="b">
        <f t="shared" si="1"/>
        <v>0</v>
      </c>
      <c r="G28" s="139">
        <f t="shared" si="2"/>
        <v>45838</v>
      </c>
      <c r="H28" s="105">
        <v>27</v>
      </c>
      <c r="I28" s="105">
        <f t="shared" si="3"/>
        <v>2025</v>
      </c>
      <c r="J28" s="55" t="str">
        <f t="shared" ca="1" si="7"/>
        <v/>
      </c>
      <c r="K28" s="55" t="str">
        <f t="shared" ca="1" si="8"/>
        <v/>
      </c>
      <c r="L28" s="55" t="str">
        <f t="shared" ca="1" si="4"/>
        <v/>
      </c>
      <c r="M28" s="55">
        <f t="shared" ca="1" si="9"/>
        <v>0</v>
      </c>
      <c r="N28" s="55">
        <f t="shared" ca="1" si="5"/>
        <v>0</v>
      </c>
    </row>
    <row r="29" spans="1:14">
      <c r="A29" s="105">
        <v>28</v>
      </c>
      <c r="B29" s="105" t="str">
        <f>VLOOKUP( $A29, Aop!$A$2:$P$453, 2, 0)</f>
        <v>BSa</v>
      </c>
      <c r="C29" s="105">
        <v>25</v>
      </c>
      <c r="D29" s="105" t="str">
        <f t="shared" si="0"/>
        <v>01937189</v>
      </c>
      <c r="E29" s="105" t="str">
        <f t="shared" si="6"/>
        <v>4401376020001</v>
      </c>
      <c r="F29" s="105" t="b">
        <f t="shared" si="1"/>
        <v>0</v>
      </c>
      <c r="G29" s="139">
        <f t="shared" si="2"/>
        <v>45838</v>
      </c>
      <c r="H29" s="105">
        <v>28</v>
      </c>
      <c r="I29" s="105">
        <f t="shared" si="3"/>
        <v>2025</v>
      </c>
      <c r="J29" s="55" t="str">
        <f t="shared" ca="1" si="7"/>
        <v/>
      </c>
      <c r="K29" s="55" t="str">
        <f t="shared" ca="1" si="8"/>
        <v/>
      </c>
      <c r="L29" s="55" t="str">
        <f t="shared" ca="1" si="4"/>
        <v/>
      </c>
      <c r="M29" s="55">
        <f t="shared" ca="1" si="9"/>
        <v>0</v>
      </c>
      <c r="N29" s="55">
        <f t="shared" ca="1" si="5"/>
        <v>0</v>
      </c>
    </row>
    <row r="30" spans="1:14">
      <c r="A30" s="105">
        <v>29</v>
      </c>
      <c r="B30" s="105" t="str">
        <f>VLOOKUP( $A30, Aop!$A$2:$P$453, 2, 0)</f>
        <v>BSa</v>
      </c>
      <c r="C30" s="105">
        <v>25</v>
      </c>
      <c r="D30" s="105" t="str">
        <f t="shared" si="0"/>
        <v>01937189</v>
      </c>
      <c r="E30" s="105" t="str">
        <f t="shared" si="6"/>
        <v>4401376020001</v>
      </c>
      <c r="F30" s="105" t="b">
        <f t="shared" si="1"/>
        <v>0</v>
      </c>
      <c r="G30" s="139">
        <f t="shared" si="2"/>
        <v>45838</v>
      </c>
      <c r="H30" s="105">
        <v>29</v>
      </c>
      <c r="I30" s="105">
        <f t="shared" si="3"/>
        <v>2025</v>
      </c>
      <c r="J30" s="55" t="str">
        <f t="shared" ca="1" si="7"/>
        <v/>
      </c>
      <c r="K30" s="55" t="str">
        <f t="shared" ca="1" si="8"/>
        <v/>
      </c>
      <c r="L30" s="55" t="str">
        <f t="shared" ca="1" si="4"/>
        <v/>
      </c>
      <c r="M30" s="55">
        <f t="shared" ca="1" si="9"/>
        <v>0</v>
      </c>
      <c r="N30" s="55">
        <f t="shared" ca="1" si="5"/>
        <v>0</v>
      </c>
    </row>
    <row r="31" spans="1:14">
      <c r="A31" s="105">
        <v>30</v>
      </c>
      <c r="B31" s="105" t="str">
        <f>VLOOKUP( $A31, Aop!$A$2:$P$453, 2, 0)</f>
        <v>BSa</v>
      </c>
      <c r="C31" s="105">
        <v>25</v>
      </c>
      <c r="D31" s="105" t="str">
        <f t="shared" si="0"/>
        <v>01937189</v>
      </c>
      <c r="E31" s="105" t="str">
        <f t="shared" si="6"/>
        <v>4401376020001</v>
      </c>
      <c r="F31" s="105" t="b">
        <f t="shared" si="1"/>
        <v>0</v>
      </c>
      <c r="G31" s="139">
        <f t="shared" si="2"/>
        <v>45838</v>
      </c>
      <c r="H31" s="105">
        <v>30</v>
      </c>
      <c r="I31" s="105">
        <f t="shared" si="3"/>
        <v>2025</v>
      </c>
      <c r="J31" s="55" t="str">
        <f t="shared" ca="1" si="7"/>
        <v/>
      </c>
      <c r="K31" s="55">
        <f t="shared" ca="1" si="8"/>
        <v>0</v>
      </c>
      <c r="L31" s="55">
        <f t="shared" ca="1" si="4"/>
        <v>0</v>
      </c>
      <c r="M31" s="55">
        <f t="shared" ca="1" si="9"/>
        <v>0</v>
      </c>
      <c r="N31" s="55">
        <f t="shared" ca="1" si="5"/>
        <v>0</v>
      </c>
    </row>
    <row r="32" spans="1:14">
      <c r="A32" s="105">
        <v>31</v>
      </c>
      <c r="B32" s="105" t="str">
        <f>VLOOKUP( $A32, Aop!$A$2:$P$453, 2, 0)</f>
        <v>BSa</v>
      </c>
      <c r="C32" s="105">
        <v>25</v>
      </c>
      <c r="D32" s="105" t="str">
        <f t="shared" si="0"/>
        <v>01937189</v>
      </c>
      <c r="E32" s="105" t="str">
        <f t="shared" si="6"/>
        <v>4401376020001</v>
      </c>
      <c r="F32" s="105" t="b">
        <f t="shared" si="1"/>
        <v>0</v>
      </c>
      <c r="G32" s="139">
        <f t="shared" si="2"/>
        <v>45838</v>
      </c>
      <c r="H32" s="105">
        <v>31</v>
      </c>
      <c r="I32" s="105">
        <f t="shared" si="3"/>
        <v>2025</v>
      </c>
      <c r="J32" s="55" t="str">
        <f t="shared" ca="1" si="7"/>
        <v/>
      </c>
      <c r="K32" s="55" t="str">
        <f t="shared" ca="1" si="8"/>
        <v/>
      </c>
      <c r="L32" s="55" t="str">
        <f t="shared" ca="1" si="4"/>
        <v/>
      </c>
      <c r="M32" s="55">
        <f t="shared" ca="1" si="9"/>
        <v>0</v>
      </c>
      <c r="N32" s="55">
        <f t="shared" ca="1" si="5"/>
        <v>0</v>
      </c>
    </row>
    <row r="33" spans="1:14">
      <c r="A33" s="105">
        <v>32</v>
      </c>
      <c r="B33" s="105" t="str">
        <f>VLOOKUP( $A33, Aop!$A$2:$P$453, 2, 0)</f>
        <v>BSa</v>
      </c>
      <c r="C33" s="105">
        <v>25</v>
      </c>
      <c r="D33" s="105" t="str">
        <f t="shared" si="0"/>
        <v>01937189</v>
      </c>
      <c r="E33" s="105" t="str">
        <f t="shared" si="6"/>
        <v>4401376020001</v>
      </c>
      <c r="F33" s="105" t="b">
        <f t="shared" si="1"/>
        <v>0</v>
      </c>
      <c r="G33" s="139">
        <f t="shared" si="2"/>
        <v>45838</v>
      </c>
      <c r="H33" s="105">
        <v>32</v>
      </c>
      <c r="I33" s="105">
        <f t="shared" si="3"/>
        <v>2025</v>
      </c>
      <c r="J33" s="55" t="str">
        <f t="shared" ca="1" si="7"/>
        <v/>
      </c>
      <c r="K33" s="55" t="str">
        <f t="shared" ca="1" si="8"/>
        <v/>
      </c>
      <c r="L33" s="55" t="str">
        <f t="shared" ca="1" si="4"/>
        <v/>
      </c>
      <c r="M33" s="55">
        <f t="shared" ca="1" si="9"/>
        <v>0</v>
      </c>
      <c r="N33" s="55">
        <f t="shared" ca="1" si="5"/>
        <v>0</v>
      </c>
    </row>
    <row r="34" spans="1:14">
      <c r="A34" s="105">
        <v>33</v>
      </c>
      <c r="B34" s="105" t="str">
        <f>VLOOKUP( $A34, Aop!$A$2:$P$453, 2, 0)</f>
        <v>BSa</v>
      </c>
      <c r="C34" s="105">
        <v>25</v>
      </c>
      <c r="D34" s="105" t="str">
        <f t="shared" si="0"/>
        <v>01937189</v>
      </c>
      <c r="E34" s="105" t="str">
        <f t="shared" si="6"/>
        <v>4401376020001</v>
      </c>
      <c r="F34" s="105" t="b">
        <f t="shared" si="1"/>
        <v>0</v>
      </c>
      <c r="G34" s="139">
        <f t="shared" si="2"/>
        <v>45838</v>
      </c>
      <c r="H34" s="105">
        <v>33</v>
      </c>
      <c r="I34" s="105">
        <f t="shared" si="3"/>
        <v>2025</v>
      </c>
      <c r="J34" s="55" t="str">
        <f t="shared" ca="1" si="7"/>
        <v/>
      </c>
      <c r="K34" s="55" t="str">
        <f t="shared" ca="1" si="8"/>
        <v/>
      </c>
      <c r="L34" s="55" t="str">
        <f t="shared" ca="1" si="4"/>
        <v/>
      </c>
      <c r="M34" s="55">
        <f t="shared" ca="1" si="9"/>
        <v>0</v>
      </c>
      <c r="N34" s="55">
        <f t="shared" ca="1" si="5"/>
        <v>0</v>
      </c>
    </row>
    <row r="35" spans="1:14">
      <c r="A35" s="105">
        <v>34</v>
      </c>
      <c r="B35" s="105" t="str">
        <f>VLOOKUP( $A35, Aop!$A$2:$P$453, 2, 0)</f>
        <v>BSa</v>
      </c>
      <c r="C35" s="105">
        <v>25</v>
      </c>
      <c r="D35" s="105" t="str">
        <f t="shared" si="0"/>
        <v>01937189</v>
      </c>
      <c r="E35" s="105" t="str">
        <f t="shared" si="6"/>
        <v>4401376020001</v>
      </c>
      <c r="F35" s="105" t="b">
        <f t="shared" si="1"/>
        <v>0</v>
      </c>
      <c r="G35" s="139">
        <f t="shared" si="2"/>
        <v>45838</v>
      </c>
      <c r="H35" s="105">
        <v>34</v>
      </c>
      <c r="I35" s="105">
        <f t="shared" si="3"/>
        <v>2025</v>
      </c>
      <c r="J35" s="55" t="str">
        <f t="shared" ca="1" si="7"/>
        <v/>
      </c>
      <c r="K35" s="55" t="str">
        <f t="shared" ca="1" si="8"/>
        <v/>
      </c>
      <c r="L35" s="55" t="str">
        <f t="shared" ca="1" si="4"/>
        <v/>
      </c>
      <c r="M35" s="55">
        <f t="shared" ca="1" si="9"/>
        <v>0</v>
      </c>
      <c r="N35" s="55">
        <f t="shared" ca="1" si="5"/>
        <v>0</v>
      </c>
    </row>
    <row r="36" spans="1:14">
      <c r="A36" s="105">
        <v>35</v>
      </c>
      <c r="B36" s="105" t="str">
        <f>VLOOKUP( $A36, Aop!$A$2:$P$453, 2, 0)</f>
        <v>BSa</v>
      </c>
      <c r="C36" s="105">
        <v>25</v>
      </c>
      <c r="D36" s="105" t="str">
        <f t="shared" si="0"/>
        <v>01937189</v>
      </c>
      <c r="E36" s="105" t="str">
        <f t="shared" si="6"/>
        <v>4401376020001</v>
      </c>
      <c r="F36" s="105" t="b">
        <f t="shared" si="1"/>
        <v>0</v>
      </c>
      <c r="G36" s="139">
        <f t="shared" si="2"/>
        <v>45838</v>
      </c>
      <c r="H36" s="105">
        <v>35</v>
      </c>
      <c r="I36" s="105">
        <f t="shared" si="3"/>
        <v>2025</v>
      </c>
      <c r="J36" s="55" t="str">
        <f t="shared" ca="1" si="7"/>
        <v/>
      </c>
      <c r="K36" s="55" t="str">
        <f t="shared" ca="1" si="8"/>
        <v/>
      </c>
      <c r="L36" s="55" t="str">
        <f t="shared" ca="1" si="4"/>
        <v/>
      </c>
      <c r="M36" s="55">
        <f t="shared" ca="1" si="9"/>
        <v>0</v>
      </c>
      <c r="N36" s="55">
        <f t="shared" ca="1" si="5"/>
        <v>0</v>
      </c>
    </row>
    <row r="37" spans="1:14">
      <c r="A37" s="105">
        <v>36</v>
      </c>
      <c r="B37" s="105" t="str">
        <f>VLOOKUP( $A37, Aop!$A$2:$P$453, 2, 0)</f>
        <v>BSa</v>
      </c>
      <c r="C37" s="105">
        <v>25</v>
      </c>
      <c r="D37" s="105" t="str">
        <f t="shared" si="0"/>
        <v>01937189</v>
      </c>
      <c r="E37" s="105" t="str">
        <f t="shared" si="6"/>
        <v>4401376020001</v>
      </c>
      <c r="F37" s="105" t="b">
        <f t="shared" si="1"/>
        <v>0</v>
      </c>
      <c r="G37" s="139">
        <f t="shared" si="2"/>
        <v>45838</v>
      </c>
      <c r="H37" s="105">
        <v>36</v>
      </c>
      <c r="I37" s="105">
        <f t="shared" si="3"/>
        <v>2025</v>
      </c>
      <c r="J37" s="55" t="str">
        <f t="shared" ca="1" si="7"/>
        <v/>
      </c>
      <c r="K37" s="55">
        <f t="shared" ca="1" si="8"/>
        <v>158386</v>
      </c>
      <c r="L37" s="55">
        <f t="shared" ca="1" si="4"/>
        <v>0</v>
      </c>
      <c r="M37" s="55">
        <f t="shared" ca="1" si="9"/>
        <v>158386</v>
      </c>
      <c r="N37" s="55">
        <f t="shared" ca="1" si="5"/>
        <v>158386</v>
      </c>
    </row>
    <row r="38" spans="1:14">
      <c r="A38" s="105">
        <v>37</v>
      </c>
      <c r="B38" s="105" t="str">
        <f>VLOOKUP( $A38, Aop!$A$2:$P$453, 2, 0)</f>
        <v>BSa</v>
      </c>
      <c r="C38" s="105">
        <v>25</v>
      </c>
      <c r="D38" s="105" t="str">
        <f t="shared" si="0"/>
        <v>01937189</v>
      </c>
      <c r="E38" s="105" t="str">
        <f t="shared" si="6"/>
        <v>4401376020001</v>
      </c>
      <c r="F38" s="105" t="b">
        <f t="shared" si="1"/>
        <v>0</v>
      </c>
      <c r="G38" s="139">
        <f t="shared" si="2"/>
        <v>45838</v>
      </c>
      <c r="H38" s="105">
        <v>37</v>
      </c>
      <c r="I38" s="105">
        <f t="shared" si="3"/>
        <v>2025</v>
      </c>
      <c r="J38" s="55" t="str">
        <f t="shared" ca="1" si="7"/>
        <v/>
      </c>
      <c r="K38" s="55">
        <f t="shared" ca="1" si="8"/>
        <v>13950</v>
      </c>
      <c r="L38" s="55">
        <f t="shared" ca="1" si="4"/>
        <v>0</v>
      </c>
      <c r="M38" s="55">
        <f t="shared" ca="1" si="9"/>
        <v>13950</v>
      </c>
      <c r="N38" s="55">
        <f t="shared" ca="1" si="5"/>
        <v>13950</v>
      </c>
    </row>
    <row r="39" spans="1:14">
      <c r="A39" s="105">
        <v>38</v>
      </c>
      <c r="B39" s="105" t="str">
        <f>VLOOKUP( $A39, Aop!$A$2:$P$453, 2, 0)</f>
        <v>BSa</v>
      </c>
      <c r="C39" s="105">
        <v>25</v>
      </c>
      <c r="D39" s="105" t="str">
        <f t="shared" si="0"/>
        <v>01937189</v>
      </c>
      <c r="E39" s="105" t="str">
        <f t="shared" si="6"/>
        <v>4401376020001</v>
      </c>
      <c r="F39" s="105" t="b">
        <f t="shared" si="1"/>
        <v>0</v>
      </c>
      <c r="G39" s="139">
        <f t="shared" si="2"/>
        <v>45838</v>
      </c>
      <c r="H39" s="105">
        <v>38</v>
      </c>
      <c r="I39" s="105">
        <f t="shared" si="3"/>
        <v>2025</v>
      </c>
      <c r="J39" s="55" t="str">
        <f t="shared" ca="1" si="7"/>
        <v/>
      </c>
      <c r="K39" s="55" t="str">
        <f t="shared" ca="1" si="8"/>
        <v/>
      </c>
      <c r="L39" s="55" t="str">
        <f t="shared" ca="1" si="4"/>
        <v/>
      </c>
      <c r="M39" s="55">
        <f t="shared" ca="1" si="9"/>
        <v>0</v>
      </c>
      <c r="N39" s="55">
        <f t="shared" ca="1" si="5"/>
        <v>0</v>
      </c>
    </row>
    <row r="40" spans="1:14">
      <c r="A40" s="105">
        <v>39</v>
      </c>
      <c r="B40" s="105" t="str">
        <f>VLOOKUP( $A40, Aop!$A$2:$P$453, 2, 0)</f>
        <v>BSa</v>
      </c>
      <c r="C40" s="105">
        <v>25</v>
      </c>
      <c r="D40" s="105" t="str">
        <f t="shared" si="0"/>
        <v>01937189</v>
      </c>
      <c r="E40" s="105" t="str">
        <f t="shared" si="6"/>
        <v>4401376020001</v>
      </c>
      <c r="F40" s="105" t="b">
        <f t="shared" si="1"/>
        <v>0</v>
      </c>
      <c r="G40" s="139">
        <f t="shared" si="2"/>
        <v>45838</v>
      </c>
      <c r="H40" s="105">
        <v>39</v>
      </c>
      <c r="I40" s="105">
        <f t="shared" si="3"/>
        <v>2025</v>
      </c>
      <c r="J40" s="55" t="str">
        <f t="shared" ca="1" si="7"/>
        <v/>
      </c>
      <c r="K40" s="55" t="str">
        <f t="shared" ca="1" si="8"/>
        <v/>
      </c>
      <c r="L40" s="55" t="str">
        <f t="shared" ca="1" si="4"/>
        <v/>
      </c>
      <c r="M40" s="55">
        <f t="shared" ca="1" si="9"/>
        <v>0</v>
      </c>
      <c r="N40" s="55">
        <f t="shared" ca="1" si="5"/>
        <v>0</v>
      </c>
    </row>
    <row r="41" spans="1:14">
      <c r="A41" s="105">
        <v>40</v>
      </c>
      <c r="B41" s="105" t="str">
        <f>VLOOKUP( $A41, Aop!$A$2:$P$453, 2, 0)</f>
        <v>BSa</v>
      </c>
      <c r="C41" s="105">
        <v>25</v>
      </c>
      <c r="D41" s="105" t="str">
        <f t="shared" si="0"/>
        <v>01937189</v>
      </c>
      <c r="E41" s="105" t="str">
        <f t="shared" si="6"/>
        <v>4401376020001</v>
      </c>
      <c r="F41" s="105" t="b">
        <f t="shared" si="1"/>
        <v>0</v>
      </c>
      <c r="G41" s="139">
        <f t="shared" si="2"/>
        <v>45838</v>
      </c>
      <c r="H41" s="105">
        <v>40</v>
      </c>
      <c r="I41" s="105">
        <f t="shared" si="3"/>
        <v>2025</v>
      </c>
      <c r="J41" s="55" t="str">
        <f t="shared" ca="1" si="7"/>
        <v/>
      </c>
      <c r="K41" s="55">
        <f t="shared" ca="1" si="8"/>
        <v>13950</v>
      </c>
      <c r="L41" s="55" t="str">
        <f t="shared" ca="1" si="4"/>
        <v/>
      </c>
      <c r="M41" s="55">
        <f t="shared" ca="1" si="9"/>
        <v>13950</v>
      </c>
      <c r="N41" s="55">
        <f t="shared" ca="1" si="5"/>
        <v>13950</v>
      </c>
    </row>
    <row r="42" spans="1:14">
      <c r="A42" s="105">
        <v>41</v>
      </c>
      <c r="B42" s="105" t="str">
        <f>VLOOKUP( $A42, Aop!$A$2:$P$453, 2, 0)</f>
        <v>BSa</v>
      </c>
      <c r="C42" s="105">
        <v>25</v>
      </c>
      <c r="D42" s="105" t="str">
        <f t="shared" si="0"/>
        <v>01937189</v>
      </c>
      <c r="E42" s="105" t="str">
        <f t="shared" si="6"/>
        <v>4401376020001</v>
      </c>
      <c r="F42" s="105" t="b">
        <f t="shared" si="1"/>
        <v>0</v>
      </c>
      <c r="G42" s="139">
        <f t="shared" si="2"/>
        <v>45838</v>
      </c>
      <c r="H42" s="105">
        <v>41</v>
      </c>
      <c r="I42" s="105">
        <f t="shared" si="3"/>
        <v>2025</v>
      </c>
      <c r="J42" s="55" t="str">
        <f t="shared" ca="1" si="7"/>
        <v/>
      </c>
      <c r="K42" s="55" t="str">
        <f t="shared" ca="1" si="8"/>
        <v/>
      </c>
      <c r="L42" s="55" t="str">
        <f t="shared" ca="1" si="4"/>
        <v/>
      </c>
      <c r="M42" s="55">
        <f t="shared" ca="1" si="9"/>
        <v>0</v>
      </c>
      <c r="N42" s="55">
        <f t="shared" ca="1" si="5"/>
        <v>0</v>
      </c>
    </row>
    <row r="43" spans="1:14">
      <c r="A43" s="105">
        <v>42</v>
      </c>
      <c r="B43" s="105" t="str">
        <f>VLOOKUP( $A43, Aop!$A$2:$P$453, 2, 0)</f>
        <v>BSa</v>
      </c>
      <c r="C43" s="105">
        <v>25</v>
      </c>
      <c r="D43" s="105" t="str">
        <f t="shared" si="0"/>
        <v>01937189</v>
      </c>
      <c r="E43" s="105" t="str">
        <f t="shared" si="6"/>
        <v>4401376020001</v>
      </c>
      <c r="F43" s="105" t="b">
        <f t="shared" si="1"/>
        <v>0</v>
      </c>
      <c r="G43" s="139">
        <f t="shared" si="2"/>
        <v>45838</v>
      </c>
      <c r="H43" s="105">
        <v>42</v>
      </c>
      <c r="I43" s="105">
        <f t="shared" si="3"/>
        <v>2025</v>
      </c>
      <c r="J43" s="55" t="str">
        <f t="shared" ca="1" si="7"/>
        <v/>
      </c>
      <c r="K43" s="55" t="str">
        <f t="shared" ca="1" si="8"/>
        <v/>
      </c>
      <c r="L43" s="55" t="str">
        <f t="shared" ca="1" si="4"/>
        <v/>
      </c>
      <c r="M43" s="55">
        <f t="shared" ca="1" si="9"/>
        <v>0</v>
      </c>
      <c r="N43" s="55">
        <f t="shared" ca="1" si="5"/>
        <v>0</v>
      </c>
    </row>
    <row r="44" spans="1:14">
      <c r="A44" s="105">
        <v>43</v>
      </c>
      <c r="B44" s="105" t="str">
        <f>VLOOKUP( $A44, Aop!$A$2:$P$453, 2, 0)</f>
        <v>BSa</v>
      </c>
      <c r="C44" s="105">
        <v>25</v>
      </c>
      <c r="D44" s="105" t="str">
        <f t="shared" si="0"/>
        <v>01937189</v>
      </c>
      <c r="E44" s="105" t="str">
        <f t="shared" si="6"/>
        <v>4401376020001</v>
      </c>
      <c r="F44" s="105" t="b">
        <f t="shared" si="1"/>
        <v>0</v>
      </c>
      <c r="G44" s="139">
        <f t="shared" si="2"/>
        <v>45838</v>
      </c>
      <c r="H44" s="105">
        <v>43</v>
      </c>
      <c r="I44" s="105">
        <f t="shared" si="3"/>
        <v>2025</v>
      </c>
      <c r="J44" s="55" t="str">
        <f t="shared" ca="1" si="7"/>
        <v/>
      </c>
      <c r="K44" s="55" t="str">
        <f t="shared" ca="1" si="8"/>
        <v/>
      </c>
      <c r="L44" s="55" t="str">
        <f t="shared" ca="1" si="4"/>
        <v/>
      </c>
      <c r="M44" s="55">
        <f t="shared" ca="1" si="9"/>
        <v>0</v>
      </c>
      <c r="N44" s="55">
        <f t="shared" ca="1" si="5"/>
        <v>0</v>
      </c>
    </row>
    <row r="45" spans="1:14">
      <c r="A45" s="105">
        <v>44</v>
      </c>
      <c r="B45" s="105" t="str">
        <f>VLOOKUP( $A45, Aop!$A$2:$P$453, 2, 0)</f>
        <v>BSa</v>
      </c>
      <c r="C45" s="105">
        <v>25</v>
      </c>
      <c r="D45" s="105" t="str">
        <f t="shared" si="0"/>
        <v>01937189</v>
      </c>
      <c r="E45" s="105" t="str">
        <f t="shared" si="6"/>
        <v>4401376020001</v>
      </c>
      <c r="F45" s="105" t="b">
        <f t="shared" si="1"/>
        <v>0</v>
      </c>
      <c r="G45" s="139">
        <f t="shared" si="2"/>
        <v>45838</v>
      </c>
      <c r="H45" s="105">
        <v>44</v>
      </c>
      <c r="I45" s="105">
        <f t="shared" si="3"/>
        <v>2025</v>
      </c>
      <c r="J45" s="55" t="str">
        <f t="shared" ca="1" si="7"/>
        <v/>
      </c>
      <c r="K45" s="55">
        <f t="shared" ca="1" si="8"/>
        <v>144436</v>
      </c>
      <c r="L45" s="55">
        <f t="shared" ca="1" si="4"/>
        <v>0</v>
      </c>
      <c r="M45" s="55">
        <f t="shared" ca="1" si="9"/>
        <v>144436</v>
      </c>
      <c r="N45" s="55">
        <f t="shared" ca="1" si="5"/>
        <v>144436</v>
      </c>
    </row>
    <row r="46" spans="1:14">
      <c r="A46" s="105">
        <v>45</v>
      </c>
      <c r="B46" s="105" t="str">
        <f>VLOOKUP( $A46, Aop!$A$2:$P$453, 2, 0)</f>
        <v>BSa</v>
      </c>
      <c r="C46" s="105">
        <v>25</v>
      </c>
      <c r="D46" s="105" t="str">
        <f t="shared" si="0"/>
        <v>01937189</v>
      </c>
      <c r="E46" s="105" t="str">
        <f t="shared" si="6"/>
        <v>4401376020001</v>
      </c>
      <c r="F46" s="105" t="b">
        <f t="shared" si="1"/>
        <v>0</v>
      </c>
      <c r="G46" s="139">
        <f t="shared" si="2"/>
        <v>45838</v>
      </c>
      <c r="H46" s="105">
        <v>45</v>
      </c>
      <c r="I46" s="105">
        <f t="shared" si="3"/>
        <v>2025</v>
      </c>
      <c r="J46" s="55" t="str">
        <f t="shared" ca="1" si="7"/>
        <v/>
      </c>
      <c r="K46" s="55">
        <f t="shared" ca="1" si="8"/>
        <v>129710</v>
      </c>
      <c r="L46" s="55">
        <f t="shared" ca="1" si="4"/>
        <v>0</v>
      </c>
      <c r="M46" s="55">
        <f t="shared" ca="1" si="9"/>
        <v>129710</v>
      </c>
      <c r="N46" s="55">
        <f t="shared" ca="1" si="5"/>
        <v>129710</v>
      </c>
    </row>
    <row r="47" spans="1:14">
      <c r="A47" s="105">
        <v>46</v>
      </c>
      <c r="B47" s="105" t="str">
        <f>VLOOKUP( $A47, Aop!$A$2:$P$453, 2, 0)</f>
        <v>BSa</v>
      </c>
      <c r="C47" s="105">
        <v>25</v>
      </c>
      <c r="D47" s="105" t="str">
        <f t="shared" si="0"/>
        <v>01937189</v>
      </c>
      <c r="E47" s="105" t="str">
        <f t="shared" si="6"/>
        <v>4401376020001</v>
      </c>
      <c r="F47" s="105" t="b">
        <f t="shared" si="1"/>
        <v>0</v>
      </c>
      <c r="G47" s="139">
        <f t="shared" si="2"/>
        <v>45838</v>
      </c>
      <c r="H47" s="105">
        <v>46</v>
      </c>
      <c r="I47" s="105">
        <f t="shared" si="3"/>
        <v>2025</v>
      </c>
      <c r="J47" s="55" t="str">
        <f t="shared" ca="1" si="7"/>
        <v/>
      </c>
      <c r="K47" s="55">
        <f t="shared" ca="1" si="8"/>
        <v>7020</v>
      </c>
      <c r="L47" s="55" t="str">
        <f t="shared" ca="1" si="4"/>
        <v/>
      </c>
      <c r="M47" s="55">
        <f t="shared" ca="1" si="9"/>
        <v>7020</v>
      </c>
      <c r="N47" s="55">
        <f t="shared" ca="1" si="5"/>
        <v>7020</v>
      </c>
    </row>
    <row r="48" spans="1:14">
      <c r="A48" s="105">
        <v>47</v>
      </c>
      <c r="B48" s="105" t="str">
        <f>VLOOKUP( $A48, Aop!$A$2:$P$453, 2, 0)</f>
        <v>BSa</v>
      </c>
      <c r="C48" s="105">
        <v>25</v>
      </c>
      <c r="D48" s="105" t="str">
        <f t="shared" si="0"/>
        <v>01937189</v>
      </c>
      <c r="E48" s="105" t="str">
        <f t="shared" si="6"/>
        <v>4401376020001</v>
      </c>
      <c r="F48" s="105" t="b">
        <f t="shared" si="1"/>
        <v>0</v>
      </c>
      <c r="G48" s="139">
        <f t="shared" si="2"/>
        <v>45838</v>
      </c>
      <c r="H48" s="105">
        <v>47</v>
      </c>
      <c r="I48" s="105">
        <f t="shared" si="3"/>
        <v>2025</v>
      </c>
      <c r="J48" s="55" t="str">
        <f t="shared" ca="1" si="7"/>
        <v/>
      </c>
      <c r="K48" s="55">
        <f t="shared" ca="1" si="8"/>
        <v>91115</v>
      </c>
      <c r="L48" s="55" t="str">
        <f t="shared" ca="1" si="4"/>
        <v/>
      </c>
      <c r="M48" s="55">
        <f t="shared" ca="1" si="9"/>
        <v>91115</v>
      </c>
      <c r="N48" s="55">
        <f t="shared" ca="1" si="5"/>
        <v>91115</v>
      </c>
    </row>
    <row r="49" spans="1:14">
      <c r="A49" s="105">
        <v>48</v>
      </c>
      <c r="B49" s="105" t="str">
        <f>VLOOKUP( $A49, Aop!$A$2:$P$453, 2, 0)</f>
        <v>BSa</v>
      </c>
      <c r="C49" s="105">
        <v>25</v>
      </c>
      <c r="D49" s="105" t="str">
        <f t="shared" si="0"/>
        <v>01937189</v>
      </c>
      <c r="E49" s="105" t="str">
        <f t="shared" si="6"/>
        <v>4401376020001</v>
      </c>
      <c r="F49" s="105" t="b">
        <f t="shared" si="1"/>
        <v>0</v>
      </c>
      <c r="G49" s="139">
        <f t="shared" si="2"/>
        <v>45838</v>
      </c>
      <c r="H49" s="105">
        <v>48</v>
      </c>
      <c r="I49" s="105">
        <f t="shared" si="3"/>
        <v>2025</v>
      </c>
      <c r="J49" s="55" t="str">
        <f t="shared" ca="1" si="7"/>
        <v/>
      </c>
      <c r="K49" s="55" t="str">
        <f t="shared" ca="1" si="8"/>
        <v/>
      </c>
      <c r="L49" s="55" t="str">
        <f t="shared" ca="1" si="4"/>
        <v/>
      </c>
      <c r="M49" s="55">
        <f t="shared" ca="1" si="9"/>
        <v>0</v>
      </c>
      <c r="N49" s="55">
        <f t="shared" ca="1" si="5"/>
        <v>0</v>
      </c>
    </row>
    <row r="50" spans="1:14">
      <c r="A50" s="105">
        <v>49</v>
      </c>
      <c r="B50" s="105" t="str">
        <f>VLOOKUP( $A50, Aop!$A$2:$P$453, 2, 0)</f>
        <v>BSa</v>
      </c>
      <c r="C50" s="105">
        <v>25</v>
      </c>
      <c r="D50" s="105" t="str">
        <f t="shared" si="0"/>
        <v>01937189</v>
      </c>
      <c r="E50" s="105" t="str">
        <f t="shared" si="6"/>
        <v>4401376020001</v>
      </c>
      <c r="F50" s="105" t="b">
        <f t="shared" si="1"/>
        <v>0</v>
      </c>
      <c r="G50" s="139">
        <f t="shared" si="2"/>
        <v>45838</v>
      </c>
      <c r="H50" s="105">
        <v>49</v>
      </c>
      <c r="I50" s="105">
        <f t="shared" si="3"/>
        <v>2025</v>
      </c>
      <c r="J50" s="55" t="str">
        <f t="shared" ca="1" si="7"/>
        <v/>
      </c>
      <c r="K50" s="55" t="str">
        <f t="shared" ca="1" si="8"/>
        <v/>
      </c>
      <c r="L50" s="55" t="str">
        <f t="shared" ca="1" si="4"/>
        <v/>
      </c>
      <c r="M50" s="55">
        <f t="shared" ca="1" si="9"/>
        <v>0</v>
      </c>
      <c r="N50" s="55">
        <f t="shared" ca="1" si="5"/>
        <v>0</v>
      </c>
    </row>
    <row r="51" spans="1:14">
      <c r="A51" s="105">
        <v>50</v>
      </c>
      <c r="B51" s="105" t="str">
        <f>VLOOKUP( $A51, Aop!$A$2:$P$453, 2, 0)</f>
        <v>BSa</v>
      </c>
      <c r="C51" s="105">
        <v>25</v>
      </c>
      <c r="D51" s="105" t="str">
        <f t="shared" si="0"/>
        <v>01937189</v>
      </c>
      <c r="E51" s="105" t="str">
        <f t="shared" si="6"/>
        <v>4401376020001</v>
      </c>
      <c r="F51" s="105" t="b">
        <f t="shared" si="1"/>
        <v>0</v>
      </c>
      <c r="G51" s="139">
        <f t="shared" si="2"/>
        <v>45838</v>
      </c>
      <c r="H51" s="105">
        <v>50</v>
      </c>
      <c r="I51" s="105">
        <f t="shared" si="3"/>
        <v>2025</v>
      </c>
      <c r="J51" s="55" t="str">
        <f t="shared" ca="1" si="7"/>
        <v/>
      </c>
      <c r="K51" s="55">
        <f t="shared" ca="1" si="8"/>
        <v>31575</v>
      </c>
      <c r="L51" s="55" t="str">
        <f t="shared" ca="1" si="4"/>
        <v/>
      </c>
      <c r="M51" s="55">
        <f t="shared" ca="1" si="9"/>
        <v>31575</v>
      </c>
      <c r="N51" s="55">
        <f t="shared" ca="1" si="5"/>
        <v>31575</v>
      </c>
    </row>
    <row r="52" spans="1:14">
      <c r="A52" s="105">
        <v>51</v>
      </c>
      <c r="B52" s="105" t="str">
        <f>VLOOKUP( $A52, Aop!$A$2:$P$453, 2, 0)</f>
        <v>BSa</v>
      </c>
      <c r="C52" s="105">
        <v>25</v>
      </c>
      <c r="D52" s="105" t="str">
        <f t="shared" si="0"/>
        <v>01937189</v>
      </c>
      <c r="E52" s="105" t="str">
        <f t="shared" si="6"/>
        <v>4401376020001</v>
      </c>
      <c r="F52" s="105" t="b">
        <f t="shared" si="1"/>
        <v>0</v>
      </c>
      <c r="G52" s="139">
        <f t="shared" si="2"/>
        <v>45838</v>
      </c>
      <c r="H52" s="105">
        <v>51</v>
      </c>
      <c r="I52" s="105">
        <f t="shared" si="3"/>
        <v>2025</v>
      </c>
      <c r="J52" s="55" t="str">
        <f t="shared" ca="1" si="7"/>
        <v/>
      </c>
      <c r="K52" s="55" t="str">
        <f t="shared" ca="1" si="8"/>
        <v/>
      </c>
      <c r="L52" s="55" t="str">
        <f t="shared" ca="1" si="4"/>
        <v/>
      </c>
      <c r="M52" s="55">
        <f t="shared" ca="1" si="9"/>
        <v>0</v>
      </c>
      <c r="N52" s="55">
        <f t="shared" ca="1" si="5"/>
        <v>0</v>
      </c>
    </row>
    <row r="53" spans="1:14">
      <c r="A53" s="105">
        <v>52</v>
      </c>
      <c r="B53" s="105" t="str">
        <f>VLOOKUP( $A53, Aop!$A$2:$P$453, 2, 0)</f>
        <v>BSa</v>
      </c>
      <c r="C53" s="105">
        <v>25</v>
      </c>
      <c r="D53" s="105" t="str">
        <f t="shared" si="0"/>
        <v>01937189</v>
      </c>
      <c r="E53" s="105" t="str">
        <f t="shared" si="6"/>
        <v>4401376020001</v>
      </c>
      <c r="F53" s="105" t="b">
        <f t="shared" si="1"/>
        <v>0</v>
      </c>
      <c r="G53" s="139">
        <f t="shared" si="2"/>
        <v>45838</v>
      </c>
      <c r="H53" s="105">
        <v>52</v>
      </c>
      <c r="I53" s="105">
        <f t="shared" si="3"/>
        <v>2025</v>
      </c>
      <c r="J53" s="55" t="str">
        <f t="shared" ca="1" si="7"/>
        <v/>
      </c>
      <c r="K53" s="55">
        <f t="shared" ca="1" si="8"/>
        <v>0</v>
      </c>
      <c r="L53" s="55">
        <f t="shared" ca="1" si="4"/>
        <v>0</v>
      </c>
      <c r="M53" s="55">
        <f t="shared" ca="1" si="9"/>
        <v>0</v>
      </c>
      <c r="N53" s="55">
        <f t="shared" ca="1" si="5"/>
        <v>0</v>
      </c>
    </row>
    <row r="54" spans="1:14">
      <c r="A54" s="105">
        <v>53</v>
      </c>
      <c r="B54" s="105" t="str">
        <f>VLOOKUP( $A54, Aop!$A$2:$P$453, 2, 0)</f>
        <v>BSa</v>
      </c>
      <c r="C54" s="105">
        <v>25</v>
      </c>
      <c r="D54" s="105" t="str">
        <f t="shared" si="0"/>
        <v>01937189</v>
      </c>
      <c r="E54" s="105" t="str">
        <f t="shared" si="6"/>
        <v>4401376020001</v>
      </c>
      <c r="F54" s="105" t="b">
        <f t="shared" si="1"/>
        <v>0</v>
      </c>
      <c r="G54" s="139">
        <f t="shared" si="2"/>
        <v>45838</v>
      </c>
      <c r="H54" s="105">
        <v>53</v>
      </c>
      <c r="I54" s="105">
        <f t="shared" si="3"/>
        <v>2025</v>
      </c>
      <c r="J54" s="55" t="str">
        <f t="shared" ca="1" si="7"/>
        <v/>
      </c>
      <c r="K54" s="55">
        <f t="shared" ca="1" si="8"/>
        <v>0</v>
      </c>
      <c r="L54" s="55">
        <f t="shared" ca="1" si="4"/>
        <v>0</v>
      </c>
      <c r="M54" s="55">
        <f t="shared" ca="1" si="9"/>
        <v>0</v>
      </c>
      <c r="N54" s="55">
        <f t="shared" ca="1" si="5"/>
        <v>0</v>
      </c>
    </row>
    <row r="55" spans="1:14">
      <c r="A55" s="105">
        <v>54</v>
      </c>
      <c r="B55" s="105" t="str">
        <f>VLOOKUP( $A55, Aop!$A$2:$P$453, 2, 0)</f>
        <v>BSa</v>
      </c>
      <c r="C55" s="105">
        <v>25</v>
      </c>
      <c r="D55" s="105" t="str">
        <f t="shared" si="0"/>
        <v>01937189</v>
      </c>
      <c r="E55" s="105" t="str">
        <f t="shared" si="6"/>
        <v>4401376020001</v>
      </c>
      <c r="F55" s="105" t="b">
        <f t="shared" si="1"/>
        <v>0</v>
      </c>
      <c r="G55" s="139">
        <f t="shared" si="2"/>
        <v>45838</v>
      </c>
      <c r="H55" s="105">
        <v>54</v>
      </c>
      <c r="I55" s="105">
        <f t="shared" si="3"/>
        <v>2025</v>
      </c>
      <c r="J55" s="55" t="str">
        <f t="shared" ca="1" si="7"/>
        <v/>
      </c>
      <c r="K55" s="55" t="str">
        <f t="shared" ca="1" si="8"/>
        <v/>
      </c>
      <c r="L55" s="55" t="str">
        <f t="shared" ca="1" si="4"/>
        <v/>
      </c>
      <c r="M55" s="55">
        <f t="shared" ca="1" si="9"/>
        <v>0</v>
      </c>
      <c r="N55" s="55">
        <f t="shared" ca="1" si="5"/>
        <v>0</v>
      </c>
    </row>
    <row r="56" spans="1:14">
      <c r="A56" s="105">
        <v>55</v>
      </c>
      <c r="B56" s="105" t="str">
        <f>VLOOKUP( $A56, Aop!$A$2:$P$453, 2, 0)</f>
        <v>BSa</v>
      </c>
      <c r="C56" s="105">
        <v>25</v>
      </c>
      <c r="D56" s="105" t="str">
        <f t="shared" si="0"/>
        <v>01937189</v>
      </c>
      <c r="E56" s="105" t="str">
        <f t="shared" si="6"/>
        <v>4401376020001</v>
      </c>
      <c r="F56" s="105" t="b">
        <f t="shared" si="1"/>
        <v>0</v>
      </c>
      <c r="G56" s="139">
        <f t="shared" si="2"/>
        <v>45838</v>
      </c>
      <c r="H56" s="105">
        <v>55</v>
      </c>
      <c r="I56" s="105">
        <f t="shared" si="3"/>
        <v>2025</v>
      </c>
      <c r="J56" s="55" t="str">
        <f t="shared" ca="1" si="7"/>
        <v/>
      </c>
      <c r="K56" s="55" t="str">
        <f t="shared" ca="1" si="8"/>
        <v/>
      </c>
      <c r="L56" s="55" t="str">
        <f t="shared" ca="1" si="4"/>
        <v/>
      </c>
      <c r="M56" s="55">
        <f t="shared" ca="1" si="9"/>
        <v>0</v>
      </c>
      <c r="N56" s="55">
        <f t="shared" ca="1" si="5"/>
        <v>0</v>
      </c>
    </row>
    <row r="57" spans="1:14">
      <c r="A57" s="105">
        <v>56</v>
      </c>
      <c r="B57" s="105" t="str">
        <f>VLOOKUP( $A57, Aop!$A$2:$P$453, 2, 0)</f>
        <v>BSa</v>
      </c>
      <c r="C57" s="105">
        <v>25</v>
      </c>
      <c r="D57" s="105" t="str">
        <f t="shared" si="0"/>
        <v>01937189</v>
      </c>
      <c r="E57" s="105" t="str">
        <f t="shared" si="6"/>
        <v>4401376020001</v>
      </c>
      <c r="F57" s="105" t="b">
        <f t="shared" si="1"/>
        <v>0</v>
      </c>
      <c r="G57" s="139">
        <f t="shared" si="2"/>
        <v>45838</v>
      </c>
      <c r="H57" s="105">
        <v>56</v>
      </c>
      <c r="I57" s="105">
        <f t="shared" si="3"/>
        <v>2025</v>
      </c>
      <c r="J57" s="55" t="str">
        <f t="shared" ca="1" si="7"/>
        <v/>
      </c>
      <c r="K57" s="55" t="str">
        <f t="shared" ca="1" si="8"/>
        <v/>
      </c>
      <c r="L57" s="55" t="str">
        <f t="shared" ca="1" si="4"/>
        <v/>
      </c>
      <c r="M57" s="55">
        <f t="shared" ca="1" si="9"/>
        <v>0</v>
      </c>
      <c r="N57" s="55">
        <f t="shared" ca="1" si="5"/>
        <v>0</v>
      </c>
    </row>
    <row r="58" spans="1:14">
      <c r="A58" s="105">
        <v>57</v>
      </c>
      <c r="B58" s="105" t="str">
        <f>VLOOKUP( $A58, Aop!$A$2:$P$453, 2, 0)</f>
        <v>BSa</v>
      </c>
      <c r="C58" s="105">
        <v>25</v>
      </c>
      <c r="D58" s="105" t="str">
        <f t="shared" si="0"/>
        <v>01937189</v>
      </c>
      <c r="E58" s="105" t="str">
        <f t="shared" si="6"/>
        <v>4401376020001</v>
      </c>
      <c r="F58" s="105" t="b">
        <f t="shared" si="1"/>
        <v>0</v>
      </c>
      <c r="G58" s="139">
        <f t="shared" si="2"/>
        <v>45838</v>
      </c>
      <c r="H58" s="105">
        <v>57</v>
      </c>
      <c r="I58" s="105">
        <f t="shared" si="3"/>
        <v>2025</v>
      </c>
      <c r="J58" s="55" t="str">
        <f t="shared" ca="1" si="7"/>
        <v/>
      </c>
      <c r="K58" s="55" t="str">
        <f t="shared" ca="1" si="8"/>
        <v/>
      </c>
      <c r="L58" s="55" t="str">
        <f t="shared" ca="1" si="4"/>
        <v/>
      </c>
      <c r="M58" s="55">
        <f t="shared" ca="1" si="9"/>
        <v>0</v>
      </c>
      <c r="N58" s="55">
        <f t="shared" ca="1" si="5"/>
        <v>0</v>
      </c>
    </row>
    <row r="59" spans="1:14">
      <c r="A59" s="105">
        <v>58</v>
      </c>
      <c r="B59" s="105" t="str">
        <f>VLOOKUP( $A59, Aop!$A$2:$P$453, 2, 0)</f>
        <v>BSa</v>
      </c>
      <c r="C59" s="105">
        <v>25</v>
      </c>
      <c r="D59" s="105" t="str">
        <f t="shared" si="0"/>
        <v>01937189</v>
      </c>
      <c r="E59" s="105" t="str">
        <f t="shared" si="6"/>
        <v>4401376020001</v>
      </c>
      <c r="F59" s="105" t="b">
        <f t="shared" si="1"/>
        <v>0</v>
      </c>
      <c r="G59" s="139">
        <f t="shared" si="2"/>
        <v>45838</v>
      </c>
      <c r="H59" s="105">
        <v>58</v>
      </c>
      <c r="I59" s="105">
        <f t="shared" si="3"/>
        <v>2025</v>
      </c>
      <c r="J59" s="55" t="str">
        <f t="shared" ca="1" si="7"/>
        <v/>
      </c>
      <c r="K59" s="55" t="str">
        <f t="shared" ca="1" si="8"/>
        <v/>
      </c>
      <c r="L59" s="55" t="str">
        <f t="shared" ca="1" si="4"/>
        <v/>
      </c>
      <c r="M59" s="55">
        <f t="shared" ca="1" si="9"/>
        <v>0</v>
      </c>
      <c r="N59" s="55">
        <f t="shared" ca="1" si="5"/>
        <v>0</v>
      </c>
    </row>
    <row r="60" spans="1:14">
      <c r="A60" s="105">
        <v>59</v>
      </c>
      <c r="B60" s="105" t="str">
        <f>VLOOKUP( $A60, Aop!$A$2:$P$453, 2, 0)</f>
        <v>BSa</v>
      </c>
      <c r="C60" s="105">
        <v>25</v>
      </c>
      <c r="D60" s="105" t="str">
        <f t="shared" si="0"/>
        <v>01937189</v>
      </c>
      <c r="E60" s="105" t="str">
        <f t="shared" si="6"/>
        <v>4401376020001</v>
      </c>
      <c r="F60" s="105" t="b">
        <f t="shared" si="1"/>
        <v>0</v>
      </c>
      <c r="G60" s="139">
        <f t="shared" si="2"/>
        <v>45838</v>
      </c>
      <c r="H60" s="105">
        <v>59</v>
      </c>
      <c r="I60" s="105">
        <f t="shared" si="3"/>
        <v>2025</v>
      </c>
      <c r="J60" s="55" t="str">
        <f t="shared" ca="1" si="7"/>
        <v/>
      </c>
      <c r="K60" s="55" t="str">
        <f t="shared" ca="1" si="8"/>
        <v/>
      </c>
      <c r="L60" s="55" t="str">
        <f t="shared" ca="1" si="4"/>
        <v/>
      </c>
      <c r="M60" s="55">
        <f t="shared" ca="1" si="9"/>
        <v>0</v>
      </c>
      <c r="N60" s="55">
        <f t="shared" ca="1" si="5"/>
        <v>0</v>
      </c>
    </row>
    <row r="61" spans="1:14">
      <c r="A61" s="105">
        <v>60</v>
      </c>
      <c r="B61" s="105" t="str">
        <f>VLOOKUP( $A61, Aop!$A$2:$P$453, 2, 0)</f>
        <v>BSa</v>
      </c>
      <c r="C61" s="105">
        <v>25</v>
      </c>
      <c r="D61" s="105" t="str">
        <f t="shared" si="0"/>
        <v>01937189</v>
      </c>
      <c r="E61" s="105" t="str">
        <f t="shared" si="6"/>
        <v>4401376020001</v>
      </c>
      <c r="F61" s="105" t="b">
        <f t="shared" si="1"/>
        <v>0</v>
      </c>
      <c r="G61" s="139">
        <f t="shared" si="2"/>
        <v>45838</v>
      </c>
      <c r="H61" s="105">
        <v>60</v>
      </c>
      <c r="I61" s="105">
        <f t="shared" si="3"/>
        <v>2025</v>
      </c>
      <c r="J61" s="55" t="str">
        <f t="shared" ca="1" si="7"/>
        <v/>
      </c>
      <c r="K61" s="55" t="str">
        <f t="shared" ca="1" si="8"/>
        <v/>
      </c>
      <c r="L61" s="55" t="str">
        <f t="shared" ca="1" si="4"/>
        <v/>
      </c>
      <c r="M61" s="55">
        <f t="shared" ca="1" si="9"/>
        <v>0</v>
      </c>
      <c r="N61" s="55">
        <f t="shared" ca="1" si="5"/>
        <v>0</v>
      </c>
    </row>
    <row r="62" spans="1:14">
      <c r="A62" s="105">
        <v>61</v>
      </c>
      <c r="B62" s="105" t="str">
        <f>VLOOKUP( $A62, Aop!$A$2:$P$453, 2, 0)</f>
        <v>BSa</v>
      </c>
      <c r="C62" s="105">
        <v>25</v>
      </c>
      <c r="D62" s="105" t="str">
        <f t="shared" si="0"/>
        <v>01937189</v>
      </c>
      <c r="E62" s="105" t="str">
        <f t="shared" si="6"/>
        <v>4401376020001</v>
      </c>
      <c r="F62" s="105" t="b">
        <f t="shared" si="1"/>
        <v>0</v>
      </c>
      <c r="G62" s="139">
        <f t="shared" si="2"/>
        <v>45838</v>
      </c>
      <c r="H62" s="105">
        <v>61</v>
      </c>
      <c r="I62" s="105">
        <f t="shared" si="3"/>
        <v>2025</v>
      </c>
      <c r="J62" s="55" t="str">
        <f t="shared" ca="1" si="7"/>
        <v/>
      </c>
      <c r="K62" s="55">
        <f t="shared" ca="1" si="8"/>
        <v>14726</v>
      </c>
      <c r="L62" s="55">
        <f t="shared" ca="1" si="4"/>
        <v>0</v>
      </c>
      <c r="M62" s="55">
        <f t="shared" ca="1" si="9"/>
        <v>14726</v>
      </c>
      <c r="N62" s="55">
        <f t="shared" ca="1" si="5"/>
        <v>14726</v>
      </c>
    </row>
    <row r="63" spans="1:14">
      <c r="A63" s="105">
        <v>62</v>
      </c>
      <c r="B63" s="105" t="str">
        <f>VLOOKUP( $A63, Aop!$A$2:$P$453, 2, 0)</f>
        <v>BSa</v>
      </c>
      <c r="C63" s="105">
        <v>25</v>
      </c>
      <c r="D63" s="105" t="str">
        <f t="shared" si="0"/>
        <v>01937189</v>
      </c>
      <c r="E63" s="105" t="str">
        <f t="shared" si="6"/>
        <v>4401376020001</v>
      </c>
      <c r="F63" s="105" t="b">
        <f t="shared" si="1"/>
        <v>0</v>
      </c>
      <c r="G63" s="139">
        <f t="shared" si="2"/>
        <v>45838</v>
      </c>
      <c r="H63" s="105">
        <v>62</v>
      </c>
      <c r="I63" s="105">
        <f t="shared" si="3"/>
        <v>2025</v>
      </c>
      <c r="J63" s="55" t="str">
        <f t="shared" ca="1" si="7"/>
        <v/>
      </c>
      <c r="K63" s="55" t="str">
        <f t="shared" ca="1" si="8"/>
        <v/>
      </c>
      <c r="L63" s="55" t="str">
        <f t="shared" ca="1" si="4"/>
        <v/>
      </c>
      <c r="M63" s="55">
        <f t="shared" ca="1" si="9"/>
        <v>0</v>
      </c>
      <c r="N63" s="55">
        <f t="shared" ca="1" si="5"/>
        <v>0</v>
      </c>
    </row>
    <row r="64" spans="1:14">
      <c r="A64" s="105">
        <v>63</v>
      </c>
      <c r="B64" s="105" t="str">
        <f>VLOOKUP( $A64, Aop!$A$2:$P$453, 2, 0)</f>
        <v>BSa</v>
      </c>
      <c r="C64" s="105">
        <v>25</v>
      </c>
      <c r="D64" s="105" t="str">
        <f t="shared" si="0"/>
        <v>01937189</v>
      </c>
      <c r="E64" s="105" t="str">
        <f t="shared" si="6"/>
        <v>4401376020001</v>
      </c>
      <c r="F64" s="105" t="b">
        <f t="shared" si="1"/>
        <v>0</v>
      </c>
      <c r="G64" s="139">
        <f t="shared" si="2"/>
        <v>45838</v>
      </c>
      <c r="H64" s="105">
        <v>63</v>
      </c>
      <c r="I64" s="105">
        <f t="shared" si="3"/>
        <v>2025</v>
      </c>
      <c r="J64" s="55" t="str">
        <f t="shared" ca="1" si="7"/>
        <v/>
      </c>
      <c r="K64" s="55">
        <f t="shared" ca="1" si="8"/>
        <v>14726</v>
      </c>
      <c r="L64" s="55" t="str">
        <f t="shared" ca="1" si="4"/>
        <v/>
      </c>
      <c r="M64" s="55">
        <f t="shared" ca="1" si="9"/>
        <v>14726</v>
      </c>
      <c r="N64" s="55">
        <f t="shared" ca="1" si="5"/>
        <v>14726</v>
      </c>
    </row>
    <row r="65" spans="1:14">
      <c r="A65" s="105">
        <v>64</v>
      </c>
      <c r="B65" s="105" t="str">
        <f>VLOOKUP( $A65, Aop!$A$2:$P$453, 2, 0)</f>
        <v>BSa</v>
      </c>
      <c r="C65" s="105">
        <v>25</v>
      </c>
      <c r="D65" s="105" t="str">
        <f t="shared" si="0"/>
        <v>01937189</v>
      </c>
      <c r="E65" s="105" t="str">
        <f t="shared" si="6"/>
        <v>4401376020001</v>
      </c>
      <c r="F65" s="105" t="b">
        <f t="shared" si="1"/>
        <v>0</v>
      </c>
      <c r="G65" s="139">
        <f t="shared" si="2"/>
        <v>45838</v>
      </c>
      <c r="H65" s="105">
        <v>64</v>
      </c>
      <c r="I65" s="105">
        <f t="shared" si="3"/>
        <v>2025</v>
      </c>
      <c r="J65" s="55" t="str">
        <f t="shared" ca="1" si="7"/>
        <v/>
      </c>
      <c r="K65" s="55" t="str">
        <f t="shared" ca="1" si="8"/>
        <v/>
      </c>
      <c r="L65" s="55" t="str">
        <f t="shared" ca="1" si="4"/>
        <v/>
      </c>
      <c r="M65" s="55">
        <f t="shared" ca="1" si="9"/>
        <v>0</v>
      </c>
      <c r="N65" s="55">
        <f t="shared" ca="1" si="5"/>
        <v>0</v>
      </c>
    </row>
    <row r="66" spans="1:14">
      <c r="A66" s="105">
        <v>65</v>
      </c>
      <c r="B66" s="55" t="str">
        <f>VLOOKUP( $A66, Aop!$A$2:$P$453, 2, 0)</f>
        <v>BSa</v>
      </c>
      <c r="C66" s="105">
        <v>25</v>
      </c>
      <c r="D66" s="55" t="str">
        <f>Podatak_MB</f>
        <v>01937189</v>
      </c>
      <c r="E66" s="55" t="str">
        <f>Podatak_JIB</f>
        <v>4401376020001</v>
      </c>
      <c r="F66" s="55" t="b">
        <f>Konsolidovan_izvjestaj</f>
        <v>0</v>
      </c>
      <c r="G66" s="139">
        <f>Datum_Broj</f>
        <v>45838</v>
      </c>
      <c r="H66" s="105">
        <v>65</v>
      </c>
      <c r="I66" s="55">
        <f>Godina</f>
        <v>2025</v>
      </c>
      <c r="J66" s="55" t="str">
        <f t="shared" ca="1" si="7"/>
        <v/>
      </c>
      <c r="K66" s="55" t="str">
        <f t="shared" ca="1" si="8"/>
        <v/>
      </c>
      <c r="L66" s="55" t="str">
        <f t="shared" ref="L66:L131" ca="1" si="10">IF( VLOOKUP( $H66, INDIRECT( "Lookup_" &amp; $B66), IF( LEFT( $B66, 2) = "BS", R$2, R$1), 0) = "", "", VLOOKUP( $H66, INDIRECT( "Lookup_" &amp; $B66), IF( $B66 = "BSa", R$2, R$1), 0))</f>
        <v/>
      </c>
      <c r="M66" s="55">
        <f t="shared" ca="1" si="9"/>
        <v>0</v>
      </c>
      <c r="N66" s="55">
        <f t="shared" ref="N66:N129" ca="1" si="11">IF( VLOOKUP( $H66, INDIRECT( "Lookup_" &amp; $B66), IF( LEFT( $B66, 2) = "BS", S$2, S$1), 0) = "", "", VLOOKUP( $H66, INDIRECT( "Lookup_" &amp; $B66), IF( LEFT( $B66, 2) = "BS", S$2, S$1), 0))</f>
        <v>0</v>
      </c>
    </row>
    <row r="67" spans="1:14">
      <c r="A67" s="105">
        <v>66</v>
      </c>
      <c r="B67" s="55" t="str">
        <f>VLOOKUP( $A67, Aop!$A$2:$P$453, 2, 0)</f>
        <v>BSa</v>
      </c>
      <c r="C67" s="105">
        <v>25</v>
      </c>
      <c r="D67" s="55" t="str">
        <f>Podatak_MB</f>
        <v>01937189</v>
      </c>
      <c r="E67" s="55" t="str">
        <f>Podatak_JIB</f>
        <v>4401376020001</v>
      </c>
      <c r="F67" s="55" t="b">
        <f>Konsolidovan_izvjestaj</f>
        <v>0</v>
      </c>
      <c r="G67" s="139">
        <f>Datum_Broj</f>
        <v>45838</v>
      </c>
      <c r="H67" s="105">
        <v>66</v>
      </c>
      <c r="I67" s="55">
        <f>Godina</f>
        <v>2025</v>
      </c>
      <c r="J67" s="55" t="str">
        <f t="shared" ca="1" si="7"/>
        <v/>
      </c>
      <c r="K67" s="55">
        <f t="shared" ca="1" si="8"/>
        <v>1026894</v>
      </c>
      <c r="L67" s="55">
        <f ca="1">IF( VLOOKUP( $H67, INDIRECT( "Lookup_" &amp; $B67), IF( LEFT( $B67, 2) = "BS", R$2, R$1), 0) = "", "", VLOOKUP( $H67, INDIRECT( "Lookup_" &amp; $B67), IF( $B67 = "BSa", R$2, R$1), 0))</f>
        <v>600509</v>
      </c>
      <c r="M67" s="55">
        <f t="shared" ca="1" si="9"/>
        <v>426385</v>
      </c>
      <c r="N67" s="55">
        <f t="shared" ca="1" si="11"/>
        <v>426385</v>
      </c>
    </row>
    <row r="68" spans="1:14">
      <c r="A68" s="105">
        <v>67</v>
      </c>
      <c r="B68" s="105" t="str">
        <f>VLOOKUP( $A68, Aop!$A$2:$P$453, 2, 0)</f>
        <v>BSa</v>
      </c>
      <c r="C68" s="105">
        <v>25</v>
      </c>
      <c r="D68" s="105" t="str">
        <f t="shared" ref="D68:D129" si="12">Podatak_MB</f>
        <v>01937189</v>
      </c>
      <c r="E68" s="105" t="str">
        <f t="shared" ref="E68:E129" si="13">Podatak_JIB</f>
        <v>4401376020001</v>
      </c>
      <c r="F68" s="105" t="b">
        <f t="shared" ref="F68:F131" si="14">Konsolidovan_izvjestaj</f>
        <v>0</v>
      </c>
      <c r="G68" s="139">
        <f t="shared" ref="G68:G131" si="15">Datum_Broj</f>
        <v>45838</v>
      </c>
      <c r="H68" s="105">
        <v>67</v>
      </c>
      <c r="I68" s="105">
        <f t="shared" ref="I68:I129" si="16">Godina</f>
        <v>2025</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c r="A69" s="105">
        <v>68</v>
      </c>
      <c r="B69" s="105" t="str">
        <f>VLOOKUP( $A69, Aop!$A$2:$P$453, 2, 0)</f>
        <v>BSp</v>
      </c>
      <c r="C69" s="105">
        <v>26</v>
      </c>
      <c r="D69" s="105" t="str">
        <f>Podatak_MB</f>
        <v>01937189</v>
      </c>
      <c r="E69" s="105" t="str">
        <f>Podatak_JIB</f>
        <v>4401376020001</v>
      </c>
      <c r="F69" s="105" t="b">
        <f>Konsolidovan_izvjestaj</f>
        <v>0</v>
      </c>
      <c r="G69" s="139">
        <f>Datum_Broj</f>
        <v>45838</v>
      </c>
      <c r="H69" s="105">
        <f>VLOOKUP( $A69, Aop!$A$2:$P$453, 4, 0)</f>
        <v>101</v>
      </c>
      <c r="I69" s="105">
        <f>Godina</f>
        <v>2025</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90805</v>
      </c>
      <c r="N69" s="55">
        <f t="shared" ca="1" si="11"/>
        <v>90805</v>
      </c>
    </row>
    <row r="70" spans="1:14">
      <c r="A70" s="105">
        <v>69</v>
      </c>
      <c r="B70" s="105" t="str">
        <f>VLOOKUP( $A70, Aop!$A$2:$P$453, 2, 0)</f>
        <v>BSp</v>
      </c>
      <c r="C70" s="105">
        <v>26</v>
      </c>
      <c r="D70" s="105" t="str">
        <f t="shared" si="12"/>
        <v>01937189</v>
      </c>
      <c r="E70" s="105" t="str">
        <f t="shared" si="13"/>
        <v>4401376020001</v>
      </c>
      <c r="F70" s="105" t="b">
        <f t="shared" si="14"/>
        <v>0</v>
      </c>
      <c r="G70" s="139">
        <f t="shared" si="15"/>
        <v>45838</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87859</v>
      </c>
      <c r="N70" s="55">
        <f t="shared" ca="1" si="11"/>
        <v>87859</v>
      </c>
    </row>
    <row r="71" spans="1:14">
      <c r="A71" s="105">
        <v>70</v>
      </c>
      <c r="B71" s="105" t="str">
        <f>VLOOKUP( $A71, Aop!$A$2:$P$453, 2, 0)</f>
        <v>BSp</v>
      </c>
      <c r="C71" s="105">
        <v>26</v>
      </c>
      <c r="D71" s="105" t="str">
        <f t="shared" si="12"/>
        <v>01937189</v>
      </c>
      <c r="E71" s="105" t="str">
        <f t="shared" si="13"/>
        <v>4401376020001</v>
      </c>
      <c r="F71" s="105" t="b">
        <f t="shared" si="14"/>
        <v>0</v>
      </c>
      <c r="G71" s="139">
        <f t="shared" si="15"/>
        <v>45838</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87859</v>
      </c>
      <c r="N71" s="55">
        <f t="shared" ca="1" si="11"/>
        <v>87859</v>
      </c>
    </row>
    <row r="72" spans="1:14">
      <c r="A72" s="105">
        <v>71</v>
      </c>
      <c r="B72" s="105" t="str">
        <f>VLOOKUP( $A72, Aop!$A$2:$P$453, 2, 0)</f>
        <v>BSp</v>
      </c>
      <c r="C72" s="105">
        <v>26</v>
      </c>
      <c r="D72" s="105" t="str">
        <f t="shared" si="12"/>
        <v>01937189</v>
      </c>
      <c r="E72" s="105" t="str">
        <f t="shared" si="13"/>
        <v>4401376020001</v>
      </c>
      <c r="F72" s="105" t="b">
        <f t="shared" si="14"/>
        <v>0</v>
      </c>
      <c r="G72" s="139">
        <f t="shared" si="15"/>
        <v>45838</v>
      </c>
      <c r="H72" s="105">
        <f>VLOOKUP( $A72, Aop!$A$2:$P$453, 4, 0)</f>
        <v>104</v>
      </c>
      <c r="I72" s="105">
        <f t="shared" si="16"/>
        <v>2025</v>
      </c>
      <c r="J72" s="55" t="str">
        <f t="shared" ca="1" si="20"/>
        <v/>
      </c>
      <c r="K72" s="55"/>
      <c r="L72" s="55" t="str">
        <f t="shared" ca="1" si="10"/>
        <v/>
      </c>
      <c r="M72" s="55">
        <f t="shared" ca="1" si="19"/>
        <v>87859</v>
      </c>
      <c r="N72" s="55">
        <f t="shared" ca="1" si="11"/>
        <v>87859</v>
      </c>
    </row>
    <row r="73" spans="1:14">
      <c r="A73" s="105">
        <v>72</v>
      </c>
      <c r="B73" s="105" t="str">
        <f>VLOOKUP( $A73, Aop!$A$2:$P$453, 2, 0)</f>
        <v>BSp</v>
      </c>
      <c r="C73" s="105">
        <v>26</v>
      </c>
      <c r="D73" s="105" t="str">
        <f t="shared" si="12"/>
        <v>01937189</v>
      </c>
      <c r="E73" s="105" t="str">
        <f t="shared" si="13"/>
        <v>4401376020001</v>
      </c>
      <c r="F73" s="105" t="b">
        <f t="shared" si="14"/>
        <v>0</v>
      </c>
      <c r="G73" s="139">
        <f t="shared" si="15"/>
        <v>45838</v>
      </c>
      <c r="H73" s="105">
        <f>VLOOKUP( $A73, Aop!$A$2:$P$453, 4, 0)</f>
        <v>105</v>
      </c>
      <c r="I73" s="105">
        <f t="shared" si="16"/>
        <v>2025</v>
      </c>
      <c r="J73" s="55" t="str">
        <f t="shared" ca="1" si="20"/>
        <v/>
      </c>
      <c r="K73" s="55"/>
      <c r="L73" s="55" t="str">
        <f t="shared" ca="1" si="10"/>
        <v/>
      </c>
      <c r="M73" s="55" t="str">
        <f t="shared" ca="1" si="19"/>
        <v/>
      </c>
      <c r="N73" s="55" t="str">
        <f t="shared" ca="1" si="11"/>
        <v/>
      </c>
    </row>
    <row r="74" spans="1:14">
      <c r="A74" s="105">
        <v>73</v>
      </c>
      <c r="B74" s="105" t="str">
        <f>VLOOKUP( $A74, Aop!$A$2:$P$453, 2, 0)</f>
        <v>BSp</v>
      </c>
      <c r="C74" s="105">
        <v>26</v>
      </c>
      <c r="D74" s="105" t="str">
        <f t="shared" si="12"/>
        <v>01937189</v>
      </c>
      <c r="E74" s="105" t="str">
        <f t="shared" si="13"/>
        <v>4401376020001</v>
      </c>
      <c r="F74" s="105" t="b">
        <f t="shared" si="14"/>
        <v>0</v>
      </c>
      <c r="G74" s="139">
        <f t="shared" si="15"/>
        <v>45838</v>
      </c>
      <c r="H74" s="105">
        <f>VLOOKUP( $A74, Aop!$A$2:$P$453, 4, 0)</f>
        <v>106</v>
      </c>
      <c r="I74" s="105">
        <f t="shared" si="16"/>
        <v>2025</v>
      </c>
      <c r="J74" s="55" t="str">
        <f t="shared" ca="1" si="20"/>
        <v/>
      </c>
      <c r="K74" s="55"/>
      <c r="L74" s="55" t="str">
        <f t="shared" ca="1" si="10"/>
        <v/>
      </c>
      <c r="M74" s="55" t="str">
        <f t="shared" ca="1" si="19"/>
        <v/>
      </c>
      <c r="N74" s="55" t="str">
        <f t="shared" ca="1" si="11"/>
        <v/>
      </c>
    </row>
    <row r="75" spans="1:14">
      <c r="A75" s="105">
        <v>74</v>
      </c>
      <c r="B75" s="105" t="str">
        <f>VLOOKUP( $A75, Aop!$A$2:$P$453, 2, 0)</f>
        <v>BSp</v>
      </c>
      <c r="C75" s="105">
        <v>26</v>
      </c>
      <c r="D75" s="105" t="str">
        <f t="shared" si="12"/>
        <v>01937189</v>
      </c>
      <c r="E75" s="105" t="str">
        <f t="shared" si="13"/>
        <v>4401376020001</v>
      </c>
      <c r="F75" s="105" t="b">
        <f t="shared" si="14"/>
        <v>0</v>
      </c>
      <c r="G75" s="139">
        <f t="shared" si="15"/>
        <v>45838</v>
      </c>
      <c r="H75" s="105">
        <f>VLOOKUP( $A75, Aop!$A$2:$P$453, 4, 0)</f>
        <v>107</v>
      </c>
      <c r="I75" s="105">
        <f t="shared" si="16"/>
        <v>2025</v>
      </c>
      <c r="J75" s="55" t="str">
        <f t="shared" ca="1" si="20"/>
        <v/>
      </c>
      <c r="K75" s="55"/>
      <c r="L75" s="55" t="str">
        <f t="shared" ca="1" si="10"/>
        <v/>
      </c>
      <c r="M75" s="55" t="str">
        <f t="shared" ca="1" si="19"/>
        <v/>
      </c>
      <c r="N75" s="55" t="str">
        <f t="shared" ca="1" si="11"/>
        <v/>
      </c>
    </row>
    <row r="76" spans="1:14">
      <c r="A76" s="105">
        <v>75</v>
      </c>
      <c r="B76" s="105" t="str">
        <f>VLOOKUP( $A76, Aop!$A$2:$P$453, 2, 0)</f>
        <v>BSp</v>
      </c>
      <c r="C76" s="105">
        <v>26</v>
      </c>
      <c r="D76" s="105" t="str">
        <f t="shared" si="12"/>
        <v>01937189</v>
      </c>
      <c r="E76" s="105" t="str">
        <f t="shared" si="13"/>
        <v>4401376020001</v>
      </c>
      <c r="F76" s="105" t="b">
        <f t="shared" si="14"/>
        <v>0</v>
      </c>
      <c r="G76" s="139">
        <f t="shared" si="15"/>
        <v>45838</v>
      </c>
      <c r="H76" s="105">
        <f>VLOOKUP( $A76, Aop!$A$2:$P$453, 4, 0)</f>
        <v>108</v>
      </c>
      <c r="I76" s="105">
        <f t="shared" si="16"/>
        <v>2025</v>
      </c>
      <c r="J76" s="55" t="str">
        <f t="shared" ca="1" si="20"/>
        <v/>
      </c>
      <c r="K76" s="55"/>
      <c r="L76" s="55" t="str">
        <f t="shared" ca="1" si="10"/>
        <v/>
      </c>
      <c r="M76" s="55" t="str">
        <f t="shared" ca="1" si="19"/>
        <v/>
      </c>
      <c r="N76" s="55" t="str">
        <f t="shared" ca="1" si="11"/>
        <v/>
      </c>
    </row>
    <row r="77" spans="1:14">
      <c r="A77" s="105">
        <v>76</v>
      </c>
      <c r="B77" s="105" t="str">
        <f>VLOOKUP( $A77, Aop!$A$2:$P$453, 2, 0)</f>
        <v>BSp</v>
      </c>
      <c r="C77" s="105">
        <v>26</v>
      </c>
      <c r="D77" s="105" t="str">
        <f t="shared" si="12"/>
        <v>01937189</v>
      </c>
      <c r="E77" s="105" t="str">
        <f t="shared" si="13"/>
        <v>4401376020001</v>
      </c>
      <c r="F77" s="105" t="b">
        <f t="shared" si="14"/>
        <v>0</v>
      </c>
      <c r="G77" s="139">
        <f t="shared" si="15"/>
        <v>45838</v>
      </c>
      <c r="H77" s="105">
        <f>VLOOKUP( $A77, Aop!$A$2:$P$453, 4, 0)</f>
        <v>109</v>
      </c>
      <c r="I77" s="105">
        <f t="shared" si="16"/>
        <v>2025</v>
      </c>
      <c r="J77" s="55" t="str">
        <f t="shared" ca="1" si="20"/>
        <v/>
      </c>
      <c r="K77" s="55"/>
      <c r="L77" s="55" t="str">
        <f t="shared" ca="1" si="10"/>
        <v/>
      </c>
      <c r="M77" s="55" t="str">
        <f t="shared" ca="1" si="19"/>
        <v/>
      </c>
      <c r="N77" s="55" t="str">
        <f t="shared" ca="1" si="11"/>
        <v/>
      </c>
    </row>
    <row r="78" spans="1:14">
      <c r="A78" s="105">
        <v>77</v>
      </c>
      <c r="B78" s="105" t="str">
        <f>VLOOKUP( $A78, Aop!$A$2:$P$453, 2, 0)</f>
        <v>BSp</v>
      </c>
      <c r="C78" s="105">
        <v>26</v>
      </c>
      <c r="D78" s="105" t="str">
        <f t="shared" si="12"/>
        <v>01937189</v>
      </c>
      <c r="E78" s="105" t="str">
        <f t="shared" si="13"/>
        <v>4401376020001</v>
      </c>
      <c r="F78" s="105" t="b">
        <f t="shared" si="14"/>
        <v>0</v>
      </c>
      <c r="G78" s="139">
        <f t="shared" si="15"/>
        <v>45838</v>
      </c>
      <c r="H78" s="105">
        <f>VLOOKUP( $A78, Aop!$A$2:$P$453, 4, 0)</f>
        <v>110</v>
      </c>
      <c r="I78" s="105">
        <f t="shared" si="16"/>
        <v>2025</v>
      </c>
      <c r="J78" s="55" t="str">
        <f t="shared" ca="1" si="20"/>
        <v/>
      </c>
      <c r="K78" s="55"/>
      <c r="L78" s="55" t="str">
        <f t="shared" ca="1" si="10"/>
        <v/>
      </c>
      <c r="M78" s="55">
        <f t="shared" ca="1" si="19"/>
        <v>0</v>
      </c>
      <c r="N78" s="55">
        <f t="shared" ca="1" si="11"/>
        <v>0</v>
      </c>
    </row>
    <row r="79" spans="1:14">
      <c r="A79" s="105">
        <v>78</v>
      </c>
      <c r="B79" s="105" t="str">
        <f>VLOOKUP( $A79, Aop!$A$2:$P$453, 2, 0)</f>
        <v>BSp</v>
      </c>
      <c r="C79" s="105">
        <v>26</v>
      </c>
      <c r="D79" s="105" t="str">
        <f t="shared" si="12"/>
        <v>01937189</v>
      </c>
      <c r="E79" s="105" t="str">
        <f t="shared" si="13"/>
        <v>4401376020001</v>
      </c>
      <c r="F79" s="105" t="b">
        <f t="shared" si="14"/>
        <v>0</v>
      </c>
      <c r="G79" s="139">
        <f t="shared" si="15"/>
        <v>45838</v>
      </c>
      <c r="H79" s="105">
        <f>VLOOKUP( $A79, Aop!$A$2:$P$453, 4, 0)</f>
        <v>111</v>
      </c>
      <c r="I79" s="105">
        <f t="shared" si="16"/>
        <v>2025</v>
      </c>
      <c r="J79" s="55" t="str">
        <f t="shared" ca="1" si="20"/>
        <v/>
      </c>
      <c r="K79" s="55"/>
      <c r="L79" s="55" t="str">
        <f t="shared" ca="1" si="10"/>
        <v/>
      </c>
      <c r="M79" s="55" t="str">
        <f t="shared" ca="1" si="19"/>
        <v/>
      </c>
      <c r="N79" s="55" t="str">
        <f t="shared" ca="1" si="11"/>
        <v/>
      </c>
    </row>
    <row r="80" spans="1:14">
      <c r="A80" s="105">
        <v>79</v>
      </c>
      <c r="B80" s="105" t="str">
        <f>VLOOKUP( $A80, Aop!$A$2:$P$453, 2, 0)</f>
        <v>BSp</v>
      </c>
      <c r="C80" s="105">
        <v>26</v>
      </c>
      <c r="D80" s="105" t="str">
        <f t="shared" si="12"/>
        <v>01937189</v>
      </c>
      <c r="E80" s="105" t="str">
        <f t="shared" si="13"/>
        <v>4401376020001</v>
      </c>
      <c r="F80" s="105" t="b">
        <f t="shared" si="14"/>
        <v>0</v>
      </c>
      <c r="G80" s="139">
        <f t="shared" si="15"/>
        <v>45838</v>
      </c>
      <c r="H80" s="105">
        <f>VLOOKUP( $A80, Aop!$A$2:$P$453, 4, 0)</f>
        <v>112</v>
      </c>
      <c r="I80" s="105">
        <f t="shared" si="16"/>
        <v>2025</v>
      </c>
      <c r="J80" s="55" t="str">
        <f t="shared" ca="1" si="20"/>
        <v/>
      </c>
      <c r="K80" s="55"/>
      <c r="L80" s="55" t="str">
        <f t="shared" ca="1" si="10"/>
        <v/>
      </c>
      <c r="M80" s="55" t="str">
        <f t="shared" ca="1" si="19"/>
        <v/>
      </c>
      <c r="N80" s="55" t="str">
        <f t="shared" ca="1" si="11"/>
        <v/>
      </c>
    </row>
    <row r="81" spans="1:14">
      <c r="A81" s="105">
        <v>80</v>
      </c>
      <c r="B81" s="105" t="str">
        <f>VLOOKUP( $A81, Aop!$A$2:$P$453, 2, 0)</f>
        <v>BSp</v>
      </c>
      <c r="C81" s="105">
        <v>26</v>
      </c>
      <c r="D81" s="105" t="str">
        <f t="shared" si="12"/>
        <v>01937189</v>
      </c>
      <c r="E81" s="105" t="str">
        <f t="shared" si="13"/>
        <v>4401376020001</v>
      </c>
      <c r="F81" s="105" t="b">
        <f t="shared" si="14"/>
        <v>0</v>
      </c>
      <c r="G81" s="139">
        <f t="shared" si="15"/>
        <v>45838</v>
      </c>
      <c r="H81" s="105">
        <f>VLOOKUP( $A81, Aop!$A$2:$P$453, 4, 0)</f>
        <v>113</v>
      </c>
      <c r="I81" s="105">
        <f t="shared" si="16"/>
        <v>2025</v>
      </c>
      <c r="J81" s="55" t="str">
        <f t="shared" ca="1" si="20"/>
        <v/>
      </c>
      <c r="K81" s="55"/>
      <c r="L81" s="55" t="str">
        <f t="shared" ca="1" si="10"/>
        <v/>
      </c>
      <c r="M81" s="55" t="str">
        <f t="shared" ca="1" si="19"/>
        <v/>
      </c>
      <c r="N81" s="55" t="str">
        <f t="shared" ca="1" si="11"/>
        <v/>
      </c>
    </row>
    <row r="82" spans="1:14">
      <c r="A82" s="105">
        <v>81</v>
      </c>
      <c r="B82" s="105" t="str">
        <f>VLOOKUP( $A82, Aop!$A$2:$P$453, 2, 0)</f>
        <v>BSp</v>
      </c>
      <c r="C82" s="105">
        <v>26</v>
      </c>
      <c r="D82" s="105" t="str">
        <f t="shared" si="12"/>
        <v>01937189</v>
      </c>
      <c r="E82" s="105" t="str">
        <f t="shared" si="13"/>
        <v>4401376020001</v>
      </c>
      <c r="F82" s="105" t="b">
        <f t="shared" si="14"/>
        <v>0</v>
      </c>
      <c r="G82" s="139">
        <f t="shared" si="15"/>
        <v>45838</v>
      </c>
      <c r="H82" s="105">
        <f>VLOOKUP( $A82, Aop!$A$2:$P$453, 4, 0)</f>
        <v>114</v>
      </c>
      <c r="I82" s="105">
        <f t="shared" si="16"/>
        <v>2025</v>
      </c>
      <c r="J82" s="55" t="str">
        <f t="shared" ca="1" si="20"/>
        <v/>
      </c>
      <c r="K82" s="55"/>
      <c r="L82" s="55" t="str">
        <f t="shared" ca="1" si="10"/>
        <v/>
      </c>
      <c r="M82" s="55" t="str">
        <f t="shared" ca="1" si="19"/>
        <v/>
      </c>
      <c r="N82" s="55" t="str">
        <f t="shared" ca="1" si="11"/>
        <v/>
      </c>
    </row>
    <row r="83" spans="1:14">
      <c r="A83" s="105">
        <v>82</v>
      </c>
      <c r="B83" s="105" t="str">
        <f>VLOOKUP( $A83, Aop!$A$2:$P$453, 2, 0)</f>
        <v>BSp</v>
      </c>
      <c r="C83" s="105">
        <v>26</v>
      </c>
      <c r="D83" s="105" t="str">
        <f t="shared" si="12"/>
        <v>01937189</v>
      </c>
      <c r="E83" s="105" t="str">
        <f t="shared" si="13"/>
        <v>4401376020001</v>
      </c>
      <c r="F83" s="105" t="b">
        <f t="shared" si="14"/>
        <v>0</v>
      </c>
      <c r="G83" s="139">
        <f t="shared" si="15"/>
        <v>45838</v>
      </c>
      <c r="H83" s="105">
        <f>VLOOKUP( $A83, Aop!$A$2:$P$453, 4, 0)</f>
        <v>115</v>
      </c>
      <c r="I83" s="105">
        <f t="shared" si="16"/>
        <v>2025</v>
      </c>
      <c r="J83" s="55" t="str">
        <f t="shared" ca="1" si="20"/>
        <v/>
      </c>
      <c r="K83" s="55"/>
      <c r="L83" s="55" t="str">
        <f t="shared" ca="1" si="10"/>
        <v/>
      </c>
      <c r="M83" s="55">
        <f t="shared" ca="1" si="19"/>
        <v>528</v>
      </c>
      <c r="N83" s="55">
        <f t="shared" ca="1" si="11"/>
        <v>528</v>
      </c>
    </row>
    <row r="84" spans="1:14">
      <c r="A84" s="105">
        <v>83</v>
      </c>
      <c r="B84" s="105" t="str">
        <f>VLOOKUP( $A84, Aop!$A$2:$P$453, 2, 0)</f>
        <v>BSp</v>
      </c>
      <c r="C84" s="105">
        <v>26</v>
      </c>
      <c r="D84" s="105" t="str">
        <f t="shared" si="12"/>
        <v>01937189</v>
      </c>
      <c r="E84" s="105" t="str">
        <f t="shared" si="13"/>
        <v>4401376020001</v>
      </c>
      <c r="F84" s="105" t="b">
        <f t="shared" si="14"/>
        <v>0</v>
      </c>
      <c r="G84" s="139">
        <f t="shared" si="15"/>
        <v>45838</v>
      </c>
      <c r="H84" s="105">
        <f>VLOOKUP( $A84, Aop!$A$2:$P$453, 4, 0)</f>
        <v>116</v>
      </c>
      <c r="I84" s="105">
        <f t="shared" si="16"/>
        <v>2025</v>
      </c>
      <c r="J84" s="55" t="str">
        <f t="shared" ca="1" si="20"/>
        <v/>
      </c>
      <c r="K84" s="55"/>
      <c r="L84" s="55" t="str">
        <f t="shared" ca="1" si="10"/>
        <v/>
      </c>
      <c r="M84" s="55">
        <f t="shared" ca="1" si="19"/>
        <v>528</v>
      </c>
      <c r="N84" s="55">
        <f t="shared" ca="1" si="11"/>
        <v>528</v>
      </c>
    </row>
    <row r="85" spans="1:14">
      <c r="A85" s="105">
        <v>84</v>
      </c>
      <c r="B85" s="105" t="str">
        <f>VLOOKUP( $A85, Aop!$A$2:$P$453, 2, 0)</f>
        <v>BSp</v>
      </c>
      <c r="C85" s="105">
        <v>26</v>
      </c>
      <c r="D85" s="105" t="str">
        <f t="shared" si="12"/>
        <v>01937189</v>
      </c>
      <c r="E85" s="105" t="str">
        <f t="shared" si="13"/>
        <v>4401376020001</v>
      </c>
      <c r="F85" s="105" t="b">
        <f t="shared" si="14"/>
        <v>0</v>
      </c>
      <c r="G85" s="139">
        <f t="shared" si="15"/>
        <v>45838</v>
      </c>
      <c r="H85" s="105">
        <f>VLOOKUP( $A85, Aop!$A$2:$P$453, 4, 0)</f>
        <v>117</v>
      </c>
      <c r="I85" s="105">
        <f t="shared" si="16"/>
        <v>2025</v>
      </c>
      <c r="J85" s="55" t="str">
        <f t="shared" ca="1" si="20"/>
        <v/>
      </c>
      <c r="K85" s="55"/>
      <c r="L85" s="55" t="str">
        <f t="shared" ca="1" si="10"/>
        <v/>
      </c>
      <c r="M85" s="55" t="str">
        <f t="shared" ca="1" si="19"/>
        <v/>
      </c>
      <c r="N85" s="55" t="str">
        <f t="shared" ca="1" si="11"/>
        <v/>
      </c>
    </row>
    <row r="86" spans="1:14">
      <c r="A86" s="105">
        <v>85</v>
      </c>
      <c r="B86" s="105" t="str">
        <f>VLOOKUP( $A86, Aop!$A$2:$P$453, 2, 0)</f>
        <v>BSp</v>
      </c>
      <c r="C86" s="105">
        <v>26</v>
      </c>
      <c r="D86" s="105" t="str">
        <f t="shared" si="12"/>
        <v>01937189</v>
      </c>
      <c r="E86" s="105" t="str">
        <f t="shared" si="13"/>
        <v>4401376020001</v>
      </c>
      <c r="F86" s="105" t="b">
        <f t="shared" si="14"/>
        <v>0</v>
      </c>
      <c r="G86" s="139">
        <f t="shared" si="15"/>
        <v>45838</v>
      </c>
      <c r="H86" s="105">
        <f>VLOOKUP( $A86, Aop!$A$2:$P$453, 4, 0)</f>
        <v>118</v>
      </c>
      <c r="I86" s="105">
        <f t="shared" si="16"/>
        <v>2025</v>
      </c>
      <c r="J86" s="55" t="str">
        <f t="shared" ca="1" si="20"/>
        <v/>
      </c>
      <c r="K86" s="55"/>
      <c r="L86" s="55" t="str">
        <f t="shared" ca="1" si="10"/>
        <v/>
      </c>
      <c r="M86" s="55" t="str">
        <f t="shared" ca="1" si="19"/>
        <v/>
      </c>
      <c r="N86" s="55" t="str">
        <f t="shared" ca="1" si="11"/>
        <v/>
      </c>
    </row>
    <row r="87" spans="1:14">
      <c r="A87" s="105">
        <v>86</v>
      </c>
      <c r="B87" s="105" t="str">
        <f>VLOOKUP( $A87, Aop!$A$2:$P$453, 2, 0)</f>
        <v>BSp</v>
      </c>
      <c r="C87" s="105">
        <v>26</v>
      </c>
      <c r="D87" s="105" t="str">
        <f t="shared" si="12"/>
        <v>01937189</v>
      </c>
      <c r="E87" s="105" t="str">
        <f t="shared" si="13"/>
        <v>4401376020001</v>
      </c>
      <c r="F87" s="105" t="b">
        <f t="shared" si="14"/>
        <v>0</v>
      </c>
      <c r="G87" s="139">
        <f t="shared" si="15"/>
        <v>45838</v>
      </c>
      <c r="H87" s="105">
        <f>VLOOKUP( $A87, Aop!$A$2:$P$453, 4, 0)</f>
        <v>119</v>
      </c>
      <c r="I87" s="105">
        <f t="shared" si="16"/>
        <v>2025</v>
      </c>
      <c r="J87" s="55" t="str">
        <f t="shared" ca="1" si="20"/>
        <v/>
      </c>
      <c r="K87" s="55"/>
      <c r="L87" s="55" t="str">
        <f t="shared" ca="1" si="10"/>
        <v/>
      </c>
      <c r="M87" s="55">
        <f t="shared" ca="1" si="19"/>
        <v>0</v>
      </c>
      <c r="N87" s="55">
        <f t="shared" ca="1" si="11"/>
        <v>0</v>
      </c>
    </row>
    <row r="88" spans="1:14">
      <c r="A88" s="105">
        <v>87</v>
      </c>
      <c r="B88" s="105" t="str">
        <f>VLOOKUP( $A88, Aop!$A$2:$P$453, 2, 0)</f>
        <v>BSp</v>
      </c>
      <c r="C88" s="105">
        <v>26</v>
      </c>
      <c r="D88" s="105" t="str">
        <f t="shared" si="12"/>
        <v>01937189</v>
      </c>
      <c r="E88" s="105" t="str">
        <f t="shared" si="13"/>
        <v>4401376020001</v>
      </c>
      <c r="F88" s="105" t="b">
        <f t="shared" si="14"/>
        <v>0</v>
      </c>
      <c r="G88" s="139">
        <f t="shared" si="15"/>
        <v>45838</v>
      </c>
      <c r="H88" s="105">
        <f>VLOOKUP( $A88, Aop!$A$2:$P$453, 4, 0)</f>
        <v>120</v>
      </c>
      <c r="I88" s="105">
        <f t="shared" si="16"/>
        <v>2025</v>
      </c>
      <c r="J88" s="55" t="str">
        <f t="shared" ca="1" si="20"/>
        <v/>
      </c>
      <c r="K88" s="55"/>
      <c r="L88" s="55" t="str">
        <f t="shared" ca="1" si="10"/>
        <v/>
      </c>
      <c r="M88" s="55" t="str">
        <f t="shared" ca="1" si="19"/>
        <v/>
      </c>
      <c r="N88" s="55" t="str">
        <f t="shared" ca="1" si="11"/>
        <v/>
      </c>
    </row>
    <row r="89" spans="1:14">
      <c r="A89" s="105">
        <v>88</v>
      </c>
      <c r="B89" s="105" t="str">
        <f>VLOOKUP( $A89, Aop!$A$2:$P$453, 2, 0)</f>
        <v>BSp</v>
      </c>
      <c r="C89" s="105">
        <v>26</v>
      </c>
      <c r="D89" s="105" t="str">
        <f t="shared" si="12"/>
        <v>01937189</v>
      </c>
      <c r="E89" s="105" t="str">
        <f t="shared" si="13"/>
        <v>4401376020001</v>
      </c>
      <c r="F89" s="105" t="b">
        <f t="shared" si="14"/>
        <v>0</v>
      </c>
      <c r="G89" s="139">
        <f t="shared" si="15"/>
        <v>45838</v>
      </c>
      <c r="H89" s="105">
        <f>VLOOKUP( $A89, Aop!$A$2:$P$453, 4, 0)</f>
        <v>121</v>
      </c>
      <c r="I89" s="105">
        <f t="shared" si="16"/>
        <v>2025</v>
      </c>
      <c r="J89" s="55" t="str">
        <f t="shared" ca="1" si="20"/>
        <v/>
      </c>
      <c r="K89" s="55"/>
      <c r="L89" s="55" t="str">
        <f t="shared" ca="1" si="10"/>
        <v/>
      </c>
      <c r="M89" s="55" t="str">
        <f t="shared" ca="1" si="19"/>
        <v/>
      </c>
      <c r="N89" s="55" t="str">
        <f t="shared" ca="1" si="11"/>
        <v/>
      </c>
    </row>
    <row r="90" spans="1:14">
      <c r="A90" s="105">
        <v>89</v>
      </c>
      <c r="B90" s="105" t="str">
        <f>VLOOKUP( $A90, Aop!$A$2:$P$453, 2, 0)</f>
        <v>BSp</v>
      </c>
      <c r="C90" s="105">
        <v>26</v>
      </c>
      <c r="D90" s="105" t="str">
        <f t="shared" si="12"/>
        <v>01937189</v>
      </c>
      <c r="E90" s="105" t="str">
        <f t="shared" si="13"/>
        <v>4401376020001</v>
      </c>
      <c r="F90" s="105" t="b">
        <f t="shared" si="14"/>
        <v>0</v>
      </c>
      <c r="G90" s="139">
        <f t="shared" si="15"/>
        <v>45838</v>
      </c>
      <c r="H90" s="105">
        <f>VLOOKUP( $A90, Aop!$A$2:$P$453, 4, 0)</f>
        <v>122</v>
      </c>
      <c r="I90" s="105">
        <f t="shared" si="16"/>
        <v>2025</v>
      </c>
      <c r="J90" s="55" t="str">
        <f t="shared" ca="1" si="20"/>
        <v/>
      </c>
      <c r="K90" s="55"/>
      <c r="L90" s="55" t="str">
        <f t="shared" ca="1" si="10"/>
        <v/>
      </c>
      <c r="M90" s="55" t="str">
        <f t="shared" ca="1" si="19"/>
        <v/>
      </c>
      <c r="N90" s="55" t="str">
        <f t="shared" ca="1" si="11"/>
        <v/>
      </c>
    </row>
    <row r="91" spans="1:14">
      <c r="A91" s="105">
        <v>90</v>
      </c>
      <c r="B91" s="105" t="str">
        <f>VLOOKUP( $A91, Aop!$A$2:$P$453, 2, 0)</f>
        <v>BSp</v>
      </c>
      <c r="C91" s="105">
        <v>26</v>
      </c>
      <c r="D91" s="105" t="str">
        <f t="shared" si="12"/>
        <v>01937189</v>
      </c>
      <c r="E91" s="105" t="str">
        <f t="shared" si="13"/>
        <v>4401376020001</v>
      </c>
      <c r="F91" s="105" t="b">
        <f t="shared" si="14"/>
        <v>0</v>
      </c>
      <c r="G91" s="139">
        <f t="shared" si="15"/>
        <v>45838</v>
      </c>
      <c r="H91" s="105">
        <f>VLOOKUP( $A91, Aop!$A$2:$P$453, 4, 0)</f>
        <v>123</v>
      </c>
      <c r="I91" s="105">
        <f t="shared" si="16"/>
        <v>2025</v>
      </c>
      <c r="J91" s="55" t="str">
        <f t="shared" ca="1" si="20"/>
        <v/>
      </c>
      <c r="K91" s="55"/>
      <c r="L91" s="55" t="str">
        <f t="shared" ca="1" si="10"/>
        <v/>
      </c>
      <c r="M91" s="55" t="str">
        <f t="shared" ca="1" si="19"/>
        <v/>
      </c>
      <c r="N91" s="55" t="str">
        <f t="shared" ca="1" si="11"/>
        <v/>
      </c>
    </row>
    <row r="92" spans="1:14">
      <c r="A92" s="105">
        <v>91</v>
      </c>
      <c r="B92" s="105" t="str">
        <f>VLOOKUP( $A92, Aop!$A$2:$P$453, 2, 0)</f>
        <v>BSp</v>
      </c>
      <c r="C92" s="105">
        <v>26</v>
      </c>
      <c r="D92" s="105" t="str">
        <f t="shared" si="12"/>
        <v>01937189</v>
      </c>
      <c r="E92" s="105" t="str">
        <f t="shared" si="13"/>
        <v>4401376020001</v>
      </c>
      <c r="F92" s="105" t="b">
        <f t="shared" si="14"/>
        <v>0</v>
      </c>
      <c r="G92" s="139">
        <f t="shared" si="15"/>
        <v>45838</v>
      </c>
      <c r="H92" s="105">
        <f>VLOOKUP( $A92, Aop!$A$2:$P$453, 4, 0)</f>
        <v>124</v>
      </c>
      <c r="I92" s="105">
        <f t="shared" si="16"/>
        <v>2025</v>
      </c>
      <c r="J92" s="55" t="str">
        <f t="shared" ca="1" si="20"/>
        <v/>
      </c>
      <c r="K92" s="55"/>
      <c r="L92" s="55" t="str">
        <f t="shared" ca="1" si="10"/>
        <v/>
      </c>
      <c r="M92" s="55">
        <f t="shared" ca="1" si="19"/>
        <v>252624</v>
      </c>
      <c r="N92" s="55">
        <f t="shared" ca="1" si="11"/>
        <v>252624</v>
      </c>
    </row>
    <row r="93" spans="1:14">
      <c r="A93" s="105">
        <v>92</v>
      </c>
      <c r="B93" s="105" t="str">
        <f>VLOOKUP( $A93, Aop!$A$2:$P$453, 2, 0)</f>
        <v>BSp</v>
      </c>
      <c r="C93" s="105">
        <v>26</v>
      </c>
      <c r="D93" s="105" t="str">
        <f t="shared" si="12"/>
        <v>01937189</v>
      </c>
      <c r="E93" s="105" t="str">
        <f t="shared" si="13"/>
        <v>4401376020001</v>
      </c>
      <c r="F93" s="105" t="b">
        <f t="shared" si="14"/>
        <v>0</v>
      </c>
      <c r="G93" s="139">
        <f t="shared" si="15"/>
        <v>45838</v>
      </c>
      <c r="H93" s="105">
        <f>VLOOKUP( $A93, Aop!$A$2:$P$453, 4, 0)</f>
        <v>125</v>
      </c>
      <c r="I93" s="105">
        <f t="shared" si="16"/>
        <v>2025</v>
      </c>
      <c r="J93" s="55" t="str">
        <f t="shared" ca="1" si="20"/>
        <v/>
      </c>
      <c r="K93" s="55"/>
      <c r="L93" s="55" t="str">
        <f t="shared" ca="1" si="10"/>
        <v/>
      </c>
      <c r="M93" s="55" t="str">
        <f t="shared" ca="1" si="19"/>
        <v/>
      </c>
      <c r="N93" s="55" t="str">
        <f t="shared" ca="1" si="11"/>
        <v/>
      </c>
    </row>
    <row r="94" spans="1:14">
      <c r="A94" s="105">
        <v>93</v>
      </c>
      <c r="B94" s="105" t="str">
        <f>VLOOKUP( $A94, Aop!$A$2:$P$453, 2, 0)</f>
        <v>BSp</v>
      </c>
      <c r="C94" s="105">
        <v>26</v>
      </c>
      <c r="D94" s="105" t="str">
        <f t="shared" si="12"/>
        <v>01937189</v>
      </c>
      <c r="E94" s="105" t="str">
        <f t="shared" si="13"/>
        <v>4401376020001</v>
      </c>
      <c r="F94" s="105" t="b">
        <f t="shared" si="14"/>
        <v>0</v>
      </c>
      <c r="G94" s="139">
        <f t="shared" si="15"/>
        <v>45838</v>
      </c>
      <c r="H94" s="105">
        <f>VLOOKUP( $A94, Aop!$A$2:$P$453, 4, 0)</f>
        <v>126</v>
      </c>
      <c r="I94" s="105">
        <f t="shared" si="16"/>
        <v>2025</v>
      </c>
      <c r="J94" s="55" t="str">
        <f t="shared" ca="1" si="20"/>
        <v/>
      </c>
      <c r="K94" s="55"/>
      <c r="L94" s="55" t="str">
        <f t="shared" ca="1" si="10"/>
        <v/>
      </c>
      <c r="M94" s="55">
        <f t="shared" ca="1" si="19"/>
        <v>252624</v>
      </c>
      <c r="N94" s="55">
        <f t="shared" ca="1" si="11"/>
        <v>252624</v>
      </c>
    </row>
    <row r="95" spans="1:14">
      <c r="A95" s="105">
        <v>94</v>
      </c>
      <c r="B95" s="105" t="str">
        <f>VLOOKUP( $A95, Aop!$A$2:$P$453, 2, 0)</f>
        <v>BSp</v>
      </c>
      <c r="C95" s="105">
        <v>26</v>
      </c>
      <c r="D95" s="105" t="str">
        <f t="shared" si="12"/>
        <v>01937189</v>
      </c>
      <c r="E95" s="105" t="str">
        <f t="shared" si="13"/>
        <v>4401376020001</v>
      </c>
      <c r="F95" s="105" t="b">
        <f t="shared" si="14"/>
        <v>0</v>
      </c>
      <c r="G95" s="139">
        <f t="shared" si="15"/>
        <v>45838</v>
      </c>
      <c r="H95" s="105">
        <f>VLOOKUP( $A95, Aop!$A$2:$P$453, 4, 0)</f>
        <v>127</v>
      </c>
      <c r="I95" s="105">
        <f t="shared" si="16"/>
        <v>2025</v>
      </c>
      <c r="J95" s="55" t="str">
        <f t="shared" ca="1" si="20"/>
        <v/>
      </c>
      <c r="K95" s="55"/>
      <c r="L95" s="55" t="str">
        <f t="shared" ca="1" si="10"/>
        <v/>
      </c>
      <c r="M95" s="55" t="str">
        <f t="shared" ca="1" si="19"/>
        <v/>
      </c>
      <c r="N95" s="55" t="str">
        <f t="shared" ca="1" si="11"/>
        <v/>
      </c>
    </row>
    <row r="96" spans="1:14">
      <c r="A96" s="105">
        <v>95</v>
      </c>
      <c r="B96" s="105" t="str">
        <f>VLOOKUP( $A96, Aop!$A$2:$P$453, 2, 0)</f>
        <v>BSp</v>
      </c>
      <c r="C96" s="105">
        <v>26</v>
      </c>
      <c r="D96" s="105" t="str">
        <f t="shared" si="12"/>
        <v>01937189</v>
      </c>
      <c r="E96" s="105" t="str">
        <f t="shared" si="13"/>
        <v>4401376020001</v>
      </c>
      <c r="F96" s="105" t="b">
        <f t="shared" si="14"/>
        <v>0</v>
      </c>
      <c r="G96" s="139">
        <f t="shared" si="15"/>
        <v>45838</v>
      </c>
      <c r="H96" s="105">
        <f>VLOOKUP( $A96, Aop!$A$2:$P$453, 4, 0)</f>
        <v>128</v>
      </c>
      <c r="I96" s="105">
        <f t="shared" si="16"/>
        <v>2025</v>
      </c>
      <c r="J96" s="55" t="str">
        <f t="shared" ca="1" si="20"/>
        <v/>
      </c>
      <c r="K96" s="55"/>
      <c r="L96" s="55" t="str">
        <f t="shared" ca="1" si="10"/>
        <v/>
      </c>
      <c r="M96" s="55">
        <f t="shared" ca="1" si="19"/>
        <v>250206</v>
      </c>
      <c r="N96" s="55">
        <f t="shared" ca="1" si="11"/>
        <v>250206</v>
      </c>
    </row>
    <row r="97" spans="1:14">
      <c r="A97" s="105">
        <v>96</v>
      </c>
      <c r="B97" s="105" t="str">
        <f>VLOOKUP( $A97, Aop!$A$2:$P$453, 2, 0)</f>
        <v>BSp</v>
      </c>
      <c r="C97" s="105">
        <v>26</v>
      </c>
      <c r="D97" s="105" t="str">
        <f t="shared" si="12"/>
        <v>01937189</v>
      </c>
      <c r="E97" s="105" t="str">
        <f t="shared" si="13"/>
        <v>4401376020001</v>
      </c>
      <c r="F97" s="105" t="b">
        <f t="shared" si="14"/>
        <v>0</v>
      </c>
      <c r="G97" s="139">
        <f t="shared" si="15"/>
        <v>45838</v>
      </c>
      <c r="H97" s="105">
        <f>VLOOKUP( $A97, Aop!$A$2:$P$453, 4, 0)</f>
        <v>129</v>
      </c>
      <c r="I97" s="105">
        <f t="shared" si="16"/>
        <v>2025</v>
      </c>
      <c r="J97" s="55" t="str">
        <f t="shared" ca="1" si="20"/>
        <v/>
      </c>
      <c r="K97" s="55"/>
      <c r="L97" s="55" t="str">
        <f t="shared" ca="1" si="10"/>
        <v/>
      </c>
      <c r="M97" s="55">
        <f t="shared" ca="1" si="19"/>
        <v>250206</v>
      </c>
      <c r="N97" s="55">
        <f t="shared" ca="1" si="11"/>
        <v>250206</v>
      </c>
    </row>
    <row r="98" spans="1:14">
      <c r="A98" s="105">
        <v>97</v>
      </c>
      <c r="B98" s="105" t="str">
        <f>VLOOKUP( $A98, Aop!$A$2:$P$453, 2, 0)</f>
        <v>BSp</v>
      </c>
      <c r="C98" s="105">
        <v>26</v>
      </c>
      <c r="D98" s="105" t="str">
        <f t="shared" si="12"/>
        <v>01937189</v>
      </c>
      <c r="E98" s="105" t="str">
        <f t="shared" si="13"/>
        <v>4401376020001</v>
      </c>
      <c r="F98" s="105" t="b">
        <f t="shared" si="14"/>
        <v>0</v>
      </c>
      <c r="G98" s="139">
        <f t="shared" si="15"/>
        <v>45838</v>
      </c>
      <c r="H98" s="105">
        <f>VLOOKUP( $A98, Aop!$A$2:$P$453, 4, 0)</f>
        <v>130</v>
      </c>
      <c r="I98" s="105">
        <f t="shared" si="16"/>
        <v>2025</v>
      </c>
      <c r="J98" s="55" t="str">
        <f t="shared" ca="1" si="20"/>
        <v/>
      </c>
      <c r="K98" s="55"/>
      <c r="L98" s="55" t="str">
        <f t="shared" ca="1" si="10"/>
        <v/>
      </c>
      <c r="M98" s="55" t="str">
        <f t="shared" ca="1" si="19"/>
        <v/>
      </c>
      <c r="N98" s="55" t="str">
        <f t="shared" ca="1" si="11"/>
        <v/>
      </c>
    </row>
    <row r="99" spans="1:14">
      <c r="A99" s="105">
        <v>98</v>
      </c>
      <c r="B99" s="105" t="str">
        <f>VLOOKUP( $A99, Aop!$A$2:$P$453, 2, 0)</f>
        <v>BSp</v>
      </c>
      <c r="C99" s="105">
        <v>26</v>
      </c>
      <c r="D99" s="105" t="str">
        <f t="shared" si="12"/>
        <v>01937189</v>
      </c>
      <c r="E99" s="105" t="str">
        <f t="shared" si="13"/>
        <v>4401376020001</v>
      </c>
      <c r="F99" s="105" t="b">
        <f t="shared" si="14"/>
        <v>0</v>
      </c>
      <c r="G99" s="139">
        <f t="shared" si="15"/>
        <v>45838</v>
      </c>
      <c r="H99" s="105">
        <f>VLOOKUP( $A99, Aop!$A$2:$P$453, 4, 0)</f>
        <v>131</v>
      </c>
      <c r="I99" s="105">
        <f t="shared" si="16"/>
        <v>2025</v>
      </c>
      <c r="J99" s="55" t="str">
        <f t="shared" ca="1" si="20"/>
        <v/>
      </c>
      <c r="K99" s="55"/>
      <c r="L99" s="55" t="str">
        <f t="shared" ca="1" si="10"/>
        <v/>
      </c>
      <c r="M99" s="55" t="str">
        <f t="shared" ca="1" si="19"/>
        <v/>
      </c>
      <c r="N99" s="55" t="str">
        <f t="shared" ca="1" si="11"/>
        <v/>
      </c>
    </row>
    <row r="100" spans="1:14">
      <c r="A100" s="105">
        <v>99</v>
      </c>
      <c r="B100" s="105" t="str">
        <f>VLOOKUP( $A100, Aop!$A$2:$P$453, 2, 0)</f>
        <v>BSp</v>
      </c>
      <c r="C100" s="105">
        <v>26</v>
      </c>
      <c r="D100" s="105" t="str">
        <f t="shared" si="12"/>
        <v>01937189</v>
      </c>
      <c r="E100" s="105" t="str">
        <f t="shared" si="13"/>
        <v>4401376020001</v>
      </c>
      <c r="F100" s="105" t="b">
        <f t="shared" si="14"/>
        <v>0</v>
      </c>
      <c r="G100" s="139">
        <f t="shared" si="15"/>
        <v>45838</v>
      </c>
      <c r="H100" s="105">
        <f>VLOOKUP( $A100, Aop!$A$2:$P$453, 4, 0)</f>
        <v>132</v>
      </c>
      <c r="I100" s="105">
        <f t="shared" si="16"/>
        <v>2025</v>
      </c>
      <c r="J100" s="55" t="str">
        <f t="shared" ca="1" si="20"/>
        <v/>
      </c>
      <c r="K100" s="55"/>
      <c r="L100" s="55" t="str">
        <f t="shared" ca="1" si="10"/>
        <v/>
      </c>
      <c r="M100" s="55">
        <f t="shared" ca="1" si="19"/>
        <v>0</v>
      </c>
      <c r="N100" s="55">
        <f t="shared" ca="1" si="11"/>
        <v>0</v>
      </c>
    </row>
    <row r="101" spans="1:14">
      <c r="A101" s="105">
        <v>100</v>
      </c>
      <c r="B101" s="105" t="str">
        <f>VLOOKUP( $A101, Aop!$A$2:$P$453, 2, 0)</f>
        <v>BSp</v>
      </c>
      <c r="C101" s="105">
        <v>26</v>
      </c>
      <c r="D101" s="105" t="str">
        <f t="shared" si="12"/>
        <v>01937189</v>
      </c>
      <c r="E101" s="105" t="str">
        <f t="shared" si="13"/>
        <v>4401376020001</v>
      </c>
      <c r="F101" s="105" t="b">
        <f t="shared" si="14"/>
        <v>0</v>
      </c>
      <c r="G101" s="139">
        <f t="shared" si="15"/>
        <v>45838</v>
      </c>
      <c r="H101" s="105">
        <f>VLOOKUP( $A101, Aop!$A$2:$P$453, 4, 0)</f>
        <v>133</v>
      </c>
      <c r="I101" s="105">
        <f t="shared" si="16"/>
        <v>2025</v>
      </c>
      <c r="J101" s="55" t="str">
        <f t="shared" ca="1" si="20"/>
        <v/>
      </c>
      <c r="K101" s="55"/>
      <c r="L101" s="55" t="str">
        <f t="shared" ca="1" si="10"/>
        <v/>
      </c>
      <c r="M101" s="55">
        <f t="shared" ca="1" si="19"/>
        <v>0</v>
      </c>
      <c r="N101" s="55">
        <f t="shared" ca="1" si="11"/>
        <v>0</v>
      </c>
    </row>
    <row r="102" spans="1:14">
      <c r="A102" s="105">
        <v>101</v>
      </c>
      <c r="B102" s="105" t="str">
        <f>VLOOKUP( $A102, Aop!$A$2:$P$453, 2, 0)</f>
        <v>BSp</v>
      </c>
      <c r="C102" s="105">
        <v>26</v>
      </c>
      <c r="D102" s="105" t="str">
        <f t="shared" si="12"/>
        <v>01937189</v>
      </c>
      <c r="E102" s="105" t="str">
        <f t="shared" si="13"/>
        <v>4401376020001</v>
      </c>
      <c r="F102" s="105" t="b">
        <f t="shared" si="14"/>
        <v>0</v>
      </c>
      <c r="G102" s="139">
        <f t="shared" si="15"/>
        <v>45838</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c r="A103" s="105">
        <v>102</v>
      </c>
      <c r="B103" s="105" t="str">
        <f>VLOOKUP( $A103, Aop!$A$2:$P$453, 2, 0)</f>
        <v>BSp</v>
      </c>
      <c r="C103" s="105">
        <v>26</v>
      </c>
      <c r="D103" s="105" t="str">
        <f t="shared" si="12"/>
        <v>01937189</v>
      </c>
      <c r="E103" s="105" t="str">
        <f t="shared" si="13"/>
        <v>4401376020001</v>
      </c>
      <c r="F103" s="105" t="b">
        <f t="shared" si="14"/>
        <v>0</v>
      </c>
      <c r="G103" s="139">
        <f t="shared" si="15"/>
        <v>45838</v>
      </c>
      <c r="H103" s="105">
        <f>VLOOKUP( $A103, Aop!$A$2:$P$453, 4, 0)</f>
        <v>135</v>
      </c>
      <c r="I103" s="105">
        <f t="shared" si="16"/>
        <v>2025</v>
      </c>
      <c r="J103" s="55" t="str">
        <f t="shared" ca="1" si="20"/>
        <v/>
      </c>
      <c r="K103" s="55"/>
      <c r="L103" s="55" t="str">
        <f t="shared" ca="1" si="10"/>
        <v/>
      </c>
      <c r="M103" s="55" t="str">
        <f t="shared" ca="1" si="19"/>
        <v/>
      </c>
      <c r="N103" s="55" t="str">
        <f t="shared" ca="1" si="11"/>
        <v/>
      </c>
    </row>
    <row r="104" spans="1:14">
      <c r="A104" s="105">
        <v>103</v>
      </c>
      <c r="B104" s="105" t="str">
        <f>VLOOKUP( $A104, Aop!$A$2:$P$453, 2, 0)</f>
        <v>BSp</v>
      </c>
      <c r="C104" s="105">
        <v>26</v>
      </c>
      <c r="D104" s="105" t="str">
        <f t="shared" si="12"/>
        <v>01937189</v>
      </c>
      <c r="E104" s="105" t="str">
        <f t="shared" si="13"/>
        <v>4401376020001</v>
      </c>
      <c r="F104" s="105" t="b">
        <f t="shared" si="14"/>
        <v>0</v>
      </c>
      <c r="G104" s="139">
        <f t="shared" si="15"/>
        <v>45838</v>
      </c>
      <c r="H104" s="105">
        <f>VLOOKUP( $A104, Aop!$A$2:$P$453, 4, 0)</f>
        <v>136</v>
      </c>
      <c r="I104" s="105">
        <f t="shared" si="16"/>
        <v>2025</v>
      </c>
      <c r="J104" s="55" t="str">
        <f t="shared" ca="1" si="20"/>
        <v/>
      </c>
      <c r="K104" s="55"/>
      <c r="L104" s="55" t="str">
        <f t="shared" ca="1" si="10"/>
        <v/>
      </c>
      <c r="M104" s="55" t="str">
        <f t="shared" ca="1" si="19"/>
        <v/>
      </c>
      <c r="N104" s="55" t="str">
        <f t="shared" ca="1" si="11"/>
        <v/>
      </c>
    </row>
    <row r="105" spans="1:14">
      <c r="A105" s="105">
        <v>104</v>
      </c>
      <c r="B105" s="105" t="str">
        <f>VLOOKUP( $A105, Aop!$A$2:$P$453, 2, 0)</f>
        <v>BSp</v>
      </c>
      <c r="C105" s="105">
        <v>26</v>
      </c>
      <c r="D105" s="105" t="str">
        <f t="shared" si="12"/>
        <v>01937189</v>
      </c>
      <c r="E105" s="105" t="str">
        <f t="shared" si="13"/>
        <v>4401376020001</v>
      </c>
      <c r="F105" s="105" t="b">
        <f t="shared" si="14"/>
        <v>0</v>
      </c>
      <c r="G105" s="139">
        <f t="shared" si="15"/>
        <v>45838</v>
      </c>
      <c r="H105" s="105">
        <f>VLOOKUP( $A105, Aop!$A$2:$P$453, 4, 0)</f>
        <v>137</v>
      </c>
      <c r="I105" s="105">
        <f t="shared" si="16"/>
        <v>2025</v>
      </c>
      <c r="J105" s="55" t="str">
        <f t="shared" ca="1" si="20"/>
        <v/>
      </c>
      <c r="K105" s="55"/>
      <c r="L105" s="55" t="str">
        <f t="shared" ca="1" si="10"/>
        <v/>
      </c>
      <c r="M105" s="55">
        <f t="shared" ca="1" si="19"/>
        <v>0</v>
      </c>
      <c r="N105" s="55">
        <f t="shared" ca="1" si="11"/>
        <v>0</v>
      </c>
    </row>
    <row r="106" spans="1:14">
      <c r="A106" s="105">
        <v>105</v>
      </c>
      <c r="B106" s="105" t="str">
        <f>VLOOKUP( $A106, Aop!$A$2:$P$453, 2, 0)</f>
        <v>BSp</v>
      </c>
      <c r="C106" s="105">
        <v>26</v>
      </c>
      <c r="D106" s="105" t="str">
        <f t="shared" si="12"/>
        <v>01937189</v>
      </c>
      <c r="E106" s="105" t="str">
        <f t="shared" si="13"/>
        <v>4401376020001</v>
      </c>
      <c r="F106" s="105" t="b">
        <f t="shared" si="14"/>
        <v>0</v>
      </c>
      <c r="G106" s="139">
        <f t="shared" si="15"/>
        <v>45838</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c r="A107" s="105">
        <v>106</v>
      </c>
      <c r="B107" s="105" t="str">
        <f>VLOOKUP( $A107, Aop!$A$2:$P$453, 2, 0)</f>
        <v>BSp</v>
      </c>
      <c r="C107" s="105">
        <v>26</v>
      </c>
      <c r="D107" s="105" t="str">
        <f t="shared" si="12"/>
        <v>01937189</v>
      </c>
      <c r="E107" s="105" t="str">
        <f t="shared" si="13"/>
        <v>4401376020001</v>
      </c>
      <c r="F107" s="105" t="b">
        <f t="shared" si="14"/>
        <v>0</v>
      </c>
      <c r="G107" s="139">
        <f t="shared" si="15"/>
        <v>45838</v>
      </c>
      <c r="H107" s="105">
        <f>VLOOKUP( $A107, Aop!$A$2:$P$453, 4, 0)</f>
        <v>139</v>
      </c>
      <c r="I107" s="105">
        <f t="shared" si="16"/>
        <v>2025</v>
      </c>
      <c r="J107" s="55" t="str">
        <f t="shared" ca="1" si="20"/>
        <v/>
      </c>
      <c r="K107" s="55"/>
      <c r="L107" s="55" t="str">
        <f t="shared" ca="1" si="10"/>
        <v/>
      </c>
      <c r="M107" s="55" t="str">
        <f t="shared" ca="1" si="19"/>
        <v/>
      </c>
      <c r="N107" s="55" t="str">
        <f t="shared" ca="1" si="11"/>
        <v/>
      </c>
    </row>
    <row r="108" spans="1:14">
      <c r="A108" s="105">
        <v>107</v>
      </c>
      <c r="B108" s="105" t="str">
        <f>VLOOKUP( $A108, Aop!$A$2:$P$453, 2, 0)</f>
        <v>BSp</v>
      </c>
      <c r="C108" s="105">
        <v>26</v>
      </c>
      <c r="D108" s="105" t="str">
        <f t="shared" si="12"/>
        <v>01937189</v>
      </c>
      <c r="E108" s="105" t="str">
        <f t="shared" si="13"/>
        <v>4401376020001</v>
      </c>
      <c r="F108" s="105" t="b">
        <f t="shared" si="14"/>
        <v>0</v>
      </c>
      <c r="G108" s="139">
        <f t="shared" si="15"/>
        <v>45838</v>
      </c>
      <c r="H108" s="105">
        <f>VLOOKUP( $A108, Aop!$A$2:$P$453, 4, 0)</f>
        <v>140</v>
      </c>
      <c r="I108" s="105">
        <f t="shared" si="16"/>
        <v>2025</v>
      </c>
      <c r="J108" s="55" t="str">
        <f t="shared" ca="1" si="20"/>
        <v/>
      </c>
      <c r="K108" s="55"/>
      <c r="L108" s="55" t="str">
        <f t="shared" ca="1" si="10"/>
        <v/>
      </c>
      <c r="M108" s="55" t="str">
        <f t="shared" ca="1" si="19"/>
        <v/>
      </c>
      <c r="N108" s="55" t="str">
        <f t="shared" ca="1" si="11"/>
        <v/>
      </c>
    </row>
    <row r="109" spans="1:14">
      <c r="A109" s="105">
        <v>108</v>
      </c>
      <c r="B109" s="105" t="str">
        <f>VLOOKUP( $A109, Aop!$A$2:$P$453, 2, 0)</f>
        <v>BSp</v>
      </c>
      <c r="C109" s="105">
        <v>26</v>
      </c>
      <c r="D109" s="105" t="str">
        <f t="shared" si="12"/>
        <v>01937189</v>
      </c>
      <c r="E109" s="105" t="str">
        <f t="shared" si="13"/>
        <v>4401376020001</v>
      </c>
      <c r="F109" s="105" t="b">
        <f t="shared" si="14"/>
        <v>0</v>
      </c>
      <c r="G109" s="139">
        <f t="shared" si="15"/>
        <v>45838</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c r="A110" s="105">
        <v>109</v>
      </c>
      <c r="B110" s="105" t="str">
        <f>VLOOKUP( $A110, Aop!$A$2:$P$453, 2, 0)</f>
        <v>BSp</v>
      </c>
      <c r="C110" s="105">
        <v>26</v>
      </c>
      <c r="D110" s="105" t="str">
        <f t="shared" si="12"/>
        <v>01937189</v>
      </c>
      <c r="E110" s="105" t="str">
        <f t="shared" si="13"/>
        <v>4401376020001</v>
      </c>
      <c r="F110" s="105" t="b">
        <f t="shared" si="14"/>
        <v>0</v>
      </c>
      <c r="G110" s="139">
        <f t="shared" si="15"/>
        <v>45838</v>
      </c>
      <c r="H110" s="105">
        <f>VLOOKUP( $A110, Aop!$A$2:$P$453, 4, 0)</f>
        <v>142</v>
      </c>
      <c r="I110" s="105">
        <f t="shared" si="16"/>
        <v>2025</v>
      </c>
      <c r="J110" s="55" t="str">
        <f t="shared" ca="1" si="20"/>
        <v/>
      </c>
      <c r="K110" s="55"/>
      <c r="L110" s="55" t="str">
        <f t="shared" ca="1" si="10"/>
        <v/>
      </c>
      <c r="M110" s="55" t="str">
        <f t="shared" ca="1" si="19"/>
        <v/>
      </c>
      <c r="N110" s="55" t="str">
        <f t="shared" ca="1" si="11"/>
        <v/>
      </c>
    </row>
    <row r="111" spans="1:14">
      <c r="A111" s="105">
        <v>110</v>
      </c>
      <c r="B111" s="105" t="str">
        <f>VLOOKUP( $A111, Aop!$A$2:$P$453, 2, 0)</f>
        <v>BSp</v>
      </c>
      <c r="C111" s="105">
        <v>26</v>
      </c>
      <c r="D111" s="105" t="str">
        <f t="shared" si="12"/>
        <v>01937189</v>
      </c>
      <c r="E111" s="105" t="str">
        <f t="shared" si="13"/>
        <v>4401376020001</v>
      </c>
      <c r="F111" s="105" t="b">
        <f t="shared" si="14"/>
        <v>0</v>
      </c>
      <c r="G111" s="139">
        <f t="shared" si="15"/>
        <v>45838</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c r="A112" s="105">
        <v>111</v>
      </c>
      <c r="B112" s="105" t="str">
        <f>VLOOKUP( $A112, Aop!$A$2:$P$453, 2, 0)</f>
        <v>BSp</v>
      </c>
      <c r="C112" s="105">
        <v>26</v>
      </c>
      <c r="D112" s="105" t="str">
        <f t="shared" si="12"/>
        <v>01937189</v>
      </c>
      <c r="E112" s="105" t="str">
        <f t="shared" si="13"/>
        <v>4401376020001</v>
      </c>
      <c r="F112" s="105" t="b">
        <f t="shared" si="14"/>
        <v>0</v>
      </c>
      <c r="G112" s="139">
        <f t="shared" si="15"/>
        <v>45838</v>
      </c>
      <c r="H112" s="105">
        <f>VLOOKUP( $A112, Aop!$A$2:$P$453, 4, 0)</f>
        <v>144</v>
      </c>
      <c r="I112" s="105">
        <f t="shared" si="16"/>
        <v>2025</v>
      </c>
      <c r="J112" s="55" t="str">
        <f t="shared" ca="1" si="20"/>
        <v/>
      </c>
      <c r="K112" s="55"/>
      <c r="L112" s="55" t="str">
        <f t="shared" ca="1" si="10"/>
        <v/>
      </c>
      <c r="M112" s="55" t="str">
        <f t="shared" ca="1" si="19"/>
        <v/>
      </c>
      <c r="N112" s="55" t="str">
        <f t="shared" ca="1" si="11"/>
        <v/>
      </c>
    </row>
    <row r="113" spans="1:14">
      <c r="A113" s="105">
        <v>112</v>
      </c>
      <c r="B113" s="105" t="str">
        <f>VLOOKUP( $A113, Aop!$A$2:$P$453, 2, 0)</f>
        <v>BSp</v>
      </c>
      <c r="C113" s="105">
        <v>26</v>
      </c>
      <c r="D113" s="105" t="str">
        <f t="shared" si="12"/>
        <v>01937189</v>
      </c>
      <c r="E113" s="105" t="str">
        <f t="shared" si="13"/>
        <v>4401376020001</v>
      </c>
      <c r="F113" s="105" t="b">
        <f t="shared" si="14"/>
        <v>0</v>
      </c>
      <c r="G113" s="139">
        <f t="shared" si="15"/>
        <v>45838</v>
      </c>
      <c r="H113" s="105">
        <f>VLOOKUP( $A113, Aop!$A$2:$P$453, 4, 0)</f>
        <v>145</v>
      </c>
      <c r="I113" s="105">
        <f t="shared" si="16"/>
        <v>2025</v>
      </c>
      <c r="J113" s="55" t="str">
        <f t="shared" ca="1" si="20"/>
        <v/>
      </c>
      <c r="K113" s="55"/>
      <c r="L113" s="55" t="str">
        <f t="shared" ca="1" si="10"/>
        <v/>
      </c>
      <c r="M113" s="55" t="str">
        <f t="shared" ca="1" si="19"/>
        <v/>
      </c>
      <c r="N113" s="55" t="str">
        <f t="shared" ca="1" si="11"/>
        <v/>
      </c>
    </row>
    <row r="114" spans="1:14">
      <c r="A114" s="105">
        <v>113</v>
      </c>
      <c r="B114" s="105" t="str">
        <f>VLOOKUP( $A114, Aop!$A$2:$P$453, 2, 0)</f>
        <v>BSp</v>
      </c>
      <c r="C114" s="105">
        <v>26</v>
      </c>
      <c r="D114" s="105" t="str">
        <f t="shared" si="12"/>
        <v>01937189</v>
      </c>
      <c r="E114" s="105" t="str">
        <f t="shared" si="13"/>
        <v>4401376020001</v>
      </c>
      <c r="F114" s="105" t="b">
        <f t="shared" si="14"/>
        <v>0</v>
      </c>
      <c r="G114" s="139">
        <f t="shared" si="15"/>
        <v>45838</v>
      </c>
      <c r="H114" s="105">
        <f>VLOOKUP( $A114, Aop!$A$2:$P$453, 4, 0)</f>
        <v>146</v>
      </c>
      <c r="I114" s="105">
        <f t="shared" si="16"/>
        <v>2025</v>
      </c>
      <c r="J114" s="55" t="str">
        <f t="shared" ca="1" si="20"/>
        <v/>
      </c>
      <c r="K114" s="55"/>
      <c r="L114" s="55" t="str">
        <f t="shared" ca="1" si="10"/>
        <v/>
      </c>
      <c r="M114" s="55" t="str">
        <f t="shared" ca="1" si="19"/>
        <v/>
      </c>
      <c r="N114" s="55" t="str">
        <f t="shared" ca="1" si="11"/>
        <v/>
      </c>
    </row>
    <row r="115" spans="1:14">
      <c r="A115" s="105">
        <v>114</v>
      </c>
      <c r="B115" s="105" t="str">
        <f>VLOOKUP( $A115, Aop!$A$2:$P$453, 2, 0)</f>
        <v>BSp</v>
      </c>
      <c r="C115" s="105">
        <v>26</v>
      </c>
      <c r="D115" s="105" t="str">
        <f t="shared" si="12"/>
        <v>01937189</v>
      </c>
      <c r="E115" s="105" t="str">
        <f t="shared" si="13"/>
        <v>4401376020001</v>
      </c>
      <c r="F115" s="105" t="b">
        <f t="shared" si="14"/>
        <v>0</v>
      </c>
      <c r="G115" s="139">
        <f t="shared" si="15"/>
        <v>45838</v>
      </c>
      <c r="H115" s="105">
        <f>VLOOKUP( $A115, Aop!$A$2:$P$453, 4, 0)</f>
        <v>147</v>
      </c>
      <c r="I115" s="105">
        <f t="shared" si="16"/>
        <v>2025</v>
      </c>
      <c r="J115" s="55" t="str">
        <f t="shared" ca="1" si="20"/>
        <v/>
      </c>
      <c r="K115" s="55"/>
      <c r="L115" s="55" t="str">
        <f t="shared" ca="1" si="10"/>
        <v/>
      </c>
      <c r="M115" s="55">
        <f t="shared" ca="1" si="19"/>
        <v>335580</v>
      </c>
      <c r="N115" s="55">
        <f t="shared" ca="1" si="11"/>
        <v>335580</v>
      </c>
    </row>
    <row r="116" spans="1:14">
      <c r="A116" s="105">
        <v>115</v>
      </c>
      <c r="B116" s="105" t="str">
        <f>VLOOKUP( $A116, Aop!$A$2:$P$453, 2, 0)</f>
        <v>BSp</v>
      </c>
      <c r="C116" s="105">
        <v>26</v>
      </c>
      <c r="D116" s="105" t="str">
        <f t="shared" si="12"/>
        <v>01937189</v>
      </c>
      <c r="E116" s="105" t="str">
        <f t="shared" si="13"/>
        <v>4401376020001</v>
      </c>
      <c r="F116" s="105" t="b">
        <f t="shared" si="14"/>
        <v>0</v>
      </c>
      <c r="G116" s="139">
        <f t="shared" si="15"/>
        <v>45838</v>
      </c>
      <c r="H116" s="105">
        <f>VLOOKUP( $A116, Aop!$A$2:$P$453, 4, 0)</f>
        <v>148</v>
      </c>
      <c r="I116" s="105">
        <f t="shared" si="16"/>
        <v>2025</v>
      </c>
      <c r="J116" s="55" t="str">
        <f t="shared" ca="1" si="20"/>
        <v/>
      </c>
      <c r="K116" s="55"/>
      <c r="L116" s="55" t="str">
        <f t="shared" ca="1" si="10"/>
        <v/>
      </c>
      <c r="M116" s="55">
        <f t="shared" ca="1" si="19"/>
        <v>0</v>
      </c>
      <c r="N116" s="55">
        <f t="shared" ca="1" si="11"/>
        <v>0</v>
      </c>
    </row>
    <row r="117" spans="1:14">
      <c r="A117" s="105">
        <v>116</v>
      </c>
      <c r="B117" s="105" t="str">
        <f>VLOOKUP( $A117, Aop!$A$2:$P$453, 2, 0)</f>
        <v>BSp</v>
      </c>
      <c r="C117" s="105">
        <v>26</v>
      </c>
      <c r="D117" s="105" t="str">
        <f t="shared" si="12"/>
        <v>01937189</v>
      </c>
      <c r="E117" s="105" t="str">
        <f t="shared" si="13"/>
        <v>4401376020001</v>
      </c>
      <c r="F117" s="105" t="b">
        <f t="shared" si="14"/>
        <v>0</v>
      </c>
      <c r="G117" s="139">
        <f t="shared" si="15"/>
        <v>45838</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c r="A118" s="105">
        <v>117</v>
      </c>
      <c r="B118" s="105" t="str">
        <f>VLOOKUP( $A118, Aop!$A$2:$P$453, 2, 0)</f>
        <v>BSp</v>
      </c>
      <c r="C118" s="105">
        <v>26</v>
      </c>
      <c r="D118" s="105" t="str">
        <f t="shared" si="12"/>
        <v>01937189</v>
      </c>
      <c r="E118" s="105" t="str">
        <f t="shared" si="13"/>
        <v>4401376020001</v>
      </c>
      <c r="F118" s="105" t="b">
        <f t="shared" si="14"/>
        <v>0</v>
      </c>
      <c r="G118" s="139">
        <f t="shared" si="15"/>
        <v>45838</v>
      </c>
      <c r="H118" s="105">
        <f>VLOOKUP( $A118, Aop!$A$2:$P$453, 4, 0)</f>
        <v>150</v>
      </c>
      <c r="I118" s="105">
        <f t="shared" si="16"/>
        <v>2025</v>
      </c>
      <c r="J118" s="55" t="str">
        <f t="shared" ca="1" si="20"/>
        <v/>
      </c>
      <c r="K118" s="55"/>
      <c r="L118" s="55" t="str">
        <f t="shared" ca="1" si="10"/>
        <v/>
      </c>
      <c r="M118" s="55" t="str">
        <f t="shared" ca="1" si="19"/>
        <v/>
      </c>
      <c r="N118" s="55" t="str">
        <f t="shared" ca="1" si="11"/>
        <v/>
      </c>
    </row>
    <row r="119" spans="1:14">
      <c r="A119" s="105">
        <v>118</v>
      </c>
      <c r="B119" s="105" t="str">
        <f>VLOOKUP( $A119, Aop!$A$2:$P$453, 2, 0)</f>
        <v>BSp</v>
      </c>
      <c r="C119" s="105">
        <v>26</v>
      </c>
      <c r="D119" s="105" t="str">
        <f t="shared" si="12"/>
        <v>01937189</v>
      </c>
      <c r="E119" s="105" t="str">
        <f t="shared" si="13"/>
        <v>4401376020001</v>
      </c>
      <c r="F119" s="105" t="b">
        <f t="shared" si="14"/>
        <v>0</v>
      </c>
      <c r="G119" s="139">
        <f t="shared" si="15"/>
        <v>45838</v>
      </c>
      <c r="H119" s="105">
        <f>VLOOKUP( $A119, Aop!$A$2:$P$453, 4, 0)</f>
        <v>151</v>
      </c>
      <c r="I119" s="105">
        <f t="shared" si="16"/>
        <v>2025</v>
      </c>
      <c r="J119" s="55" t="str">
        <f t="shared" ca="1" si="20"/>
        <v/>
      </c>
      <c r="K119" s="55"/>
      <c r="L119" s="55" t="str">
        <f t="shared" ca="1" si="10"/>
        <v/>
      </c>
      <c r="M119" s="55" t="str">
        <f t="shared" ca="1" si="19"/>
        <v/>
      </c>
      <c r="N119" s="55" t="str">
        <f t="shared" ca="1" si="11"/>
        <v/>
      </c>
    </row>
    <row r="120" spans="1:14">
      <c r="A120" s="105">
        <v>119</v>
      </c>
      <c r="B120" s="105" t="str">
        <f>VLOOKUP( $A120, Aop!$A$2:$P$453, 2, 0)</f>
        <v>BSp</v>
      </c>
      <c r="C120" s="105">
        <v>26</v>
      </c>
      <c r="D120" s="105" t="str">
        <f t="shared" si="12"/>
        <v>01937189</v>
      </c>
      <c r="E120" s="105" t="str">
        <f t="shared" si="13"/>
        <v>4401376020001</v>
      </c>
      <c r="F120" s="105" t="b">
        <f t="shared" si="14"/>
        <v>0</v>
      </c>
      <c r="G120" s="139">
        <f t="shared" si="15"/>
        <v>45838</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c r="A121" s="105">
        <v>120</v>
      </c>
      <c r="B121" s="105" t="str">
        <f>VLOOKUP( $A121, Aop!$A$2:$P$453, 2, 0)</f>
        <v>BSp</v>
      </c>
      <c r="C121" s="105">
        <v>26</v>
      </c>
      <c r="D121" s="105" t="str">
        <f t="shared" si="12"/>
        <v>01937189</v>
      </c>
      <c r="E121" s="105" t="str">
        <f t="shared" si="13"/>
        <v>4401376020001</v>
      </c>
      <c r="F121" s="105" t="b">
        <f t="shared" si="14"/>
        <v>0</v>
      </c>
      <c r="G121" s="139">
        <f t="shared" si="15"/>
        <v>45838</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c r="A122" s="105">
        <v>121</v>
      </c>
      <c r="B122" s="105" t="str">
        <f>VLOOKUP( $A122, Aop!$A$2:$P$453, 2, 0)</f>
        <v>BSp</v>
      </c>
      <c r="C122" s="105">
        <v>26</v>
      </c>
      <c r="D122" s="105" t="str">
        <f t="shared" si="12"/>
        <v>01937189</v>
      </c>
      <c r="E122" s="105" t="str">
        <f t="shared" si="13"/>
        <v>4401376020001</v>
      </c>
      <c r="F122" s="105" t="b">
        <f t="shared" si="14"/>
        <v>0</v>
      </c>
      <c r="G122" s="139">
        <f t="shared" si="15"/>
        <v>45838</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c r="A123" s="105">
        <v>122</v>
      </c>
      <c r="B123" s="105" t="str">
        <f>VLOOKUP( $A123, Aop!$A$2:$P$453, 2, 0)</f>
        <v>BSp</v>
      </c>
      <c r="C123" s="105">
        <v>26</v>
      </c>
      <c r="D123" s="105" t="str">
        <f t="shared" si="12"/>
        <v>01937189</v>
      </c>
      <c r="E123" s="105" t="str">
        <f t="shared" si="13"/>
        <v>4401376020001</v>
      </c>
      <c r="F123" s="105" t="b">
        <f t="shared" si="14"/>
        <v>0</v>
      </c>
      <c r="G123" s="139">
        <f t="shared" si="15"/>
        <v>45838</v>
      </c>
      <c r="H123" s="105">
        <f>VLOOKUP( $A123, Aop!$A$2:$P$453, 4, 0)</f>
        <v>155</v>
      </c>
      <c r="I123" s="105">
        <f t="shared" si="16"/>
        <v>2025</v>
      </c>
      <c r="J123" s="55" t="str">
        <f t="shared" ca="1" si="20"/>
        <v/>
      </c>
      <c r="K123" s="55"/>
      <c r="L123" s="55" t="str">
        <f t="shared" ca="1" si="10"/>
        <v/>
      </c>
      <c r="M123" s="55">
        <f t="shared" ca="1" si="19"/>
        <v>128601</v>
      </c>
      <c r="N123" s="55">
        <f t="shared" ca="1" si="11"/>
        <v>128601</v>
      </c>
    </row>
    <row r="124" spans="1:14">
      <c r="A124" s="105">
        <v>123</v>
      </c>
      <c r="B124" s="105" t="str">
        <f>VLOOKUP( $A124, Aop!$A$2:$P$453, 2, 0)</f>
        <v>BSp</v>
      </c>
      <c r="C124" s="105">
        <v>26</v>
      </c>
      <c r="D124" s="105" t="str">
        <f t="shared" si="12"/>
        <v>01937189</v>
      </c>
      <c r="E124" s="105" t="str">
        <f t="shared" si="13"/>
        <v>4401376020001</v>
      </c>
      <c r="F124" s="105" t="b">
        <f t="shared" si="14"/>
        <v>0</v>
      </c>
      <c r="G124" s="139">
        <f t="shared" si="15"/>
        <v>45838</v>
      </c>
      <c r="H124" s="105">
        <f>VLOOKUP( $A124, Aop!$A$2:$P$453, 4, 0)</f>
        <v>156</v>
      </c>
      <c r="I124" s="105">
        <f t="shared" si="16"/>
        <v>2025</v>
      </c>
      <c r="J124" s="55" t="str">
        <f t="shared" ca="1" si="20"/>
        <v/>
      </c>
      <c r="K124" s="55"/>
      <c r="L124" s="55" t="str">
        <f t="shared" ca="1" si="10"/>
        <v/>
      </c>
      <c r="M124" s="55" t="str">
        <f t="shared" ca="1" si="19"/>
        <v/>
      </c>
      <c r="N124" s="55" t="str">
        <f t="shared" ca="1" si="11"/>
        <v/>
      </c>
    </row>
    <row r="125" spans="1:14">
      <c r="A125" s="105">
        <v>124</v>
      </c>
      <c r="B125" s="105" t="str">
        <f>VLOOKUP( $A125, Aop!$A$2:$P$453, 2, 0)</f>
        <v>BSp</v>
      </c>
      <c r="C125" s="105">
        <v>26</v>
      </c>
      <c r="D125" s="105" t="str">
        <f t="shared" si="12"/>
        <v>01937189</v>
      </c>
      <c r="E125" s="105" t="str">
        <f t="shared" si="13"/>
        <v>4401376020001</v>
      </c>
      <c r="F125" s="105" t="b">
        <f t="shared" si="14"/>
        <v>0</v>
      </c>
      <c r="G125" s="139">
        <f t="shared" si="15"/>
        <v>45838</v>
      </c>
      <c r="H125" s="105">
        <f>VLOOKUP( $A125, Aop!$A$2:$P$453, 4, 0)</f>
        <v>157</v>
      </c>
      <c r="I125" s="105">
        <f t="shared" si="16"/>
        <v>2025</v>
      </c>
      <c r="J125" s="55" t="str">
        <f t="shared" ca="1" si="20"/>
        <v/>
      </c>
      <c r="K125" s="55"/>
      <c r="L125" s="55" t="str">
        <f t="shared" ca="1" si="10"/>
        <v/>
      </c>
      <c r="M125" s="55">
        <f t="shared" ca="1" si="19"/>
        <v>282</v>
      </c>
      <c r="N125" s="55">
        <f t="shared" ca="1" si="11"/>
        <v>282</v>
      </c>
    </row>
    <row r="126" spans="1:14">
      <c r="A126" s="105">
        <v>125</v>
      </c>
      <c r="B126" s="105" t="str">
        <f>VLOOKUP( $A126, Aop!$A$2:$P$453, 2, 0)</f>
        <v>BSp</v>
      </c>
      <c r="C126" s="105">
        <v>26</v>
      </c>
      <c r="D126" s="105" t="str">
        <f t="shared" si="12"/>
        <v>01937189</v>
      </c>
      <c r="E126" s="105" t="str">
        <f t="shared" si="13"/>
        <v>4401376020001</v>
      </c>
      <c r="F126" s="105" t="b">
        <f t="shared" si="14"/>
        <v>0</v>
      </c>
      <c r="G126" s="139">
        <f t="shared" si="15"/>
        <v>45838</v>
      </c>
      <c r="H126" s="105">
        <f>VLOOKUP( $A126, Aop!$A$2:$P$453, 4, 0)</f>
        <v>158</v>
      </c>
      <c r="I126" s="105">
        <f t="shared" si="16"/>
        <v>2025</v>
      </c>
      <c r="J126" s="55" t="str">
        <f t="shared" ca="1" si="20"/>
        <v/>
      </c>
      <c r="K126" s="55"/>
      <c r="L126" s="55" t="str">
        <f t="shared" ca="1" si="10"/>
        <v/>
      </c>
      <c r="M126" s="55">
        <f t="shared" ca="1" si="19"/>
        <v>128319</v>
      </c>
      <c r="N126" s="55">
        <f t="shared" ca="1" si="11"/>
        <v>128319</v>
      </c>
    </row>
    <row r="127" spans="1:14">
      <c r="A127" s="105">
        <v>126</v>
      </c>
      <c r="B127" s="105" t="str">
        <f>VLOOKUP( $A127, Aop!$A$2:$P$453, 2, 0)</f>
        <v>BSp</v>
      </c>
      <c r="C127" s="105">
        <v>26</v>
      </c>
      <c r="D127" s="105" t="str">
        <f t="shared" si="12"/>
        <v>01937189</v>
      </c>
      <c r="E127" s="105" t="str">
        <f t="shared" si="13"/>
        <v>4401376020001</v>
      </c>
      <c r="F127" s="105" t="b">
        <f t="shared" si="14"/>
        <v>0</v>
      </c>
      <c r="G127" s="139">
        <f t="shared" si="15"/>
        <v>45838</v>
      </c>
      <c r="H127" s="105">
        <f>VLOOKUP( $A127, Aop!$A$2:$P$453, 4, 0)</f>
        <v>159</v>
      </c>
      <c r="I127" s="105">
        <f t="shared" si="16"/>
        <v>2025</v>
      </c>
      <c r="J127" s="55" t="str">
        <f t="shared" ca="1" si="20"/>
        <v/>
      </c>
      <c r="K127" s="55"/>
      <c r="L127" s="55" t="str">
        <f t="shared" ca="1" si="10"/>
        <v/>
      </c>
      <c r="M127" s="55" t="str">
        <f t="shared" ca="1" si="19"/>
        <v/>
      </c>
      <c r="N127" s="55" t="str">
        <f t="shared" ca="1" si="11"/>
        <v/>
      </c>
    </row>
    <row r="128" spans="1:14">
      <c r="A128" s="105">
        <v>127</v>
      </c>
      <c r="B128" s="105" t="str">
        <f>VLOOKUP( $A128, Aop!$A$2:$P$453, 2, 0)</f>
        <v>BSp</v>
      </c>
      <c r="C128" s="105">
        <v>26</v>
      </c>
      <c r="D128" s="105" t="str">
        <f t="shared" si="12"/>
        <v>01937189</v>
      </c>
      <c r="E128" s="105" t="str">
        <f t="shared" si="13"/>
        <v>4401376020001</v>
      </c>
      <c r="F128" s="105" t="b">
        <f t="shared" si="14"/>
        <v>0</v>
      </c>
      <c r="G128" s="139">
        <f t="shared" si="15"/>
        <v>45838</v>
      </c>
      <c r="H128" s="105">
        <f>VLOOKUP( $A128, Aop!$A$2:$P$453, 4, 0)</f>
        <v>160</v>
      </c>
      <c r="I128" s="105">
        <f t="shared" si="16"/>
        <v>2025</v>
      </c>
      <c r="J128" s="55" t="str">
        <f t="shared" ca="1" si="20"/>
        <v/>
      </c>
      <c r="K128" s="55"/>
      <c r="L128" s="55" t="str">
        <f t="shared" ca="1" si="10"/>
        <v/>
      </c>
      <c r="M128" s="55" t="str">
        <f t="shared" ca="1" si="19"/>
        <v/>
      </c>
      <c r="N128" s="55" t="str">
        <f t="shared" ca="1" si="11"/>
        <v/>
      </c>
    </row>
    <row r="129" spans="1:14">
      <c r="A129" s="105">
        <v>128</v>
      </c>
      <c r="B129" s="105" t="str">
        <f>VLOOKUP( $A129, Aop!$A$2:$P$453, 2, 0)</f>
        <v>BSp</v>
      </c>
      <c r="C129" s="105">
        <v>26</v>
      </c>
      <c r="D129" s="105" t="str">
        <f t="shared" si="12"/>
        <v>01937189</v>
      </c>
      <c r="E129" s="105" t="str">
        <f t="shared" si="13"/>
        <v>4401376020001</v>
      </c>
      <c r="F129" s="105" t="b">
        <f t="shared" si="14"/>
        <v>0</v>
      </c>
      <c r="G129" s="139">
        <f t="shared" si="15"/>
        <v>45838</v>
      </c>
      <c r="H129" s="105">
        <f>VLOOKUP( $A129, Aop!$A$2:$P$453, 4, 0)</f>
        <v>161</v>
      </c>
      <c r="I129" s="105">
        <f t="shared" si="16"/>
        <v>2025</v>
      </c>
      <c r="J129" s="55" t="str">
        <f t="shared" ca="1" si="20"/>
        <v/>
      </c>
      <c r="K129" s="55"/>
      <c r="L129" s="55" t="str">
        <f t="shared" ca="1" si="10"/>
        <v/>
      </c>
      <c r="M129" s="55" t="str">
        <f t="shared" ca="1" si="19"/>
        <v/>
      </c>
      <c r="N129" s="55" t="str">
        <f t="shared" ca="1" si="11"/>
        <v/>
      </c>
    </row>
    <row r="130" spans="1:14">
      <c r="A130" s="105">
        <v>129</v>
      </c>
      <c r="B130" s="55" t="str">
        <f>VLOOKUP( $A130, Aop!$A$2:$P$453, 2, 0)</f>
        <v>BSp</v>
      </c>
      <c r="C130" s="105">
        <v>26</v>
      </c>
      <c r="D130" s="55" t="str">
        <f>Podatak_MB</f>
        <v>01937189</v>
      </c>
      <c r="E130" s="55" t="str">
        <f>Podatak_JIB</f>
        <v>4401376020001</v>
      </c>
      <c r="F130" s="55" t="b">
        <f>Konsolidovan_izvjestaj</f>
        <v>0</v>
      </c>
      <c r="G130" s="139">
        <f>Datum_Broj</f>
        <v>45838</v>
      </c>
      <c r="H130" s="55">
        <f>VLOOKUP( $A130, Aop!$A$2:$P$453, 4, 0)</f>
        <v>162</v>
      </c>
      <c r="I130" s="55">
        <f>Godina</f>
        <v>2025</v>
      </c>
      <c r="J130" s="55" t="str">
        <f t="shared" ca="1" si="20"/>
        <v/>
      </c>
      <c r="K130" s="55"/>
      <c r="L130" s="55" t="str">
        <f t="shared" ca="1" si="10"/>
        <v/>
      </c>
      <c r="M130" s="55">
        <f t="shared" ca="1" si="19"/>
        <v>182502</v>
      </c>
      <c r="N130" s="55">
        <f t="shared" ref="N130:N193" ca="1" si="21">IF( VLOOKUP( $H130, INDIRECT( "Lookup_" &amp; $B130), IF( LEFT( $B130, 2) = "BS", S$2, S$1), 0) = "", "", VLOOKUP( $H130, INDIRECT( "Lookup_" &amp; $B130), IF( LEFT( $B130, 2) = "BS", S$2, S$1), 0))</f>
        <v>182502</v>
      </c>
    </row>
    <row r="131" spans="1:14">
      <c r="A131" s="105">
        <v>130</v>
      </c>
      <c r="B131" s="105" t="str">
        <f>VLOOKUP( $A131, Aop!$A$2:$P$453, 2, 0)</f>
        <v>BSp</v>
      </c>
      <c r="C131" s="105">
        <v>26</v>
      </c>
      <c r="D131" s="55" t="str">
        <f t="shared" ref="D131:D190" si="22">Podatak_MB</f>
        <v>01937189</v>
      </c>
      <c r="E131" s="55" t="str">
        <f t="shared" ref="E131:E190" si="23">Podatak_JIB</f>
        <v>4401376020001</v>
      </c>
      <c r="F131" s="55" t="b">
        <f t="shared" si="14"/>
        <v>0</v>
      </c>
      <c r="G131" s="139">
        <f t="shared" si="15"/>
        <v>45838</v>
      </c>
      <c r="H131" s="105">
        <f>VLOOKUP( $A131, Aop!$A$2:$P$453, 4, 0)</f>
        <v>163</v>
      </c>
      <c r="I131" s="55">
        <f t="shared" ref="I131:I190" si="24">Godina</f>
        <v>2025</v>
      </c>
      <c r="J131" s="55" t="str">
        <f t="shared" ca="1" si="20"/>
        <v/>
      </c>
      <c r="K131" s="55"/>
      <c r="L131" s="55" t="str">
        <f t="shared" ca="1" si="10"/>
        <v/>
      </c>
      <c r="M131" s="55">
        <f t="shared" ca="1" si="19"/>
        <v>540</v>
      </c>
      <c r="N131" s="55">
        <f t="shared" ca="1" si="21"/>
        <v>540</v>
      </c>
    </row>
    <row r="132" spans="1:14">
      <c r="A132" s="105">
        <v>131</v>
      </c>
      <c r="B132" s="105" t="str">
        <f>VLOOKUP( $A132, Aop!$A$2:$P$453, 2, 0)</f>
        <v>BSp</v>
      </c>
      <c r="C132" s="105">
        <v>26</v>
      </c>
      <c r="D132" s="55" t="str">
        <f t="shared" si="22"/>
        <v>01937189</v>
      </c>
      <c r="E132" s="55" t="str">
        <f t="shared" si="23"/>
        <v>4401376020001</v>
      </c>
      <c r="F132" s="55" t="b">
        <f t="shared" ref="F132:F191" si="25">Konsolidovan_izvjestaj</f>
        <v>0</v>
      </c>
      <c r="G132" s="139">
        <f t="shared" ref="G132:G191" si="26">Datum_Broj</f>
        <v>45838</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5033</v>
      </c>
      <c r="N132" s="55">
        <f t="shared" ca="1" si="21"/>
        <v>5033</v>
      </c>
    </row>
    <row r="133" spans="1:14">
      <c r="A133" s="105">
        <v>132</v>
      </c>
      <c r="B133" s="105" t="str">
        <f>VLOOKUP( $A133, Aop!$A$2:$P$453, 2, 0)</f>
        <v>BSp</v>
      </c>
      <c r="C133" s="105">
        <v>26</v>
      </c>
      <c r="D133" s="55" t="str">
        <f t="shared" si="22"/>
        <v>01937189</v>
      </c>
      <c r="E133" s="55" t="str">
        <f t="shared" si="23"/>
        <v>4401376020001</v>
      </c>
      <c r="F133" s="55" t="b">
        <f t="shared" si="25"/>
        <v>0</v>
      </c>
      <c r="G133" s="139">
        <f t="shared" si="26"/>
        <v>45838</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12637</v>
      </c>
      <c r="N133" s="55">
        <f t="shared" ca="1" si="21"/>
        <v>12637</v>
      </c>
    </row>
    <row r="134" spans="1:14">
      <c r="A134" s="105">
        <v>133</v>
      </c>
      <c r="B134" s="105" t="str">
        <f>VLOOKUP( $A134, Aop!$A$2:$P$453, 2, 0)</f>
        <v>BSp</v>
      </c>
      <c r="C134" s="105">
        <v>26</v>
      </c>
      <c r="D134" s="55" t="str">
        <f t="shared" si="22"/>
        <v>01937189</v>
      </c>
      <c r="E134" s="55" t="str">
        <f t="shared" si="23"/>
        <v>4401376020001</v>
      </c>
      <c r="F134" s="55" t="b">
        <f t="shared" si="25"/>
        <v>0</v>
      </c>
      <c r="G134" s="139">
        <f t="shared" si="26"/>
        <v>45838</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f t="shared" ca="1" si="27"/>
        <v>6267</v>
      </c>
      <c r="N134" s="55">
        <f t="shared" ca="1" si="21"/>
        <v>6267</v>
      </c>
    </row>
    <row r="135" spans="1:14">
      <c r="A135" s="105">
        <v>134</v>
      </c>
      <c r="B135" s="105" t="str">
        <f>VLOOKUP( $A135, Aop!$A$2:$P$453, 2, 0)</f>
        <v>BSp</v>
      </c>
      <c r="C135" s="105">
        <v>26</v>
      </c>
      <c r="D135" s="55" t="str">
        <f t="shared" si="22"/>
        <v>01937189</v>
      </c>
      <c r="E135" s="55" t="str">
        <f t="shared" si="23"/>
        <v>4401376020001</v>
      </c>
      <c r="F135" s="55" t="b">
        <f t="shared" si="25"/>
        <v>0</v>
      </c>
      <c r="G135" s="139">
        <f t="shared" si="26"/>
        <v>45838</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c r="A136" s="105">
        <v>136</v>
      </c>
      <c r="B136" s="105" t="str">
        <f>VLOOKUP( $A136, Aop!$A$2:$P$453, 2, 0)</f>
        <v>BSp</v>
      </c>
      <c r="C136" s="105">
        <v>26</v>
      </c>
      <c r="D136" s="55" t="str">
        <f t="shared" si="22"/>
        <v>01937189</v>
      </c>
      <c r="E136" s="55" t="str">
        <f t="shared" si="23"/>
        <v>4401376020001</v>
      </c>
      <c r="F136" s="55" t="b">
        <f t="shared" si="25"/>
        <v>0</v>
      </c>
      <c r="G136" s="139">
        <f t="shared" si="26"/>
        <v>45838</v>
      </c>
      <c r="H136" s="105">
        <f>VLOOKUP( $A136, Aop!$A$2:$P$453, 4, 0)</f>
        <v>0</v>
      </c>
      <c r="I136" s="55">
        <f t="shared" si="24"/>
        <v>2025</v>
      </c>
      <c r="J136" s="55" t="str">
        <f t="shared" ca="1" si="28"/>
        <v/>
      </c>
      <c r="K136" s="55"/>
      <c r="L136" s="55"/>
      <c r="M136" s="55" t="str">
        <f t="shared" ca="1" si="27"/>
        <v/>
      </c>
      <c r="N136" s="55" t="str">
        <f t="shared" ca="1" si="21"/>
        <v/>
      </c>
    </row>
    <row r="137" spans="1:14">
      <c r="A137" s="105">
        <v>137</v>
      </c>
      <c r="B137" s="105" t="str">
        <f>VLOOKUP( $A137, Aop!$A$2:$P$453, 2, 0)</f>
        <v>BSp</v>
      </c>
      <c r="C137" s="105">
        <v>26</v>
      </c>
      <c r="D137" s="55" t="str">
        <f t="shared" si="22"/>
        <v>01937189</v>
      </c>
      <c r="E137" s="55" t="str">
        <f t="shared" si="23"/>
        <v>4401376020001</v>
      </c>
      <c r="F137" s="55" t="b">
        <f t="shared" si="25"/>
        <v>0</v>
      </c>
      <c r="G137" s="139">
        <f t="shared" si="26"/>
        <v>45838</v>
      </c>
      <c r="H137" s="105">
        <f>VLOOKUP( $A137, Aop!$A$2:$P$453, 4, 0)</f>
        <v>169</v>
      </c>
      <c r="I137" s="55">
        <f t="shared" si="24"/>
        <v>2025</v>
      </c>
      <c r="J137" s="55" t="str">
        <f t="shared" ca="1" si="28"/>
        <v/>
      </c>
      <c r="K137" s="55"/>
      <c r="L137" s="55"/>
      <c r="M137" s="55">
        <f t="shared" ca="1" si="27"/>
        <v>426385</v>
      </c>
      <c r="N137" s="55">
        <f t="shared" ca="1" si="21"/>
        <v>426385</v>
      </c>
    </row>
    <row r="138" spans="1:14">
      <c r="A138" s="105">
        <v>138</v>
      </c>
      <c r="B138" s="105" t="str">
        <f>VLOOKUP( $A138, Aop!$A$2:$P$453, 2, 0)</f>
        <v>BSp</v>
      </c>
      <c r="C138" s="105">
        <v>27</v>
      </c>
      <c r="D138" s="55" t="str">
        <f t="shared" si="22"/>
        <v>01937189</v>
      </c>
      <c r="E138" s="55" t="str">
        <f t="shared" si="23"/>
        <v>4401376020001</v>
      </c>
      <c r="F138" s="55" t="b">
        <f t="shared" si="25"/>
        <v>0</v>
      </c>
      <c r="G138" s="139">
        <f t="shared" si="26"/>
        <v>45838</v>
      </c>
      <c r="H138" s="105">
        <f>VLOOKUP( $A138, Aop!$A$2:$P$453, 4, 0)</f>
        <v>170</v>
      </c>
      <c r="I138" s="55">
        <f t="shared" si="24"/>
        <v>2025</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c r="A139" s="105">
        <v>139</v>
      </c>
      <c r="B139" s="105" t="str">
        <f>VLOOKUP( $A139, Aop!$A$2:$P$453, 2, 0)</f>
        <v>BUa</v>
      </c>
      <c r="C139" s="55">
        <v>27</v>
      </c>
      <c r="D139" s="55" t="str">
        <f t="shared" si="22"/>
        <v>01937189</v>
      </c>
      <c r="E139" s="55" t="str">
        <f t="shared" si="23"/>
        <v>4401376020001</v>
      </c>
      <c r="F139" s="55" t="b">
        <f t="shared" si="25"/>
        <v>0</v>
      </c>
      <c r="G139" s="139">
        <f t="shared" si="26"/>
        <v>45838</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555036</v>
      </c>
      <c r="N139" s="55">
        <f t="shared" ca="1" si="21"/>
        <v>555036</v>
      </c>
    </row>
    <row r="140" spans="1:14">
      <c r="A140" s="105">
        <v>140</v>
      </c>
      <c r="B140" s="105" t="str">
        <f>VLOOKUP( $A140, Aop!$A$2:$P$453, 2, 0)</f>
        <v>BUa</v>
      </c>
      <c r="C140" s="55">
        <v>27</v>
      </c>
      <c r="D140" s="55" t="str">
        <f t="shared" si="22"/>
        <v>01937189</v>
      </c>
      <c r="E140" s="55" t="str">
        <f t="shared" si="23"/>
        <v>4401376020001</v>
      </c>
      <c r="F140" s="55" t="b">
        <f t="shared" si="25"/>
        <v>0</v>
      </c>
      <c r="G140" s="139">
        <f t="shared" si="26"/>
        <v>45838</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c r="A141" s="105">
        <v>141</v>
      </c>
      <c r="B141" s="105" t="str">
        <f>VLOOKUP( $A141, Aop!$A$2:$P$453, 2, 0)</f>
        <v>BUa</v>
      </c>
      <c r="C141" s="55">
        <v>27</v>
      </c>
      <c r="D141" s="55" t="str">
        <f t="shared" si="22"/>
        <v>01937189</v>
      </c>
      <c r="E141" s="55" t="str">
        <f t="shared" si="23"/>
        <v>4401376020001</v>
      </c>
      <c r="F141" s="55" t="b">
        <f t="shared" si="25"/>
        <v>0</v>
      </c>
      <c r="G141" s="139">
        <f t="shared" si="26"/>
        <v>45838</v>
      </c>
      <c r="H141" s="105">
        <f>VLOOKUP( $A141, Aop!$A$2:$P$453, 4, 0)</f>
        <v>203</v>
      </c>
      <c r="I141" s="55">
        <f t="shared" si="24"/>
        <v>2025</v>
      </c>
      <c r="J141" s="55" t="str">
        <f t="shared" ca="1" si="30"/>
        <v/>
      </c>
      <c r="K141" s="55"/>
      <c r="L141" s="55"/>
      <c r="M141" s="55" t="str">
        <f t="shared" ca="1" si="29"/>
        <v/>
      </c>
      <c r="N141" s="55" t="str">
        <f t="shared" ca="1" si="21"/>
        <v/>
      </c>
    </row>
    <row r="142" spans="1:14">
      <c r="A142" s="105">
        <v>142</v>
      </c>
      <c r="B142" s="105" t="str">
        <f>VLOOKUP( $A142, Aop!$A$2:$P$453, 2, 0)</f>
        <v>BUa</v>
      </c>
      <c r="C142" s="55">
        <v>27</v>
      </c>
      <c r="D142" s="55" t="str">
        <f t="shared" si="22"/>
        <v>01937189</v>
      </c>
      <c r="E142" s="55" t="str">
        <f t="shared" si="23"/>
        <v>4401376020001</v>
      </c>
      <c r="F142" s="55" t="b">
        <f t="shared" si="25"/>
        <v>0</v>
      </c>
      <c r="G142" s="139">
        <f t="shared" si="26"/>
        <v>45838</v>
      </c>
      <c r="H142" s="105">
        <f>VLOOKUP( $A142, Aop!$A$2:$P$453, 4, 0)</f>
        <v>204</v>
      </c>
      <c r="I142" s="55">
        <f t="shared" si="24"/>
        <v>2025</v>
      </c>
      <c r="J142" s="55" t="str">
        <f t="shared" ca="1" si="30"/>
        <v/>
      </c>
      <c r="K142" s="55"/>
      <c r="L142" s="55"/>
      <c r="M142" s="55" t="str">
        <f t="shared" ca="1" si="29"/>
        <v/>
      </c>
      <c r="N142" s="55" t="str">
        <f t="shared" ca="1" si="21"/>
        <v/>
      </c>
    </row>
    <row r="143" spans="1:14">
      <c r="A143" s="105">
        <v>143</v>
      </c>
      <c r="B143" s="105" t="str">
        <f>VLOOKUP( $A143, Aop!$A$2:$P$453, 2, 0)</f>
        <v>BUa</v>
      </c>
      <c r="C143" s="55">
        <v>27</v>
      </c>
      <c r="D143" s="55" t="str">
        <f t="shared" si="22"/>
        <v>01937189</v>
      </c>
      <c r="E143" s="55" t="str">
        <f t="shared" si="23"/>
        <v>4401376020001</v>
      </c>
      <c r="F143" s="55" t="b">
        <f t="shared" si="25"/>
        <v>0</v>
      </c>
      <c r="G143" s="139">
        <f t="shared" si="26"/>
        <v>45838</v>
      </c>
      <c r="H143" s="105">
        <f>VLOOKUP( $A143, Aop!$A$2:$P$453, 4, 0)</f>
        <v>205</v>
      </c>
      <c r="I143" s="55">
        <f t="shared" si="24"/>
        <v>2025</v>
      </c>
      <c r="J143" s="55" t="str">
        <f t="shared" ca="1" si="30"/>
        <v/>
      </c>
      <c r="K143" s="55"/>
      <c r="L143" s="55"/>
      <c r="M143" s="55" t="str">
        <f t="shared" ca="1" si="29"/>
        <v/>
      </c>
      <c r="N143" s="55" t="str">
        <f t="shared" ca="1" si="21"/>
        <v/>
      </c>
    </row>
    <row r="144" spans="1:14">
      <c r="A144" s="105">
        <v>144</v>
      </c>
      <c r="B144" s="105" t="str">
        <f>VLOOKUP( $A144, Aop!$A$2:$P$453, 2, 0)</f>
        <v>BUa</v>
      </c>
      <c r="C144" s="55">
        <v>27</v>
      </c>
      <c r="D144" s="55" t="str">
        <f t="shared" si="22"/>
        <v>01937189</v>
      </c>
      <c r="E144" s="55" t="str">
        <f t="shared" si="23"/>
        <v>4401376020001</v>
      </c>
      <c r="F144" s="55" t="b">
        <f t="shared" si="25"/>
        <v>0</v>
      </c>
      <c r="G144" s="139">
        <f t="shared" si="26"/>
        <v>45838</v>
      </c>
      <c r="H144" s="105">
        <f>VLOOKUP( $A144, Aop!$A$2:$P$453, 4, 0)</f>
        <v>206</v>
      </c>
      <c r="I144" s="55">
        <f t="shared" si="24"/>
        <v>2025</v>
      </c>
      <c r="J144" s="55" t="str">
        <f t="shared" ca="1" si="30"/>
        <v/>
      </c>
      <c r="K144" s="55"/>
      <c r="L144" s="55"/>
      <c r="M144" s="55">
        <f t="shared" ca="1" si="29"/>
        <v>0</v>
      </c>
      <c r="N144" s="55">
        <f t="shared" ca="1" si="21"/>
        <v>0</v>
      </c>
    </row>
    <row r="145" spans="1:14">
      <c r="A145" s="105">
        <v>145</v>
      </c>
      <c r="B145" s="105" t="str">
        <f>VLOOKUP( $A145, Aop!$A$2:$P$453, 2, 0)</f>
        <v>BUa</v>
      </c>
      <c r="C145" s="55">
        <v>27</v>
      </c>
      <c r="D145" s="55" t="str">
        <f t="shared" si="22"/>
        <v>01937189</v>
      </c>
      <c r="E145" s="55" t="str">
        <f t="shared" si="23"/>
        <v>4401376020001</v>
      </c>
      <c r="F145" s="55" t="b">
        <f t="shared" si="25"/>
        <v>0</v>
      </c>
      <c r="G145" s="139">
        <f t="shared" si="26"/>
        <v>45838</v>
      </c>
      <c r="H145" s="105">
        <f>VLOOKUP( $A145, Aop!$A$2:$P$453, 4, 0)</f>
        <v>207</v>
      </c>
      <c r="I145" s="55">
        <f t="shared" si="24"/>
        <v>2025</v>
      </c>
      <c r="J145" s="55" t="str">
        <f t="shared" ca="1" si="30"/>
        <v/>
      </c>
      <c r="K145" s="55"/>
      <c r="L145" s="55"/>
      <c r="M145" s="55" t="str">
        <f t="shared" ca="1" si="29"/>
        <v/>
      </c>
      <c r="N145" s="55" t="str">
        <f t="shared" ca="1" si="21"/>
        <v/>
      </c>
    </row>
    <row r="146" spans="1:14">
      <c r="A146" s="105">
        <v>146</v>
      </c>
      <c r="B146" s="105" t="str">
        <f>VLOOKUP( $A146, Aop!$A$2:$P$453, 2, 0)</f>
        <v>BUa</v>
      </c>
      <c r="C146" s="55">
        <v>27</v>
      </c>
      <c r="D146" s="55" t="str">
        <f t="shared" si="22"/>
        <v>01937189</v>
      </c>
      <c r="E146" s="55" t="str">
        <f t="shared" si="23"/>
        <v>4401376020001</v>
      </c>
      <c r="F146" s="55" t="b">
        <f t="shared" si="25"/>
        <v>0</v>
      </c>
      <c r="G146" s="139">
        <f t="shared" si="26"/>
        <v>45838</v>
      </c>
      <c r="H146" s="105">
        <f>VLOOKUP( $A146, Aop!$A$2:$P$453, 4, 0)</f>
        <v>208</v>
      </c>
      <c r="I146" s="55">
        <f t="shared" si="24"/>
        <v>2025</v>
      </c>
      <c r="J146" s="55" t="str">
        <f t="shared" ca="1" si="30"/>
        <v/>
      </c>
      <c r="K146" s="55"/>
      <c r="L146" s="55"/>
      <c r="M146" s="55" t="str">
        <f t="shared" ca="1" si="29"/>
        <v/>
      </c>
      <c r="N146" s="55" t="str">
        <f t="shared" ca="1" si="21"/>
        <v/>
      </c>
    </row>
    <row r="147" spans="1:14">
      <c r="A147" s="105">
        <v>147</v>
      </c>
      <c r="B147" s="105" t="str">
        <f>VLOOKUP( $A147, Aop!$A$2:$P$453, 2, 0)</f>
        <v>BUa</v>
      </c>
      <c r="C147" s="55">
        <v>27</v>
      </c>
      <c r="D147" s="55" t="str">
        <f t="shared" si="22"/>
        <v>01937189</v>
      </c>
      <c r="E147" s="55" t="str">
        <f t="shared" si="23"/>
        <v>4401376020001</v>
      </c>
      <c r="F147" s="55" t="b">
        <f t="shared" si="25"/>
        <v>0</v>
      </c>
      <c r="G147" s="139">
        <f t="shared" si="26"/>
        <v>45838</v>
      </c>
      <c r="H147" s="105">
        <f>VLOOKUP( $A147, Aop!$A$2:$P$453, 4, 0)</f>
        <v>209</v>
      </c>
      <c r="I147" s="55">
        <f t="shared" si="24"/>
        <v>2025</v>
      </c>
      <c r="J147" s="55" t="str">
        <f t="shared" ca="1" si="30"/>
        <v/>
      </c>
      <c r="K147" s="55"/>
      <c r="L147" s="55"/>
      <c r="M147" s="55" t="str">
        <f t="shared" ca="1" si="29"/>
        <v/>
      </c>
      <c r="N147" s="55" t="str">
        <f t="shared" ca="1" si="21"/>
        <v/>
      </c>
    </row>
    <row r="148" spans="1:14">
      <c r="A148" s="105">
        <v>148</v>
      </c>
      <c r="B148" s="105" t="str">
        <f>VLOOKUP( $A148, Aop!$A$2:$P$453, 2, 0)</f>
        <v>BUa</v>
      </c>
      <c r="C148" s="55">
        <v>27</v>
      </c>
      <c r="D148" s="55" t="str">
        <f t="shared" si="22"/>
        <v>01937189</v>
      </c>
      <c r="E148" s="55" t="str">
        <f t="shared" si="23"/>
        <v>4401376020001</v>
      </c>
      <c r="F148" s="55" t="b">
        <f t="shared" si="25"/>
        <v>0</v>
      </c>
      <c r="G148" s="139">
        <f t="shared" si="26"/>
        <v>45838</v>
      </c>
      <c r="H148" s="105">
        <f>VLOOKUP( $A148, Aop!$A$2:$P$453, 4, 0)</f>
        <v>210</v>
      </c>
      <c r="I148" s="55">
        <f t="shared" si="24"/>
        <v>2025</v>
      </c>
      <c r="J148" s="55" t="str">
        <f t="shared" ca="1" si="30"/>
        <v/>
      </c>
      <c r="K148" s="55"/>
      <c r="L148" s="55"/>
      <c r="M148" s="55">
        <f t="shared" ca="1" si="29"/>
        <v>254451</v>
      </c>
      <c r="N148" s="55">
        <f t="shared" ca="1" si="21"/>
        <v>254451</v>
      </c>
    </row>
    <row r="149" spans="1:14">
      <c r="A149" s="105">
        <v>149</v>
      </c>
      <c r="B149" s="105" t="str">
        <f>VLOOKUP( $A149, Aop!$A$2:$P$453, 2, 0)</f>
        <v>BUa</v>
      </c>
      <c r="C149" s="55">
        <v>27</v>
      </c>
      <c r="D149" s="55" t="str">
        <f t="shared" si="22"/>
        <v>01937189</v>
      </c>
      <c r="E149" s="55" t="str">
        <f t="shared" si="23"/>
        <v>4401376020001</v>
      </c>
      <c r="F149" s="55" t="b">
        <f t="shared" si="25"/>
        <v>0</v>
      </c>
      <c r="G149" s="139">
        <f t="shared" si="26"/>
        <v>45838</v>
      </c>
      <c r="H149" s="105">
        <f>VLOOKUP( $A149, Aop!$A$2:$P$453, 4, 0)</f>
        <v>211</v>
      </c>
      <c r="I149" s="55">
        <f t="shared" si="24"/>
        <v>2025</v>
      </c>
      <c r="J149" s="55" t="str">
        <f t="shared" ca="1" si="30"/>
        <v/>
      </c>
      <c r="K149" s="55"/>
      <c r="L149" s="55"/>
      <c r="M149" s="55" t="str">
        <f t="shared" ca="1" si="29"/>
        <v/>
      </c>
      <c r="N149" s="55" t="str">
        <f t="shared" ca="1" si="21"/>
        <v/>
      </c>
    </row>
    <row r="150" spans="1:14">
      <c r="A150" s="105">
        <v>150</v>
      </c>
      <c r="B150" s="105" t="str">
        <f>VLOOKUP( $A150, Aop!$A$2:$P$453, 2, 0)</f>
        <v>BUa</v>
      </c>
      <c r="C150" s="55">
        <v>27</v>
      </c>
      <c r="D150" s="55" t="str">
        <f t="shared" si="22"/>
        <v>01937189</v>
      </c>
      <c r="E150" s="55" t="str">
        <f t="shared" si="23"/>
        <v>4401376020001</v>
      </c>
      <c r="F150" s="55" t="b">
        <f t="shared" si="25"/>
        <v>0</v>
      </c>
      <c r="G150" s="139">
        <f t="shared" si="26"/>
        <v>45838</v>
      </c>
      <c r="H150" s="105">
        <f>VLOOKUP( $A150, Aop!$A$2:$P$453, 4, 0)</f>
        <v>212</v>
      </c>
      <c r="I150" s="55">
        <f t="shared" si="24"/>
        <v>2025</v>
      </c>
      <c r="J150" s="55" t="str">
        <f t="shared" ca="1" si="30"/>
        <v/>
      </c>
      <c r="K150" s="55"/>
      <c r="L150" s="55"/>
      <c r="M150" s="55">
        <f t="shared" ca="1" si="29"/>
        <v>254451</v>
      </c>
      <c r="N150" s="55">
        <f t="shared" ca="1" si="21"/>
        <v>254451</v>
      </c>
    </row>
    <row r="151" spans="1:14">
      <c r="A151" s="105">
        <v>151</v>
      </c>
      <c r="B151" s="105" t="str">
        <f>VLOOKUP( $A151, Aop!$A$2:$P$453, 2, 0)</f>
        <v>BUa</v>
      </c>
      <c r="C151" s="55">
        <v>27</v>
      </c>
      <c r="D151" s="55" t="str">
        <f t="shared" si="22"/>
        <v>01937189</v>
      </c>
      <c r="E151" s="55" t="str">
        <f t="shared" si="23"/>
        <v>4401376020001</v>
      </c>
      <c r="F151" s="55" t="b">
        <f t="shared" si="25"/>
        <v>0</v>
      </c>
      <c r="G151" s="139">
        <f t="shared" si="26"/>
        <v>45838</v>
      </c>
      <c r="H151" s="105">
        <f>VLOOKUP( $A151, Aop!$A$2:$P$453, 4, 0)</f>
        <v>213</v>
      </c>
      <c r="I151" s="55">
        <f t="shared" si="24"/>
        <v>2025</v>
      </c>
      <c r="J151" s="55" t="str">
        <f t="shared" ca="1" si="30"/>
        <v/>
      </c>
      <c r="K151" s="55"/>
      <c r="L151" s="55"/>
      <c r="M151" s="55" t="str">
        <f t="shared" ca="1" si="29"/>
        <v/>
      </c>
      <c r="N151" s="55" t="str">
        <f t="shared" ca="1" si="21"/>
        <v/>
      </c>
    </row>
    <row r="152" spans="1:14">
      <c r="A152" s="105">
        <v>152</v>
      </c>
      <c r="B152" s="105" t="str">
        <f>VLOOKUP( $A152, Aop!$A$2:$P$453, 2, 0)</f>
        <v>BUa</v>
      </c>
      <c r="C152" s="55">
        <v>27</v>
      </c>
      <c r="D152" s="55" t="str">
        <f t="shared" si="22"/>
        <v>01937189</v>
      </c>
      <c r="E152" s="55" t="str">
        <f t="shared" si="23"/>
        <v>4401376020001</v>
      </c>
      <c r="F152" s="55" t="b">
        <f t="shared" si="25"/>
        <v>0</v>
      </c>
      <c r="G152" s="139">
        <f t="shared" si="26"/>
        <v>45838</v>
      </c>
      <c r="H152" s="105">
        <f>VLOOKUP( $A152, Aop!$A$2:$P$453, 4, 0)</f>
        <v>214</v>
      </c>
      <c r="I152" s="55">
        <f t="shared" si="24"/>
        <v>2025</v>
      </c>
      <c r="J152" s="55" t="str">
        <f t="shared" ca="1" si="30"/>
        <v/>
      </c>
      <c r="K152" s="55"/>
      <c r="L152" s="55"/>
      <c r="M152" s="55" t="str">
        <f t="shared" ca="1" si="29"/>
        <v/>
      </c>
      <c r="N152" s="55" t="str">
        <f t="shared" ca="1" si="21"/>
        <v/>
      </c>
    </row>
    <row r="153" spans="1:14">
      <c r="A153" s="105">
        <v>153</v>
      </c>
      <c r="B153" s="105" t="str">
        <f>VLOOKUP( $A153, Aop!$A$2:$P$453, 2, 0)</f>
        <v>BUa</v>
      </c>
      <c r="C153" s="55">
        <v>27</v>
      </c>
      <c r="D153" s="55" t="str">
        <f t="shared" si="22"/>
        <v>01937189</v>
      </c>
      <c r="E153" s="55" t="str">
        <f t="shared" si="23"/>
        <v>4401376020001</v>
      </c>
      <c r="F153" s="55" t="b">
        <f t="shared" si="25"/>
        <v>0</v>
      </c>
      <c r="G153" s="139">
        <f t="shared" si="26"/>
        <v>45838</v>
      </c>
      <c r="H153" s="105">
        <f>VLOOKUP( $A153, Aop!$A$2:$P$453, 4, 0)</f>
        <v>215</v>
      </c>
      <c r="I153" s="55">
        <f t="shared" si="24"/>
        <v>2025</v>
      </c>
      <c r="J153" s="55" t="str">
        <f t="shared" ca="1" si="30"/>
        <v/>
      </c>
      <c r="K153" s="55"/>
      <c r="L153" s="55"/>
      <c r="M153" s="55" t="str">
        <f t="shared" ca="1" si="29"/>
        <v/>
      </c>
      <c r="N153" s="55" t="str">
        <f t="shared" ca="1" si="21"/>
        <v/>
      </c>
    </row>
    <row r="154" spans="1:14">
      <c r="A154" s="105">
        <v>154</v>
      </c>
      <c r="B154" s="105" t="str">
        <f>VLOOKUP( $A154, Aop!$A$2:$P$453, 2, 0)</f>
        <v>BUa</v>
      </c>
      <c r="C154" s="55">
        <v>27</v>
      </c>
      <c r="D154" s="55" t="str">
        <f t="shared" si="22"/>
        <v>01937189</v>
      </c>
      <c r="E154" s="55" t="str">
        <f t="shared" si="23"/>
        <v>4401376020001</v>
      </c>
      <c r="F154" s="55" t="b">
        <f t="shared" si="25"/>
        <v>0</v>
      </c>
      <c r="G154" s="139">
        <f t="shared" si="26"/>
        <v>45838</v>
      </c>
      <c r="H154" s="105">
        <f>VLOOKUP( $A154, Aop!$A$2:$P$453, 4, 0)</f>
        <v>216</v>
      </c>
      <c r="I154" s="55">
        <f t="shared" si="24"/>
        <v>2025</v>
      </c>
      <c r="J154" s="55" t="str">
        <f t="shared" ca="1" si="30"/>
        <v/>
      </c>
      <c r="K154" s="55"/>
      <c r="L154" s="55"/>
      <c r="M154" s="55" t="str">
        <f t="shared" ca="1" si="29"/>
        <v/>
      </c>
      <c r="N154" s="55" t="str">
        <f t="shared" ca="1" si="21"/>
        <v/>
      </c>
    </row>
    <row r="155" spans="1:14">
      <c r="A155" s="105">
        <v>155</v>
      </c>
      <c r="B155" s="105" t="str">
        <f>VLOOKUP( $A155, Aop!$A$2:$P$453, 2, 0)</f>
        <v>BUa</v>
      </c>
      <c r="C155" s="55">
        <v>27</v>
      </c>
      <c r="D155" s="55" t="str">
        <f t="shared" si="22"/>
        <v>01937189</v>
      </c>
      <c r="E155" s="55" t="str">
        <f t="shared" si="23"/>
        <v>4401376020001</v>
      </c>
      <c r="F155" s="55" t="b">
        <f t="shared" si="25"/>
        <v>0</v>
      </c>
      <c r="G155" s="139">
        <f t="shared" si="26"/>
        <v>45838</v>
      </c>
      <c r="H155" s="105">
        <f>VLOOKUP( $A155, Aop!$A$2:$P$453, 4, 0)</f>
        <v>217</v>
      </c>
      <c r="I155" s="55">
        <f t="shared" si="24"/>
        <v>2025</v>
      </c>
      <c r="J155" s="55" t="str">
        <f t="shared" ca="1" si="30"/>
        <v/>
      </c>
      <c r="K155" s="55"/>
      <c r="L155" s="55"/>
      <c r="M155" s="55" t="str">
        <f t="shared" ca="1" si="29"/>
        <v/>
      </c>
      <c r="N155" s="55" t="str">
        <f t="shared" ca="1" si="21"/>
        <v/>
      </c>
    </row>
    <row r="156" spans="1:14">
      <c r="A156" s="105">
        <v>156</v>
      </c>
      <c r="B156" s="105" t="str">
        <f>VLOOKUP( $A156, Aop!$A$2:$P$453, 2, 0)</f>
        <v>BUa</v>
      </c>
      <c r="C156" s="55">
        <v>27</v>
      </c>
      <c r="D156" s="55" t="str">
        <f t="shared" si="22"/>
        <v>01937189</v>
      </c>
      <c r="E156" s="55" t="str">
        <f t="shared" si="23"/>
        <v>4401376020001</v>
      </c>
      <c r="F156" s="55" t="b">
        <f t="shared" si="25"/>
        <v>0</v>
      </c>
      <c r="G156" s="139">
        <f t="shared" si="26"/>
        <v>45838</v>
      </c>
      <c r="H156" s="105">
        <f>VLOOKUP( $A156, Aop!$A$2:$P$453, 4, 0)</f>
        <v>218</v>
      </c>
      <c r="I156" s="55">
        <f t="shared" si="24"/>
        <v>2025</v>
      </c>
      <c r="J156" s="55" t="str">
        <f t="shared" ca="1" si="30"/>
        <v/>
      </c>
      <c r="K156" s="55"/>
      <c r="L156" s="55"/>
      <c r="M156" s="55">
        <f t="shared" ca="1" si="29"/>
        <v>300585</v>
      </c>
      <c r="N156" s="55">
        <f t="shared" ca="1" si="21"/>
        <v>300585</v>
      </c>
    </row>
    <row r="157" spans="1:14">
      <c r="A157" s="105">
        <v>157</v>
      </c>
      <c r="B157" s="105" t="str">
        <f>VLOOKUP( $A157, Aop!$A$2:$P$453, 2, 0)</f>
        <v>BUa</v>
      </c>
      <c r="C157" s="55">
        <v>27</v>
      </c>
      <c r="D157" s="55" t="str">
        <f t="shared" si="22"/>
        <v>01937189</v>
      </c>
      <c r="E157" s="55" t="str">
        <f t="shared" si="23"/>
        <v>4401376020001</v>
      </c>
      <c r="F157" s="55" t="b">
        <f t="shared" si="25"/>
        <v>0</v>
      </c>
      <c r="G157" s="139">
        <f t="shared" si="26"/>
        <v>45838</v>
      </c>
      <c r="H157" s="105">
        <f>VLOOKUP( $A157, Aop!$A$2:$P$453, 4, 0)</f>
        <v>219</v>
      </c>
      <c r="I157" s="55">
        <f t="shared" si="24"/>
        <v>2025</v>
      </c>
      <c r="J157" s="55" t="str">
        <f t="shared" ca="1" si="30"/>
        <v/>
      </c>
      <c r="K157" s="55"/>
      <c r="L157" s="55"/>
      <c r="M157" s="55">
        <f t="shared" ca="1" si="29"/>
        <v>290547</v>
      </c>
      <c r="N157" s="55">
        <f t="shared" ca="1" si="21"/>
        <v>290547</v>
      </c>
    </row>
    <row r="158" spans="1:14">
      <c r="A158" s="105">
        <v>158</v>
      </c>
      <c r="B158" s="105" t="str">
        <f>VLOOKUP( $A158, Aop!$A$2:$P$453, 2, 0)</f>
        <v>BUa</v>
      </c>
      <c r="C158" s="55">
        <v>27</v>
      </c>
      <c r="D158" s="55" t="str">
        <f t="shared" si="22"/>
        <v>01937189</v>
      </c>
      <c r="E158" s="55" t="str">
        <f t="shared" si="23"/>
        <v>4401376020001</v>
      </c>
      <c r="F158" s="55" t="b">
        <f t="shared" si="25"/>
        <v>0</v>
      </c>
      <c r="G158" s="139">
        <f t="shared" si="26"/>
        <v>45838</v>
      </c>
      <c r="H158" s="105">
        <f>VLOOKUP( $A158, Aop!$A$2:$P$453, 4, 0)</f>
        <v>220</v>
      </c>
      <c r="I158" s="55">
        <f t="shared" si="24"/>
        <v>2025</v>
      </c>
      <c r="J158" s="55" t="str">
        <f t="shared" ca="1" si="30"/>
        <v/>
      </c>
      <c r="K158" s="55"/>
      <c r="L158" s="55"/>
      <c r="M158" s="55" t="str">
        <f t="shared" ca="1" si="29"/>
        <v/>
      </c>
      <c r="N158" s="55" t="str">
        <f t="shared" ca="1" si="21"/>
        <v/>
      </c>
    </row>
    <row r="159" spans="1:14">
      <c r="A159" s="105">
        <v>159</v>
      </c>
      <c r="B159" s="55" t="str">
        <f>VLOOKUP( $A159, Aop!$A$2:$P$453, 2, 0)</f>
        <v>BUa</v>
      </c>
      <c r="C159" s="55">
        <v>27</v>
      </c>
      <c r="D159" s="55" t="str">
        <f>Podatak_MB</f>
        <v>01937189</v>
      </c>
      <c r="E159" s="55" t="str">
        <f>Podatak_JIB</f>
        <v>4401376020001</v>
      </c>
      <c r="F159" s="55" t="b">
        <f>Konsolidovan_izvjestaj</f>
        <v>0</v>
      </c>
      <c r="G159" s="139">
        <f>Datum_Broj</f>
        <v>45838</v>
      </c>
      <c r="H159" s="55">
        <f>VLOOKUP( $A159, Aop!$A$2:$P$453, 4, 0)</f>
        <v>221</v>
      </c>
      <c r="I159" s="55">
        <f>Godina</f>
        <v>2025</v>
      </c>
      <c r="J159" s="55" t="str">
        <f t="shared" ca="1" si="30"/>
        <v/>
      </c>
      <c r="K159" s="55"/>
      <c r="L159" s="55"/>
      <c r="M159" s="55">
        <f t="shared" ca="1" si="29"/>
        <v>15705</v>
      </c>
      <c r="N159" s="55">
        <f t="shared" ca="1" si="21"/>
        <v>15705</v>
      </c>
    </row>
    <row r="160" spans="1:14">
      <c r="A160" s="105">
        <v>160</v>
      </c>
      <c r="B160" s="105" t="str">
        <f>VLOOKUP( $A160, Aop!$A$2:$P$453, 2, 0)</f>
        <v>BUa</v>
      </c>
      <c r="C160" s="55">
        <v>27</v>
      </c>
      <c r="D160" s="55" t="str">
        <f t="shared" si="22"/>
        <v>01937189</v>
      </c>
      <c r="E160" s="55" t="str">
        <f t="shared" si="23"/>
        <v>4401376020001</v>
      </c>
      <c r="F160" s="55" t="b">
        <f t="shared" si="25"/>
        <v>0</v>
      </c>
      <c r="G160" s="139">
        <f t="shared" si="26"/>
        <v>45838</v>
      </c>
      <c r="H160" s="105">
        <f>VLOOKUP( $A160, Aop!$A$2:$P$453, 4, 0)</f>
        <v>222</v>
      </c>
      <c r="I160" s="55">
        <f t="shared" si="24"/>
        <v>2025</v>
      </c>
      <c r="J160" s="55" t="str">
        <f t="shared" ca="1" si="30"/>
        <v/>
      </c>
      <c r="K160" s="55"/>
      <c r="L160" s="55"/>
      <c r="M160" s="55">
        <f t="shared" ca="1" si="29"/>
        <v>3726</v>
      </c>
      <c r="N160" s="55">
        <f t="shared" ca="1" si="21"/>
        <v>3726</v>
      </c>
    </row>
    <row r="161" spans="1:14">
      <c r="A161" s="105">
        <v>161</v>
      </c>
      <c r="B161" s="105" t="str">
        <f>VLOOKUP( $A161, Aop!$A$2:$P$453, 2, 0)</f>
        <v>BUa</v>
      </c>
      <c r="C161" s="55">
        <v>27</v>
      </c>
      <c r="D161" s="55" t="str">
        <f t="shared" si="22"/>
        <v>01937189</v>
      </c>
      <c r="E161" s="55" t="str">
        <f t="shared" si="23"/>
        <v>4401376020001</v>
      </c>
      <c r="F161" s="55" t="b">
        <f t="shared" si="25"/>
        <v>0</v>
      </c>
      <c r="G161" s="139">
        <f t="shared" si="26"/>
        <v>45838</v>
      </c>
      <c r="H161" s="105">
        <f>VLOOKUP( $A161, Aop!$A$2:$P$453, 4, 0)</f>
        <v>223</v>
      </c>
      <c r="I161" s="55">
        <f t="shared" si="24"/>
        <v>2025</v>
      </c>
      <c r="J161" s="55" t="str">
        <f t="shared" ca="1" si="30"/>
        <v/>
      </c>
      <c r="K161" s="55"/>
      <c r="L161" s="55"/>
      <c r="M161" s="55">
        <f t="shared" ca="1" si="29"/>
        <v>243770</v>
      </c>
      <c r="N161" s="55">
        <f t="shared" ca="1" si="21"/>
        <v>243770</v>
      </c>
    </row>
    <row r="162" spans="1:14">
      <c r="A162" s="105">
        <v>162</v>
      </c>
      <c r="B162" s="105" t="str">
        <f>VLOOKUP( $A162, Aop!$A$2:$P$453, 2, 0)</f>
        <v>BUa</v>
      </c>
      <c r="C162" s="55">
        <v>27</v>
      </c>
      <c r="D162" s="55" t="str">
        <f t="shared" si="22"/>
        <v>01937189</v>
      </c>
      <c r="E162" s="55" t="str">
        <f t="shared" si="23"/>
        <v>4401376020001</v>
      </c>
      <c r="F162" s="55" t="b">
        <f t="shared" si="25"/>
        <v>0</v>
      </c>
      <c r="G162" s="139">
        <f t="shared" si="26"/>
        <v>45838</v>
      </c>
      <c r="H162" s="105">
        <f>VLOOKUP( $A162, Aop!$A$2:$P$453, 4, 0)</f>
        <v>224</v>
      </c>
      <c r="I162" s="55">
        <f t="shared" si="24"/>
        <v>2025</v>
      </c>
      <c r="J162" s="55" t="str">
        <f t="shared" ca="1" si="30"/>
        <v/>
      </c>
      <c r="K162" s="55"/>
      <c r="L162" s="55"/>
      <c r="M162" s="55">
        <f t="shared" ca="1" si="29"/>
        <v>232420</v>
      </c>
      <c r="N162" s="55">
        <f t="shared" ca="1" si="21"/>
        <v>232420</v>
      </c>
    </row>
    <row r="163" spans="1:14">
      <c r="A163" s="105">
        <v>163</v>
      </c>
      <c r="B163" s="105" t="str">
        <f>VLOOKUP( $A163, Aop!$A$2:$P$453, 2, 0)</f>
        <v>BUa</v>
      </c>
      <c r="C163" s="55">
        <v>27</v>
      </c>
      <c r="D163" s="55" t="str">
        <f t="shared" si="22"/>
        <v>01937189</v>
      </c>
      <c r="E163" s="55" t="str">
        <f t="shared" si="23"/>
        <v>4401376020001</v>
      </c>
      <c r="F163" s="55" t="b">
        <f t="shared" si="25"/>
        <v>0</v>
      </c>
      <c r="G163" s="139">
        <f t="shared" si="26"/>
        <v>45838</v>
      </c>
      <c r="H163" s="105">
        <f>VLOOKUP( $A163, Aop!$A$2:$P$453, 4, 0)</f>
        <v>225</v>
      </c>
      <c r="I163" s="55">
        <f t="shared" si="24"/>
        <v>2025</v>
      </c>
      <c r="J163" s="55" t="str">
        <f t="shared" ca="1" si="30"/>
        <v/>
      </c>
      <c r="K163" s="55"/>
      <c r="L163" s="55"/>
      <c r="M163" s="55">
        <f t="shared" ca="1" si="29"/>
        <v>11350</v>
      </c>
      <c r="N163" s="55">
        <f t="shared" ca="1" si="21"/>
        <v>11350</v>
      </c>
    </row>
    <row r="164" spans="1:14">
      <c r="A164" s="105">
        <v>164</v>
      </c>
      <c r="B164" s="105" t="str">
        <f>VLOOKUP( $A164, Aop!$A$2:$P$453, 2, 0)</f>
        <v>BUa</v>
      </c>
      <c r="C164" s="55">
        <v>27</v>
      </c>
      <c r="D164" s="55" t="str">
        <f t="shared" si="22"/>
        <v>01937189</v>
      </c>
      <c r="E164" s="55" t="str">
        <f t="shared" si="23"/>
        <v>4401376020001</v>
      </c>
      <c r="F164" s="55" t="b">
        <f t="shared" si="25"/>
        <v>0</v>
      </c>
      <c r="G164" s="139">
        <f t="shared" si="26"/>
        <v>45838</v>
      </c>
      <c r="H164" s="105">
        <f>VLOOKUP( $A164, Aop!$A$2:$P$453, 4, 0)</f>
        <v>226</v>
      </c>
      <c r="I164" s="55">
        <f t="shared" si="24"/>
        <v>2025</v>
      </c>
      <c r="J164" s="55" t="str">
        <f t="shared" ca="1" si="30"/>
        <v/>
      </c>
      <c r="K164" s="55"/>
      <c r="L164" s="55"/>
      <c r="M164" s="55">
        <f t="shared" ca="1" si="29"/>
        <v>3148</v>
      </c>
      <c r="N164" s="55">
        <f t="shared" ca="1" si="21"/>
        <v>3148</v>
      </c>
    </row>
    <row r="165" spans="1:14">
      <c r="A165" s="105">
        <v>165</v>
      </c>
      <c r="B165" s="105" t="str">
        <f>VLOOKUP( $A165, Aop!$A$2:$P$453, 2, 0)</f>
        <v>BUa</v>
      </c>
      <c r="C165" s="55">
        <v>27</v>
      </c>
      <c r="D165" s="55" t="str">
        <f t="shared" si="22"/>
        <v>01937189</v>
      </c>
      <c r="E165" s="55" t="str">
        <f t="shared" si="23"/>
        <v>4401376020001</v>
      </c>
      <c r="F165" s="55" t="b">
        <f t="shared" si="25"/>
        <v>0</v>
      </c>
      <c r="G165" s="139">
        <f t="shared" si="26"/>
        <v>45838</v>
      </c>
      <c r="H165" s="105">
        <f>VLOOKUP( $A165, Aop!$A$2:$P$453, 4, 0)</f>
        <v>227</v>
      </c>
      <c r="I165" s="55">
        <f t="shared" si="24"/>
        <v>2025</v>
      </c>
      <c r="J165" s="55" t="str">
        <f t="shared" ca="1" si="30"/>
        <v/>
      </c>
      <c r="K165" s="55"/>
      <c r="L165" s="55"/>
      <c r="M165" s="55">
        <f t="shared" ca="1" si="29"/>
        <v>10558</v>
      </c>
      <c r="N165" s="55">
        <f t="shared" ca="1" si="21"/>
        <v>10558</v>
      </c>
    </row>
    <row r="166" spans="1:14">
      <c r="A166" s="105">
        <v>167</v>
      </c>
      <c r="B166" s="105" t="str">
        <f>VLOOKUP( $A166, Aop!$A$2:$P$453, 2, 0)</f>
        <v>BUa</v>
      </c>
      <c r="C166" s="55">
        <v>27</v>
      </c>
      <c r="D166" s="55" t="str">
        <f t="shared" si="22"/>
        <v>01937189</v>
      </c>
      <c r="E166" s="55" t="str">
        <f t="shared" si="23"/>
        <v>4401376020001</v>
      </c>
      <c r="F166" s="55" t="b">
        <f t="shared" si="25"/>
        <v>0</v>
      </c>
      <c r="G166" s="139">
        <f t="shared" si="26"/>
        <v>45838</v>
      </c>
      <c r="H166" s="105">
        <f>VLOOKUP( $A166, Aop!$A$2:$P$453, 4, 0)</f>
        <v>229</v>
      </c>
      <c r="I166" s="55">
        <f t="shared" si="24"/>
        <v>2025</v>
      </c>
      <c r="J166" s="55" t="str">
        <f t="shared" ca="1" si="30"/>
        <v/>
      </c>
      <c r="K166" s="55"/>
      <c r="L166" s="55"/>
      <c r="M166" s="55">
        <f t="shared" ca="1" si="29"/>
        <v>10558</v>
      </c>
      <c r="N166" s="55">
        <f t="shared" ca="1" si="21"/>
        <v>10558</v>
      </c>
    </row>
    <row r="167" spans="1:14">
      <c r="A167" s="105">
        <v>168</v>
      </c>
      <c r="B167" s="105" t="str">
        <f>VLOOKUP( $A167, Aop!$A$2:$P$453, 2, 0)</f>
        <v>BUa</v>
      </c>
      <c r="C167" s="55">
        <v>27</v>
      </c>
      <c r="D167" s="55" t="str">
        <f t="shared" si="22"/>
        <v>01937189</v>
      </c>
      <c r="E167" s="55" t="str">
        <f t="shared" si="23"/>
        <v>4401376020001</v>
      </c>
      <c r="F167" s="55" t="b">
        <f t="shared" si="25"/>
        <v>0</v>
      </c>
      <c r="G167" s="139">
        <f t="shared" si="26"/>
        <v>45838</v>
      </c>
      <c r="H167" s="105">
        <f>VLOOKUP( $A167, Aop!$A$2:$P$453, 4, 0)</f>
        <v>230</v>
      </c>
      <c r="I167" s="55">
        <f t="shared" si="24"/>
        <v>2025</v>
      </c>
      <c r="J167" s="55" t="str">
        <f t="shared" ca="1" si="30"/>
        <v/>
      </c>
      <c r="K167" s="55"/>
      <c r="L167" s="55"/>
      <c r="M167" s="55" t="str">
        <f t="shared" ca="1" si="29"/>
        <v/>
      </c>
      <c r="N167" s="55" t="str">
        <f t="shared" ca="1" si="21"/>
        <v/>
      </c>
    </row>
    <row r="168" spans="1:14">
      <c r="A168" s="105">
        <v>169</v>
      </c>
      <c r="B168" s="105" t="str">
        <f>VLOOKUP( $A168, Aop!$A$2:$P$453, 2, 0)</f>
        <v>BUa</v>
      </c>
      <c r="C168" s="55">
        <v>27</v>
      </c>
      <c r="D168" s="55" t="str">
        <f t="shared" si="22"/>
        <v>01937189</v>
      </c>
      <c r="E168" s="55" t="str">
        <f t="shared" si="23"/>
        <v>4401376020001</v>
      </c>
      <c r="F168" s="55" t="b">
        <f t="shared" si="25"/>
        <v>0</v>
      </c>
      <c r="G168" s="139">
        <f t="shared" si="26"/>
        <v>45838</v>
      </c>
      <c r="H168" s="105">
        <f>VLOOKUP( $A168, Aop!$A$2:$P$453, 4, 0)</f>
        <v>231</v>
      </c>
      <c r="I168" s="55">
        <f t="shared" si="24"/>
        <v>2025</v>
      </c>
      <c r="J168" s="55" t="str">
        <f t="shared" ca="1" si="30"/>
        <v/>
      </c>
      <c r="K168" s="55"/>
      <c r="L168" s="55"/>
      <c r="M168" s="55" t="str">
        <f t="shared" ca="1" si="29"/>
        <v/>
      </c>
      <c r="N168" s="55" t="str">
        <f t="shared" ca="1" si="21"/>
        <v/>
      </c>
    </row>
    <row r="169" spans="1:14">
      <c r="A169" s="105">
        <v>170</v>
      </c>
      <c r="B169" s="105" t="str">
        <f>VLOOKUP( $A169, Aop!$A$2:$P$453, 2, 0)</f>
        <v>BUa</v>
      </c>
      <c r="C169" s="55">
        <v>27</v>
      </c>
      <c r="D169" s="55" t="str">
        <f t="shared" si="22"/>
        <v>01937189</v>
      </c>
      <c r="E169" s="55" t="str">
        <f t="shared" si="23"/>
        <v>4401376020001</v>
      </c>
      <c r="F169" s="55" t="b">
        <f t="shared" si="25"/>
        <v>0</v>
      </c>
      <c r="G169" s="139">
        <f t="shared" si="26"/>
        <v>45838</v>
      </c>
      <c r="H169" s="105">
        <f>VLOOKUP( $A169, Aop!$A$2:$P$453, 4, 0)</f>
        <v>232</v>
      </c>
      <c r="I169" s="55">
        <f t="shared" si="24"/>
        <v>2025</v>
      </c>
      <c r="J169" s="55" t="str">
        <f t="shared" ca="1" si="30"/>
        <v/>
      </c>
      <c r="K169" s="55"/>
      <c r="L169" s="55"/>
      <c r="M169" s="55" t="str">
        <f t="shared" ca="1" si="29"/>
        <v/>
      </c>
      <c r="N169" s="55" t="str">
        <f t="shared" ca="1" si="21"/>
        <v/>
      </c>
    </row>
    <row r="170" spans="1:14">
      <c r="A170" s="105">
        <v>171</v>
      </c>
      <c r="B170" s="105" t="str">
        <f>VLOOKUP( $A170, Aop!$A$2:$P$453, 2, 0)</f>
        <v>BUa</v>
      </c>
      <c r="C170" s="55">
        <v>27</v>
      </c>
      <c r="D170" s="55" t="str">
        <f t="shared" si="22"/>
        <v>01937189</v>
      </c>
      <c r="E170" s="55" t="str">
        <f t="shared" si="23"/>
        <v>4401376020001</v>
      </c>
      <c r="F170" s="55" t="b">
        <f t="shared" si="25"/>
        <v>0</v>
      </c>
      <c r="G170" s="139">
        <f t="shared" si="26"/>
        <v>45838</v>
      </c>
      <c r="H170" s="105">
        <f>VLOOKUP( $A170, Aop!$A$2:$P$453, 4, 0)</f>
        <v>233</v>
      </c>
      <c r="I170" s="55">
        <f t="shared" si="24"/>
        <v>2025</v>
      </c>
      <c r="J170" s="55" t="str">
        <f t="shared" ca="1" si="30"/>
        <v/>
      </c>
      <c r="K170" s="55"/>
      <c r="L170" s="55"/>
      <c r="M170" s="55" t="str">
        <f t="shared" ca="1" si="29"/>
        <v/>
      </c>
      <c r="N170" s="55" t="str">
        <f t="shared" ca="1" si="21"/>
        <v/>
      </c>
    </row>
    <row r="171" spans="1:14">
      <c r="A171" s="105">
        <v>172</v>
      </c>
      <c r="B171" s="105" t="str">
        <f>VLOOKUP( $A171, Aop!$A$2:$P$453, 2, 0)</f>
        <v>BUa</v>
      </c>
      <c r="C171" s="55">
        <v>27</v>
      </c>
      <c r="D171" s="55" t="str">
        <f t="shared" si="22"/>
        <v>01937189</v>
      </c>
      <c r="E171" s="55" t="str">
        <f t="shared" si="23"/>
        <v>4401376020001</v>
      </c>
      <c r="F171" s="55" t="b">
        <f t="shared" si="25"/>
        <v>0</v>
      </c>
      <c r="G171" s="139">
        <f t="shared" si="26"/>
        <v>45838</v>
      </c>
      <c r="H171" s="105">
        <f>VLOOKUP( $A171, Aop!$A$2:$P$453, 4, 0)</f>
        <v>234</v>
      </c>
      <c r="I171" s="55">
        <f t="shared" si="24"/>
        <v>2025</v>
      </c>
      <c r="J171" s="55" t="str">
        <f t="shared" ca="1" si="30"/>
        <v/>
      </c>
      <c r="K171" s="55"/>
      <c r="L171" s="55"/>
      <c r="M171" s="55">
        <f t="shared" ca="1" si="29"/>
        <v>13175</v>
      </c>
      <c r="N171" s="55">
        <f t="shared" ca="1" si="21"/>
        <v>13175</v>
      </c>
    </row>
    <row r="172" spans="1:14">
      <c r="A172" s="105">
        <v>173</v>
      </c>
      <c r="B172" s="105" t="str">
        <f>VLOOKUP( $A172, Aop!$A$2:$P$453, 2, 0)</f>
        <v>BUa</v>
      </c>
      <c r="C172" s="55">
        <v>27</v>
      </c>
      <c r="D172" s="55" t="str">
        <f t="shared" si="22"/>
        <v>01937189</v>
      </c>
      <c r="E172" s="55" t="str">
        <f t="shared" si="23"/>
        <v>4401376020001</v>
      </c>
      <c r="F172" s="55" t="b">
        <f t="shared" si="25"/>
        <v>0</v>
      </c>
      <c r="G172" s="139">
        <f t="shared" si="26"/>
        <v>45838</v>
      </c>
      <c r="H172" s="105">
        <f>VLOOKUP( $A172, Aop!$A$2:$P$453, 4, 0)</f>
        <v>235</v>
      </c>
      <c r="I172" s="55">
        <f t="shared" si="24"/>
        <v>2025</v>
      </c>
      <c r="J172" s="55" t="str">
        <f t="shared" ca="1" si="30"/>
        <v/>
      </c>
      <c r="K172" s="55"/>
      <c r="L172" s="55"/>
      <c r="M172" s="55" t="str">
        <f t="shared" ca="1" si="29"/>
        <v/>
      </c>
      <c r="N172" s="55" t="str">
        <f t="shared" ca="1" si="21"/>
        <v/>
      </c>
    </row>
    <row r="173" spans="1:14">
      <c r="A173" s="105">
        <v>174</v>
      </c>
      <c r="B173" s="55" t="str">
        <f>VLOOKUP( $A173, Aop!$A$2:$P$453, 2, 0)</f>
        <v>BUa</v>
      </c>
      <c r="C173" s="55">
        <v>27</v>
      </c>
      <c r="D173" s="55" t="str">
        <f>Podatak_MB</f>
        <v>01937189</v>
      </c>
      <c r="E173" s="55" t="str">
        <f>Podatak_JIB</f>
        <v>4401376020001</v>
      </c>
      <c r="F173" s="55" t="b">
        <f>Konsolidovan_izvjestaj</f>
        <v>0</v>
      </c>
      <c r="G173" s="139">
        <f>Datum_Broj</f>
        <v>45838</v>
      </c>
      <c r="H173" s="55">
        <f>VLOOKUP( $A173, Aop!$A$2:$P$453, 4, 0)</f>
        <v>236</v>
      </c>
      <c r="I173" s="55">
        <f>Godina</f>
        <v>2025</v>
      </c>
      <c r="J173" s="55" t="str">
        <f t="shared" ca="1" si="30"/>
        <v/>
      </c>
      <c r="K173" s="55"/>
      <c r="L173" s="55"/>
      <c r="M173" s="55">
        <f t="shared" ca="1" si="29"/>
        <v>465</v>
      </c>
      <c r="N173" s="55">
        <f t="shared" ca="1" si="21"/>
        <v>465</v>
      </c>
    </row>
    <row r="174" spans="1:14">
      <c r="A174" s="105">
        <v>175</v>
      </c>
      <c r="B174" s="105" t="str">
        <f>VLOOKUP( $A174, Aop!$A$2:$P$453, 2, 0)</f>
        <v>BUa</v>
      </c>
      <c r="C174" s="55">
        <v>27</v>
      </c>
      <c r="D174" s="55" t="str">
        <f t="shared" si="22"/>
        <v>01937189</v>
      </c>
      <c r="E174" s="55" t="str">
        <f t="shared" si="23"/>
        <v>4401376020001</v>
      </c>
      <c r="F174" s="55" t="b">
        <f t="shared" si="25"/>
        <v>0</v>
      </c>
      <c r="G174" s="139">
        <f t="shared" si="26"/>
        <v>45838</v>
      </c>
      <c r="H174" s="105">
        <f>VLOOKUP( $A174, Aop!$A$2:$P$453, 4, 0)</f>
        <v>237</v>
      </c>
      <c r="I174" s="55">
        <f t="shared" si="24"/>
        <v>2025</v>
      </c>
      <c r="J174" s="55" t="str">
        <f t="shared" ca="1" si="30"/>
        <v/>
      </c>
      <c r="K174" s="55"/>
      <c r="L174" s="55"/>
      <c r="M174" s="55">
        <f t="shared" ca="1" si="29"/>
        <v>264489</v>
      </c>
      <c r="N174" s="55">
        <f t="shared" ca="1" si="21"/>
        <v>264489</v>
      </c>
    </row>
    <row r="175" spans="1:14">
      <c r="A175" s="105">
        <v>176</v>
      </c>
      <c r="B175" s="105" t="str">
        <f>VLOOKUP( $A175, Aop!$A$2:$P$453, 2, 0)</f>
        <v>BUa</v>
      </c>
      <c r="C175" s="55">
        <v>27</v>
      </c>
      <c r="D175" s="55" t="str">
        <f t="shared" si="22"/>
        <v>01937189</v>
      </c>
      <c r="E175" s="55" t="str">
        <f t="shared" si="23"/>
        <v>4401376020001</v>
      </c>
      <c r="F175" s="55" t="b">
        <f t="shared" si="25"/>
        <v>0</v>
      </c>
      <c r="G175" s="139">
        <f t="shared" si="26"/>
        <v>45838</v>
      </c>
      <c r="H175" s="105">
        <f>VLOOKUP( $A175, Aop!$A$2:$P$453, 4, 0)</f>
        <v>238</v>
      </c>
      <c r="I175" s="55">
        <f t="shared" si="24"/>
        <v>2025</v>
      </c>
      <c r="J175" s="55" t="str">
        <f t="shared" ca="1" si="30"/>
        <v/>
      </c>
      <c r="K175" s="55"/>
      <c r="L175" s="55"/>
      <c r="M175" s="55">
        <f t="shared" ca="1" si="29"/>
        <v>0</v>
      </c>
      <c r="N175" s="55">
        <f t="shared" ca="1" si="21"/>
        <v>0</v>
      </c>
    </row>
    <row r="176" spans="1:14">
      <c r="A176" s="105">
        <v>177</v>
      </c>
      <c r="B176" s="105" t="str">
        <f>VLOOKUP( $A176, Aop!$A$2:$P$453, 2, 0)</f>
        <v>BUa</v>
      </c>
      <c r="C176" s="55">
        <v>27</v>
      </c>
      <c r="D176" s="55" t="str">
        <f t="shared" si="22"/>
        <v>01937189</v>
      </c>
      <c r="E176" s="55" t="str">
        <f t="shared" si="23"/>
        <v>4401376020001</v>
      </c>
      <c r="F176" s="55" t="b">
        <f t="shared" si="25"/>
        <v>0</v>
      </c>
      <c r="G176" s="139">
        <f t="shared" si="26"/>
        <v>45838</v>
      </c>
      <c r="H176" s="105">
        <f>VLOOKUP( $A176, Aop!$A$2:$P$453, 4, 0)</f>
        <v>239</v>
      </c>
      <c r="I176" s="55">
        <f t="shared" si="24"/>
        <v>2025</v>
      </c>
      <c r="J176" s="55" t="str">
        <f t="shared" ca="1" si="30"/>
        <v/>
      </c>
      <c r="K176" s="55"/>
      <c r="L176" s="55"/>
      <c r="M176" s="55">
        <f t="shared" ca="1" si="29"/>
        <v>0</v>
      </c>
      <c r="N176" s="55">
        <f t="shared" ca="1" si="21"/>
        <v>0</v>
      </c>
    </row>
    <row r="177" spans="1:14">
      <c r="A177" s="105">
        <v>178</v>
      </c>
      <c r="B177" s="105" t="str">
        <f>VLOOKUP( $A177, Aop!$A$2:$P$453, 2, 0)</f>
        <v>BUa</v>
      </c>
      <c r="C177" s="55">
        <v>27</v>
      </c>
      <c r="D177" s="55" t="str">
        <f t="shared" si="22"/>
        <v>01937189</v>
      </c>
      <c r="E177" s="55" t="str">
        <f t="shared" si="23"/>
        <v>4401376020001</v>
      </c>
      <c r="F177" s="55" t="b">
        <f t="shared" si="25"/>
        <v>0</v>
      </c>
      <c r="G177" s="139">
        <f t="shared" si="26"/>
        <v>45838</v>
      </c>
      <c r="H177" s="105">
        <f>VLOOKUP( $A177, Aop!$A$2:$P$453, 4, 0)</f>
        <v>240</v>
      </c>
      <c r="I177" s="55">
        <f t="shared" si="24"/>
        <v>2025</v>
      </c>
      <c r="J177" s="55" t="str">
        <f t="shared" ca="1" si="30"/>
        <v/>
      </c>
      <c r="K177" s="55"/>
      <c r="L177" s="55"/>
      <c r="M177" s="55" t="str">
        <f t="shared" ca="1" si="29"/>
        <v/>
      </c>
      <c r="N177" s="55" t="str">
        <f t="shared" ca="1" si="21"/>
        <v/>
      </c>
    </row>
    <row r="178" spans="1:14">
      <c r="A178" s="105">
        <v>179</v>
      </c>
      <c r="B178" s="105" t="str">
        <f>VLOOKUP( $A178, Aop!$A$2:$P$453, 2, 0)</f>
        <v>BUa</v>
      </c>
      <c r="C178" s="55">
        <v>27</v>
      </c>
      <c r="D178" s="55" t="str">
        <f t="shared" si="22"/>
        <v>01937189</v>
      </c>
      <c r="E178" s="55" t="str">
        <f t="shared" si="23"/>
        <v>4401376020001</v>
      </c>
      <c r="F178" s="55" t="b">
        <f t="shared" si="25"/>
        <v>0</v>
      </c>
      <c r="G178" s="139">
        <f t="shared" si="26"/>
        <v>45838</v>
      </c>
      <c r="H178" s="105">
        <f>VLOOKUP( $A178, Aop!$A$2:$P$453, 4, 0)</f>
        <v>241</v>
      </c>
      <c r="I178" s="55">
        <f t="shared" si="24"/>
        <v>2025</v>
      </c>
      <c r="J178" s="55" t="str">
        <f t="shared" ca="1" si="30"/>
        <v/>
      </c>
      <c r="K178" s="55"/>
      <c r="L178" s="55"/>
      <c r="M178" s="55" t="str">
        <f t="shared" ca="1" si="29"/>
        <v/>
      </c>
      <c r="N178" s="55" t="str">
        <f t="shared" ca="1" si="21"/>
        <v/>
      </c>
    </row>
    <row r="179" spans="1:14">
      <c r="A179" s="105">
        <v>180</v>
      </c>
      <c r="B179" s="105" t="str">
        <f>VLOOKUP( $A179, Aop!$A$2:$P$453, 2, 0)</f>
        <v>BUa</v>
      </c>
      <c r="C179" s="55">
        <v>27</v>
      </c>
      <c r="D179" s="55" t="str">
        <f t="shared" si="22"/>
        <v>01937189</v>
      </c>
      <c r="E179" s="55" t="str">
        <f t="shared" si="23"/>
        <v>4401376020001</v>
      </c>
      <c r="F179" s="55" t="b">
        <f t="shared" si="25"/>
        <v>0</v>
      </c>
      <c r="G179" s="139">
        <f t="shared" si="26"/>
        <v>45838</v>
      </c>
      <c r="H179" s="105">
        <f>VLOOKUP( $A179, Aop!$A$2:$P$453, 4, 0)</f>
        <v>242</v>
      </c>
      <c r="I179" s="55">
        <f t="shared" si="24"/>
        <v>2025</v>
      </c>
      <c r="J179" s="55" t="str">
        <f t="shared" ca="1" si="30"/>
        <v/>
      </c>
      <c r="K179" s="55"/>
      <c r="L179" s="55"/>
      <c r="M179" s="55" t="str">
        <f t="shared" ca="1" si="29"/>
        <v/>
      </c>
      <c r="N179" s="55" t="str">
        <f t="shared" ca="1" si="21"/>
        <v/>
      </c>
    </row>
    <row r="180" spans="1:14">
      <c r="A180" s="105">
        <v>181</v>
      </c>
      <c r="B180" s="105" t="str">
        <f>VLOOKUP( $A180, Aop!$A$2:$P$453, 2, 0)</f>
        <v>BUa</v>
      </c>
      <c r="C180" s="55">
        <v>27</v>
      </c>
      <c r="D180" s="55" t="str">
        <f t="shared" si="22"/>
        <v>01937189</v>
      </c>
      <c r="E180" s="55" t="str">
        <f t="shared" si="23"/>
        <v>4401376020001</v>
      </c>
      <c r="F180" s="55" t="b">
        <f t="shared" si="25"/>
        <v>0</v>
      </c>
      <c r="G180" s="139">
        <f t="shared" si="26"/>
        <v>45838</v>
      </c>
      <c r="H180" s="105">
        <f>VLOOKUP( $A180, Aop!$A$2:$P$453, 4, 0)</f>
        <v>243</v>
      </c>
      <c r="I180" s="55">
        <f t="shared" si="24"/>
        <v>2025</v>
      </c>
      <c r="J180" s="55" t="str">
        <f t="shared" ca="1" si="30"/>
        <v/>
      </c>
      <c r="K180" s="55"/>
      <c r="L180" s="55"/>
      <c r="M180" s="55" t="str">
        <f t="shared" ca="1" si="29"/>
        <v/>
      </c>
      <c r="N180" s="55" t="str">
        <f t="shared" ca="1" si="21"/>
        <v/>
      </c>
    </row>
    <row r="181" spans="1:14">
      <c r="A181" s="105">
        <v>183</v>
      </c>
      <c r="B181" s="105" t="str">
        <f>VLOOKUP( $A181, Aop!$A$2:$P$453, 2, 0)</f>
        <v>BUa</v>
      </c>
      <c r="C181" s="55">
        <v>27</v>
      </c>
      <c r="D181" s="55" t="str">
        <f t="shared" si="22"/>
        <v>01937189</v>
      </c>
      <c r="E181" s="55" t="str">
        <f t="shared" si="23"/>
        <v>4401376020001</v>
      </c>
      <c r="F181" s="55" t="b">
        <f t="shared" si="25"/>
        <v>0</v>
      </c>
      <c r="G181" s="139">
        <f t="shared" si="26"/>
        <v>45838</v>
      </c>
      <c r="H181" s="105">
        <f>VLOOKUP( $A181, Aop!$A$2:$P$453, 4, 0)</f>
        <v>245</v>
      </c>
      <c r="I181" s="55">
        <f t="shared" si="24"/>
        <v>2025</v>
      </c>
      <c r="J181" s="55" t="str">
        <f t="shared" ca="1" si="30"/>
        <v/>
      </c>
      <c r="K181" s="55"/>
      <c r="L181" s="55"/>
      <c r="M181" s="55">
        <f t="shared" ca="1" si="29"/>
        <v>11865</v>
      </c>
      <c r="N181" s="55">
        <f t="shared" ca="1" si="21"/>
        <v>11865</v>
      </c>
    </row>
    <row r="182" spans="1:14">
      <c r="A182" s="105">
        <v>184</v>
      </c>
      <c r="B182" s="105" t="str">
        <f>VLOOKUP( $A182, Aop!$A$2:$P$453, 2, 0)</f>
        <v>BUa</v>
      </c>
      <c r="C182" s="55">
        <v>27</v>
      </c>
      <c r="D182" s="55" t="str">
        <f t="shared" si="22"/>
        <v>01937189</v>
      </c>
      <c r="E182" s="55" t="str">
        <f t="shared" si="23"/>
        <v>4401376020001</v>
      </c>
      <c r="F182" s="55" t="b">
        <f t="shared" si="25"/>
        <v>0</v>
      </c>
      <c r="G182" s="139">
        <f t="shared" si="26"/>
        <v>45838</v>
      </c>
      <c r="H182" s="105">
        <f>VLOOKUP( $A182, Aop!$A$2:$P$453, 4, 0)</f>
        <v>246</v>
      </c>
      <c r="I182" s="55">
        <f t="shared" si="24"/>
        <v>2025</v>
      </c>
      <c r="J182" s="55" t="str">
        <f t="shared" ca="1" si="30"/>
        <v/>
      </c>
      <c r="K182" s="55"/>
      <c r="L182" s="55"/>
      <c r="M182" s="55" t="str">
        <f t="shared" ca="1" si="29"/>
        <v/>
      </c>
      <c r="N182" s="55" t="str">
        <f t="shared" ca="1" si="21"/>
        <v/>
      </c>
    </row>
    <row r="183" spans="1:14">
      <c r="A183" s="105">
        <v>185</v>
      </c>
      <c r="B183" s="105" t="str">
        <f>VLOOKUP( $A183, Aop!$A$2:$P$453, 2, 0)</f>
        <v>BUa</v>
      </c>
      <c r="C183" s="55">
        <v>27</v>
      </c>
      <c r="D183" s="55" t="str">
        <f t="shared" si="22"/>
        <v>01937189</v>
      </c>
      <c r="E183" s="55" t="str">
        <f t="shared" si="23"/>
        <v>4401376020001</v>
      </c>
      <c r="F183" s="55" t="b">
        <f t="shared" si="25"/>
        <v>0</v>
      </c>
      <c r="G183" s="139">
        <f t="shared" si="26"/>
        <v>45838</v>
      </c>
      <c r="H183" s="105">
        <f>VLOOKUP( $A183, Aop!$A$2:$P$453, 4, 0)</f>
        <v>247</v>
      </c>
      <c r="I183" s="55">
        <f t="shared" si="24"/>
        <v>2025</v>
      </c>
      <c r="J183" s="55" t="str">
        <f t="shared" ca="1" si="30"/>
        <v/>
      </c>
      <c r="K183" s="55"/>
      <c r="L183" s="55"/>
      <c r="M183" s="55" t="str">
        <f t="shared" ca="1" si="29"/>
        <v/>
      </c>
      <c r="N183" s="55" t="str">
        <f t="shared" ca="1" si="21"/>
        <v/>
      </c>
    </row>
    <row r="184" spans="1:14">
      <c r="A184" s="105">
        <v>186</v>
      </c>
      <c r="B184" s="105" t="str">
        <f>VLOOKUP( $A184, Aop!$A$2:$P$453, 2, 0)</f>
        <v>BUa</v>
      </c>
      <c r="C184" s="55">
        <v>27</v>
      </c>
      <c r="D184" s="55" t="str">
        <f t="shared" si="22"/>
        <v>01937189</v>
      </c>
      <c r="E184" s="55" t="str">
        <f t="shared" si="23"/>
        <v>4401376020001</v>
      </c>
      <c r="F184" s="55" t="b">
        <f t="shared" si="25"/>
        <v>0</v>
      </c>
      <c r="G184" s="139">
        <f t="shared" si="26"/>
        <v>45838</v>
      </c>
      <c r="H184" s="105">
        <f>VLOOKUP( $A184, Aop!$A$2:$P$453, 4, 0)</f>
        <v>248</v>
      </c>
      <c r="I184" s="55">
        <f t="shared" si="24"/>
        <v>2025</v>
      </c>
      <c r="J184" s="55" t="str">
        <f t="shared" ca="1" si="30"/>
        <v/>
      </c>
      <c r="K184" s="55"/>
      <c r="L184" s="55"/>
      <c r="M184" s="55" t="str">
        <f t="shared" ca="1" si="29"/>
        <v/>
      </c>
      <c r="N184" s="55" t="str">
        <f t="shared" ca="1" si="21"/>
        <v/>
      </c>
    </row>
    <row r="185" spans="1:14">
      <c r="A185" s="105">
        <v>187</v>
      </c>
      <c r="B185" s="105" t="str">
        <f>VLOOKUP( $A185, Aop!$A$2:$P$453, 2, 0)</f>
        <v>BUa</v>
      </c>
      <c r="C185" s="55">
        <v>27</v>
      </c>
      <c r="D185" s="55" t="str">
        <f t="shared" si="22"/>
        <v>01937189</v>
      </c>
      <c r="E185" s="55" t="str">
        <f t="shared" si="23"/>
        <v>4401376020001</v>
      </c>
      <c r="F185" s="55" t="b">
        <f t="shared" si="25"/>
        <v>0</v>
      </c>
      <c r="G185" s="139">
        <f t="shared" si="26"/>
        <v>45838</v>
      </c>
      <c r="H185" s="105">
        <f>VLOOKUP( $A185, Aop!$A$2:$P$453, 4, 0)</f>
        <v>249</v>
      </c>
      <c r="I185" s="55">
        <f t="shared" si="24"/>
        <v>2025</v>
      </c>
      <c r="J185" s="55" t="str">
        <f t="shared" ca="1" si="30"/>
        <v/>
      </c>
      <c r="K185" s="55"/>
      <c r="L185" s="55"/>
      <c r="M185" s="55">
        <f t="shared" ca="1" si="29"/>
        <v>252624</v>
      </c>
      <c r="N185" s="55">
        <f t="shared" ca="1" si="21"/>
        <v>252624</v>
      </c>
    </row>
    <row r="186" spans="1:14">
      <c r="A186" s="105">
        <v>188</v>
      </c>
      <c r="B186" s="105" t="str">
        <f>VLOOKUP( $A186, Aop!$A$2:$P$453, 2, 0)</f>
        <v>BUa</v>
      </c>
      <c r="C186" s="55">
        <v>27</v>
      </c>
      <c r="D186" s="55" t="str">
        <f t="shared" si="22"/>
        <v>01937189</v>
      </c>
      <c r="E186" s="55" t="str">
        <f t="shared" si="23"/>
        <v>4401376020001</v>
      </c>
      <c r="F186" s="55" t="b">
        <f t="shared" si="25"/>
        <v>0</v>
      </c>
      <c r="G186" s="139">
        <f t="shared" si="26"/>
        <v>45838</v>
      </c>
      <c r="H186" s="105">
        <f>VLOOKUP( $A186, Aop!$A$2:$P$453, 4, 0)</f>
        <v>250</v>
      </c>
      <c r="I186" s="55">
        <f t="shared" si="24"/>
        <v>2025</v>
      </c>
      <c r="J186" s="55" t="str">
        <f t="shared" ca="1" si="30"/>
        <v/>
      </c>
      <c r="K186" s="55"/>
      <c r="L186" s="55"/>
      <c r="M186" s="55">
        <f t="shared" ca="1" si="29"/>
        <v>0</v>
      </c>
      <c r="N186" s="55">
        <f t="shared" ca="1" si="21"/>
        <v>0</v>
      </c>
    </row>
    <row r="187" spans="1:14">
      <c r="A187" s="105">
        <v>189</v>
      </c>
      <c r="B187" s="105" t="str">
        <f>VLOOKUP( $A187, Aop!$A$2:$P$453, 2, 0)</f>
        <v>BUa</v>
      </c>
      <c r="C187" s="55">
        <v>27</v>
      </c>
      <c r="D187" s="55" t="str">
        <f t="shared" si="22"/>
        <v>01937189</v>
      </c>
      <c r="E187" s="55" t="str">
        <f t="shared" si="23"/>
        <v>4401376020001</v>
      </c>
      <c r="F187" s="55" t="b">
        <f t="shared" si="25"/>
        <v>0</v>
      </c>
      <c r="G187" s="139">
        <f t="shared" si="26"/>
        <v>45838</v>
      </c>
      <c r="H187" s="105">
        <f>VLOOKUP( $A187, Aop!$A$2:$P$453, 4, 0)</f>
        <v>251</v>
      </c>
      <c r="I187" s="55">
        <f t="shared" si="24"/>
        <v>2025</v>
      </c>
      <c r="J187" s="55" t="str">
        <f t="shared" ca="1" si="30"/>
        <v/>
      </c>
      <c r="K187" s="55"/>
      <c r="L187" s="55"/>
      <c r="M187" s="55">
        <f t="shared" ca="1" si="29"/>
        <v>0</v>
      </c>
      <c r="N187" s="55">
        <f t="shared" ca="1" si="21"/>
        <v>0</v>
      </c>
    </row>
    <row r="188" spans="1:14">
      <c r="A188" s="105">
        <v>190</v>
      </c>
      <c r="B188" s="105" t="str">
        <f>VLOOKUP( $A188, Aop!$A$2:$P$453, 2, 0)</f>
        <v>BUa</v>
      </c>
      <c r="C188" s="55">
        <v>27</v>
      </c>
      <c r="D188" s="55" t="str">
        <f t="shared" si="22"/>
        <v>01937189</v>
      </c>
      <c r="E188" s="55" t="str">
        <f t="shared" si="23"/>
        <v>4401376020001</v>
      </c>
      <c r="F188" s="55" t="b">
        <f t="shared" si="25"/>
        <v>0</v>
      </c>
      <c r="G188" s="139">
        <f t="shared" si="26"/>
        <v>45838</v>
      </c>
      <c r="H188" s="105">
        <f>VLOOKUP( $A188, Aop!$A$2:$P$453, 4, 0)</f>
        <v>252</v>
      </c>
      <c r="I188" s="55">
        <f t="shared" si="24"/>
        <v>2025</v>
      </c>
      <c r="J188" s="55" t="str">
        <f t="shared" ca="1" si="30"/>
        <v/>
      </c>
      <c r="K188" s="55"/>
      <c r="L188" s="55"/>
      <c r="M188" s="55" t="str">
        <f t="shared" ca="1" si="29"/>
        <v/>
      </c>
      <c r="N188" s="55" t="str">
        <f t="shared" ca="1" si="21"/>
        <v/>
      </c>
    </row>
    <row r="189" spans="1:14">
      <c r="A189" s="105">
        <v>191</v>
      </c>
      <c r="B189" s="105" t="str">
        <f>VLOOKUP( $A189, Aop!$A$2:$P$453, 2, 0)</f>
        <v>BUa</v>
      </c>
      <c r="C189" s="55">
        <v>27</v>
      </c>
      <c r="D189" s="55" t="str">
        <f t="shared" si="22"/>
        <v>01937189</v>
      </c>
      <c r="E189" s="55" t="str">
        <f t="shared" si="23"/>
        <v>4401376020001</v>
      </c>
      <c r="F189" s="55" t="b">
        <f t="shared" si="25"/>
        <v>0</v>
      </c>
      <c r="G189" s="139">
        <f t="shared" si="26"/>
        <v>45838</v>
      </c>
      <c r="H189" s="105">
        <f>VLOOKUP( $A189, Aop!$A$2:$P$453, 4, 0)</f>
        <v>253</v>
      </c>
      <c r="I189" s="55">
        <f t="shared" si="24"/>
        <v>2025</v>
      </c>
      <c r="J189" s="55" t="str">
        <f t="shared" ca="1" si="30"/>
        <v/>
      </c>
      <c r="K189" s="55"/>
      <c r="L189" s="55"/>
      <c r="M189" s="55" t="str">
        <f t="shared" ca="1" si="29"/>
        <v/>
      </c>
      <c r="N189" s="55" t="str">
        <f t="shared" ca="1" si="21"/>
        <v/>
      </c>
    </row>
    <row r="190" spans="1:14">
      <c r="A190" s="105">
        <v>192</v>
      </c>
      <c r="B190" s="105" t="str">
        <f>VLOOKUP( $A190, Aop!$A$2:$P$453, 2, 0)</f>
        <v>BUa</v>
      </c>
      <c r="C190" s="55">
        <v>27</v>
      </c>
      <c r="D190" s="55" t="str">
        <f t="shared" si="22"/>
        <v>01937189</v>
      </c>
      <c r="E190" s="55" t="str">
        <f t="shared" si="23"/>
        <v>4401376020001</v>
      </c>
      <c r="F190" s="55" t="b">
        <f t="shared" si="25"/>
        <v>0</v>
      </c>
      <c r="G190" s="139">
        <f t="shared" si="26"/>
        <v>45838</v>
      </c>
      <c r="H190" s="105">
        <f>VLOOKUP( $A190, Aop!$A$2:$P$453, 4, 0)</f>
        <v>254</v>
      </c>
      <c r="I190" s="55">
        <f t="shared" si="24"/>
        <v>2025</v>
      </c>
      <c r="J190" s="55" t="str">
        <f t="shared" ca="1" si="30"/>
        <v/>
      </c>
      <c r="K190" s="55"/>
      <c r="L190" s="55"/>
      <c r="M190" s="55" t="str">
        <f t="shared" ca="1" si="29"/>
        <v/>
      </c>
      <c r="N190" s="55" t="str">
        <f t="shared" ca="1" si="21"/>
        <v/>
      </c>
    </row>
    <row r="191" spans="1:14">
      <c r="A191" s="105">
        <v>193</v>
      </c>
      <c r="B191" s="105" t="str">
        <f>VLOOKUP( $A191, Aop!$A$2:$P$453, 2, 0)</f>
        <v>BUa</v>
      </c>
      <c r="C191" s="55">
        <v>27</v>
      </c>
      <c r="D191" s="55" t="str">
        <f t="shared" ref="D191:D252" si="31">Podatak_MB</f>
        <v>01937189</v>
      </c>
      <c r="E191" s="55" t="str">
        <f t="shared" ref="E191:E252" si="32">Podatak_JIB</f>
        <v>4401376020001</v>
      </c>
      <c r="F191" s="55" t="b">
        <f t="shared" si="25"/>
        <v>0</v>
      </c>
      <c r="G191" s="139">
        <f t="shared" si="26"/>
        <v>45838</v>
      </c>
      <c r="H191" s="105">
        <f>VLOOKUP( $A191, Aop!$A$2:$P$453, 4, 0)</f>
        <v>255</v>
      </c>
      <c r="I191" s="55">
        <f t="shared" ref="I191:I252" si="33">Godina</f>
        <v>2025</v>
      </c>
      <c r="J191" s="55" t="str">
        <f t="shared" ca="1" si="30"/>
        <v/>
      </c>
      <c r="K191" s="55"/>
      <c r="L191" s="55"/>
      <c r="M191" s="55" t="str">
        <f t="shared" ca="1" si="29"/>
        <v/>
      </c>
      <c r="N191" s="55" t="str">
        <f t="shared" ca="1" si="21"/>
        <v/>
      </c>
    </row>
    <row r="192" spans="1:14">
      <c r="A192" s="105">
        <v>194</v>
      </c>
      <c r="B192" s="105" t="str">
        <f>VLOOKUP( $A192, Aop!$A$2:$P$453, 2, 0)</f>
        <v>BUa</v>
      </c>
      <c r="C192" s="55">
        <v>27</v>
      </c>
      <c r="D192" s="55" t="str">
        <f t="shared" si="31"/>
        <v>01937189</v>
      </c>
      <c r="E192" s="55" t="str">
        <f t="shared" si="32"/>
        <v>4401376020001</v>
      </c>
      <c r="F192" s="55" t="b">
        <f t="shared" ref="F192:F253" si="34">Konsolidovan_izvjestaj</f>
        <v>0</v>
      </c>
      <c r="G192" s="139">
        <f t="shared" ref="G192:G253" si="35">Datum_Broj</f>
        <v>45838</v>
      </c>
      <c r="H192" s="105">
        <f>VLOOKUP( $A192, Aop!$A$2:$P$453, 4, 0)</f>
        <v>256</v>
      </c>
      <c r="I192" s="55">
        <f t="shared" si="33"/>
        <v>2025</v>
      </c>
      <c r="J192" s="55" t="str">
        <f t="shared" ca="1" si="30"/>
        <v/>
      </c>
      <c r="K192" s="55"/>
      <c r="L192" s="55"/>
      <c r="M192" s="55" t="str">
        <f t="shared" ca="1" si="29"/>
        <v/>
      </c>
      <c r="N192" s="55" t="str">
        <f t="shared" ca="1" si="21"/>
        <v/>
      </c>
    </row>
    <row r="193" spans="1:14">
      <c r="A193" s="105">
        <v>195</v>
      </c>
      <c r="B193" s="105" t="str">
        <f>VLOOKUP( $A193, Aop!$A$2:$P$453, 2, 0)</f>
        <v>BUa</v>
      </c>
      <c r="C193" s="55">
        <v>27</v>
      </c>
      <c r="D193" s="55" t="str">
        <f t="shared" si="31"/>
        <v>01937189</v>
      </c>
      <c r="E193" s="55" t="str">
        <f t="shared" si="32"/>
        <v>4401376020001</v>
      </c>
      <c r="F193" s="55" t="b">
        <f t="shared" si="34"/>
        <v>0</v>
      </c>
      <c r="G193" s="139">
        <f t="shared" si="35"/>
        <v>45838</v>
      </c>
      <c r="H193" s="105">
        <f>VLOOKUP( $A193, Aop!$A$2:$P$453, 4, 0)</f>
        <v>257</v>
      </c>
      <c r="I193" s="55">
        <f t="shared" si="33"/>
        <v>2025</v>
      </c>
      <c r="J193" s="55" t="str">
        <f t="shared" ca="1" si="30"/>
        <v/>
      </c>
      <c r="K193" s="55"/>
      <c r="L193" s="55"/>
      <c r="M193" s="55" t="str">
        <f t="shared" ca="1" si="29"/>
        <v/>
      </c>
      <c r="N193" s="55" t="str">
        <f t="shared" ca="1" si="21"/>
        <v/>
      </c>
    </row>
    <row r="194" spans="1:14">
      <c r="A194" s="105">
        <v>196</v>
      </c>
      <c r="B194" s="105" t="str">
        <f>VLOOKUP( $A194, Aop!$A$2:$P$453, 2, 0)</f>
        <v>BUa</v>
      </c>
      <c r="C194" s="55">
        <v>27</v>
      </c>
      <c r="D194" s="55" t="str">
        <f t="shared" si="31"/>
        <v>01937189</v>
      </c>
      <c r="E194" s="55" t="str">
        <f t="shared" si="32"/>
        <v>4401376020001</v>
      </c>
      <c r="F194" s="55" t="b">
        <f t="shared" si="34"/>
        <v>0</v>
      </c>
      <c r="G194" s="139">
        <f t="shared" si="35"/>
        <v>45838</v>
      </c>
      <c r="H194" s="105">
        <f>VLOOKUP( $A194, Aop!$A$2:$P$453, 4, 0)</f>
        <v>258</v>
      </c>
      <c r="I194" s="55">
        <f t="shared" si="33"/>
        <v>2025</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c r="A195" s="105">
        <v>197</v>
      </c>
      <c r="B195" s="105" t="str">
        <f>VLOOKUP( $A195, Aop!$A$2:$P$453, 2, 0)</f>
        <v>BUa</v>
      </c>
      <c r="C195" s="55">
        <v>27</v>
      </c>
      <c r="D195" s="55" t="str">
        <f t="shared" si="31"/>
        <v>01937189</v>
      </c>
      <c r="E195" s="55" t="str">
        <f t="shared" si="32"/>
        <v>4401376020001</v>
      </c>
      <c r="F195" s="55" t="b">
        <f t="shared" si="34"/>
        <v>0</v>
      </c>
      <c r="G195" s="139">
        <f t="shared" si="35"/>
        <v>45838</v>
      </c>
      <c r="H195" s="105">
        <f>VLOOKUP( $A195, Aop!$A$2:$P$453, 4, 0)</f>
        <v>259</v>
      </c>
      <c r="I195" s="55">
        <f t="shared" si="33"/>
        <v>2025</v>
      </c>
      <c r="J195" s="55" t="str">
        <f t="shared" ca="1" si="30"/>
        <v/>
      </c>
      <c r="K195" s="55"/>
      <c r="L195" s="55"/>
      <c r="M195" s="55" t="str">
        <f t="shared" ca="1" si="29"/>
        <v/>
      </c>
      <c r="N195" s="55" t="str">
        <f t="shared" ca="1" si="36"/>
        <v/>
      </c>
    </row>
    <row r="196" spans="1:14">
      <c r="A196" s="105">
        <v>198</v>
      </c>
      <c r="B196" s="55" t="str">
        <f>VLOOKUP( $A196, Aop!$A$2:$P$453, 2, 0)</f>
        <v>BUa</v>
      </c>
      <c r="C196" s="55">
        <v>27</v>
      </c>
      <c r="D196" s="55" t="str">
        <f>Podatak_MB</f>
        <v>01937189</v>
      </c>
      <c r="E196" s="55" t="str">
        <f>Podatak_JIB</f>
        <v>4401376020001</v>
      </c>
      <c r="F196" s="55" t="b">
        <f>Konsolidovan_izvjestaj</f>
        <v>0</v>
      </c>
      <c r="G196" s="139">
        <f>Datum_Broj</f>
        <v>45838</v>
      </c>
      <c r="H196" s="55">
        <f>VLOOKUP( $A196, Aop!$A$2:$P$453, 4, 0)</f>
        <v>260</v>
      </c>
      <c r="I196" s="55">
        <f>Godina</f>
        <v>2025</v>
      </c>
      <c r="J196" s="55" t="str">
        <f t="shared" ca="1" si="30"/>
        <v/>
      </c>
      <c r="K196" s="55"/>
      <c r="L196" s="55"/>
      <c r="M196" s="55" t="str">
        <f t="shared" ca="1" si="29"/>
        <v/>
      </c>
      <c r="N196" s="55" t="str">
        <f t="shared" ca="1" si="36"/>
        <v/>
      </c>
    </row>
    <row r="197" spans="1:14">
      <c r="A197" s="105">
        <v>199</v>
      </c>
      <c r="B197" s="105" t="str">
        <f>VLOOKUP( $A197, Aop!$A$2:$P$453, 2, 0)</f>
        <v>BUa</v>
      </c>
      <c r="C197" s="55">
        <v>27</v>
      </c>
      <c r="D197" s="55" t="str">
        <f t="shared" si="31"/>
        <v>01937189</v>
      </c>
      <c r="E197" s="55" t="str">
        <f t="shared" si="32"/>
        <v>4401376020001</v>
      </c>
      <c r="F197" s="55" t="b">
        <f t="shared" si="34"/>
        <v>0</v>
      </c>
      <c r="G197" s="139">
        <f t="shared" si="35"/>
        <v>45838</v>
      </c>
      <c r="H197" s="105">
        <f>VLOOKUP( $A197, Aop!$A$2:$P$453, 4, 0)</f>
        <v>261</v>
      </c>
      <c r="I197" s="55">
        <f t="shared" si="33"/>
        <v>2025</v>
      </c>
      <c r="J197" s="55" t="str">
        <f t="shared" ca="1" si="30"/>
        <v/>
      </c>
      <c r="K197" s="55"/>
      <c r="L197" s="55"/>
      <c r="M197" s="55">
        <f t="shared" ca="1" si="29"/>
        <v>0</v>
      </c>
      <c r="N197" s="55">
        <f t="shared" ca="1" si="36"/>
        <v>0</v>
      </c>
    </row>
    <row r="198" spans="1:14">
      <c r="A198" s="105">
        <v>200</v>
      </c>
      <c r="B198" s="105" t="str">
        <f>VLOOKUP( $A198, Aop!$A$2:$P$453, 2, 0)</f>
        <v>BUa</v>
      </c>
      <c r="C198" s="55">
        <v>27</v>
      </c>
      <c r="D198" s="55" t="str">
        <f t="shared" si="31"/>
        <v>01937189</v>
      </c>
      <c r="E198" s="55" t="str">
        <f t="shared" si="32"/>
        <v>4401376020001</v>
      </c>
      <c r="F198" s="55" t="b">
        <f t="shared" si="34"/>
        <v>0</v>
      </c>
      <c r="G198" s="139">
        <f t="shared" si="35"/>
        <v>45838</v>
      </c>
      <c r="H198" s="105">
        <f>VLOOKUP( $A198, Aop!$A$2:$P$453, 4, 0)</f>
        <v>262</v>
      </c>
      <c r="I198" s="55">
        <f t="shared" si="33"/>
        <v>2025</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c r="A199" s="105">
        <v>201</v>
      </c>
      <c r="B199" s="105" t="str">
        <f>VLOOKUP( $A199, Aop!$A$2:$P$453, 2, 0)</f>
        <v>BUa</v>
      </c>
      <c r="C199" s="55">
        <v>27</v>
      </c>
      <c r="D199" s="55" t="str">
        <f t="shared" si="31"/>
        <v>01937189</v>
      </c>
      <c r="E199" s="55" t="str">
        <f t="shared" si="32"/>
        <v>4401376020001</v>
      </c>
      <c r="F199" s="55" t="b">
        <f t="shared" si="34"/>
        <v>0</v>
      </c>
      <c r="G199" s="139">
        <f t="shared" si="35"/>
        <v>45838</v>
      </c>
      <c r="H199" s="105">
        <f>VLOOKUP( $A199, Aop!$A$2:$P$453, 4, 0)</f>
        <v>263</v>
      </c>
      <c r="I199" s="55">
        <f t="shared" si="33"/>
        <v>2025</v>
      </c>
      <c r="J199" s="55" t="str">
        <f t="shared" ca="1" si="30"/>
        <v/>
      </c>
      <c r="K199" s="55"/>
      <c r="L199" s="55"/>
      <c r="M199" s="55" t="str">
        <f t="shared" ca="1" si="37"/>
        <v/>
      </c>
      <c r="N199" s="55" t="str">
        <f t="shared" ca="1" si="36"/>
        <v/>
      </c>
    </row>
    <row r="200" spans="1:14">
      <c r="A200" s="105">
        <v>202</v>
      </c>
      <c r="B200" s="105" t="str">
        <f>VLOOKUP( $A200, Aop!$A$2:$P$453, 2, 0)</f>
        <v>BUa</v>
      </c>
      <c r="C200" s="55">
        <v>27</v>
      </c>
      <c r="D200" s="55" t="str">
        <f t="shared" si="31"/>
        <v>01937189</v>
      </c>
      <c r="E200" s="55" t="str">
        <f t="shared" si="32"/>
        <v>4401376020001</v>
      </c>
      <c r="F200" s="55" t="b">
        <f t="shared" si="34"/>
        <v>0</v>
      </c>
      <c r="G200" s="139">
        <f t="shared" si="35"/>
        <v>45838</v>
      </c>
      <c r="H200" s="105">
        <f>VLOOKUP( $A200, Aop!$A$2:$P$453, 4, 0)</f>
        <v>264</v>
      </c>
      <c r="I200" s="55">
        <f t="shared" si="33"/>
        <v>2025</v>
      </c>
      <c r="J200" s="55" t="str">
        <f t="shared" ca="1" si="30"/>
        <v/>
      </c>
      <c r="K200" s="55"/>
      <c r="L200" s="55"/>
      <c r="M200" s="55" t="str">
        <f t="shared" ca="1" si="37"/>
        <v/>
      </c>
      <c r="N200" s="55" t="str">
        <f t="shared" ca="1" si="36"/>
        <v/>
      </c>
    </row>
    <row r="201" spans="1:14">
      <c r="A201" s="105">
        <v>203</v>
      </c>
      <c r="B201" s="105" t="str">
        <f>VLOOKUP( $A201, Aop!$A$2:$P$453, 2, 0)</f>
        <v>BUa</v>
      </c>
      <c r="C201" s="55">
        <v>27</v>
      </c>
      <c r="D201" s="55" t="str">
        <f t="shared" si="31"/>
        <v>01937189</v>
      </c>
      <c r="E201" s="55" t="str">
        <f t="shared" si="32"/>
        <v>4401376020001</v>
      </c>
      <c r="F201" s="55" t="b">
        <f t="shared" si="34"/>
        <v>0</v>
      </c>
      <c r="G201" s="139">
        <f t="shared" si="35"/>
        <v>45838</v>
      </c>
      <c r="H201" s="105">
        <f>VLOOKUP( $A201, Aop!$A$2:$P$453, 4, 0)</f>
        <v>265</v>
      </c>
      <c r="I201" s="55">
        <f t="shared" si="33"/>
        <v>2025</v>
      </c>
      <c r="J201" s="55" t="str">
        <f t="shared" ca="1" si="30"/>
        <v/>
      </c>
      <c r="K201" s="55"/>
      <c r="L201" s="55"/>
      <c r="M201" s="55" t="str">
        <f t="shared" ca="1" si="37"/>
        <v/>
      </c>
      <c r="N201" s="55" t="str">
        <f t="shared" ca="1" si="36"/>
        <v/>
      </c>
    </row>
    <row r="202" spans="1:14">
      <c r="A202" s="105">
        <v>204</v>
      </c>
      <c r="B202" s="105" t="str">
        <f>VLOOKUP( $A202, Aop!$A$2:$P$453, 2, 0)</f>
        <v>BUa</v>
      </c>
      <c r="C202" s="55">
        <v>27</v>
      </c>
      <c r="D202" s="55" t="str">
        <f t="shared" si="31"/>
        <v>01937189</v>
      </c>
      <c r="E202" s="55" t="str">
        <f t="shared" si="32"/>
        <v>4401376020001</v>
      </c>
      <c r="F202" s="55" t="b">
        <f t="shared" si="34"/>
        <v>0</v>
      </c>
      <c r="G202" s="139">
        <f t="shared" si="35"/>
        <v>45838</v>
      </c>
      <c r="H202" s="105">
        <f>VLOOKUP( $A202, Aop!$A$2:$P$453, 4, 0)</f>
        <v>266</v>
      </c>
      <c r="I202" s="55">
        <f t="shared" si="33"/>
        <v>2025</v>
      </c>
      <c r="J202" s="55" t="str">
        <f t="shared" ca="1" si="30"/>
        <v/>
      </c>
      <c r="K202" s="55"/>
      <c r="L202" s="55"/>
      <c r="M202" s="55" t="str">
        <f t="shared" ca="1" si="37"/>
        <v/>
      </c>
      <c r="N202" s="55" t="str">
        <f t="shared" ca="1" si="36"/>
        <v/>
      </c>
    </row>
    <row r="203" spans="1:14">
      <c r="A203" s="105">
        <v>205</v>
      </c>
      <c r="B203" s="105" t="str">
        <f>VLOOKUP( $A203, Aop!$A$2:$P$453, 2, 0)</f>
        <v>BUa</v>
      </c>
      <c r="C203" s="55">
        <v>27</v>
      </c>
      <c r="D203" s="55" t="str">
        <f t="shared" si="31"/>
        <v>01937189</v>
      </c>
      <c r="E203" s="55" t="str">
        <f t="shared" si="32"/>
        <v>4401376020001</v>
      </c>
      <c r="F203" s="55" t="b">
        <f t="shared" si="34"/>
        <v>0</v>
      </c>
      <c r="G203" s="139">
        <f t="shared" si="35"/>
        <v>45838</v>
      </c>
      <c r="H203" s="105">
        <f>VLOOKUP( $A203, Aop!$A$2:$P$453, 4, 0)</f>
        <v>267</v>
      </c>
      <c r="I203" s="55">
        <f t="shared" si="33"/>
        <v>2025</v>
      </c>
      <c r="J203" s="55" t="str">
        <f t="shared" ca="1" si="30"/>
        <v/>
      </c>
      <c r="K203" s="55"/>
      <c r="L203" s="55"/>
      <c r="M203" s="55" t="str">
        <f t="shared" ca="1" si="37"/>
        <v/>
      </c>
      <c r="N203" s="55" t="str">
        <f t="shared" ca="1" si="36"/>
        <v/>
      </c>
    </row>
    <row r="204" spans="1:14">
      <c r="A204" s="105">
        <v>206</v>
      </c>
      <c r="B204" s="105" t="str">
        <f>VLOOKUP( $A204, Aop!$A$2:$P$453, 2, 0)</f>
        <v>BUa</v>
      </c>
      <c r="C204" s="55">
        <v>27</v>
      </c>
      <c r="D204" s="55" t="str">
        <f t="shared" si="31"/>
        <v>01937189</v>
      </c>
      <c r="E204" s="55" t="str">
        <f t="shared" si="32"/>
        <v>4401376020001</v>
      </c>
      <c r="F204" s="55" t="b">
        <f t="shared" si="34"/>
        <v>0</v>
      </c>
      <c r="G204" s="139">
        <f t="shared" si="35"/>
        <v>45838</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c r="A205" s="105">
        <v>208</v>
      </c>
      <c r="B205" s="105" t="str">
        <f>VLOOKUP( $A205, Aop!$A$2:$P$453, 2, 0)</f>
        <v>BUa</v>
      </c>
      <c r="C205" s="55">
        <v>27</v>
      </c>
      <c r="D205" s="55" t="str">
        <f t="shared" si="31"/>
        <v>01937189</v>
      </c>
      <c r="E205" s="55" t="str">
        <f t="shared" si="32"/>
        <v>4401376020001</v>
      </c>
      <c r="F205" s="55" t="b">
        <f t="shared" si="34"/>
        <v>0</v>
      </c>
      <c r="G205" s="139">
        <f t="shared" si="35"/>
        <v>45838</v>
      </c>
      <c r="H205" s="105">
        <f>VLOOKUP( $A205, Aop!$A$2:$P$453, 4, 0)</f>
        <v>270</v>
      </c>
      <c r="I205" s="55">
        <f t="shared" si="33"/>
        <v>2025</v>
      </c>
      <c r="J205" s="55" t="str">
        <f t="shared" ca="1" si="38"/>
        <v/>
      </c>
      <c r="K205" s="55"/>
      <c r="L205" s="55"/>
      <c r="M205" s="55" t="str">
        <f t="shared" ca="1" si="37"/>
        <v/>
      </c>
      <c r="N205" s="55" t="str">
        <f t="shared" ca="1" si="36"/>
        <v/>
      </c>
    </row>
    <row r="206" spans="1:14">
      <c r="A206" s="105">
        <v>209</v>
      </c>
      <c r="B206" s="105" t="str">
        <f>VLOOKUP( $A206, Aop!$A$2:$P$453, 2, 0)</f>
        <v>BUa</v>
      </c>
      <c r="C206" s="55">
        <v>27</v>
      </c>
      <c r="D206" s="55" t="str">
        <f t="shared" si="31"/>
        <v>01937189</v>
      </c>
      <c r="E206" s="55" t="str">
        <f t="shared" si="32"/>
        <v>4401376020001</v>
      </c>
      <c r="F206" s="55" t="b">
        <f t="shared" si="34"/>
        <v>0</v>
      </c>
      <c r="G206" s="139">
        <f t="shared" si="35"/>
        <v>45838</v>
      </c>
      <c r="H206" s="105">
        <f>VLOOKUP( $A206, Aop!$A$2:$P$453, 4, 0)</f>
        <v>271</v>
      </c>
      <c r="I206" s="55">
        <f t="shared" si="33"/>
        <v>2025</v>
      </c>
      <c r="J206" s="55" t="str">
        <f t="shared" ca="1" si="38"/>
        <v/>
      </c>
      <c r="K206" s="55"/>
      <c r="L206" s="55"/>
      <c r="M206" s="55">
        <f t="shared" ca="1" si="37"/>
        <v>0</v>
      </c>
      <c r="N206" s="55">
        <f t="shared" ca="1" si="36"/>
        <v>0</v>
      </c>
    </row>
    <row r="207" spans="1:14">
      <c r="A207" s="105">
        <v>210</v>
      </c>
      <c r="B207" s="105" t="str">
        <f>VLOOKUP( $A207, Aop!$A$2:$P$453, 2, 0)</f>
        <v>BUa</v>
      </c>
      <c r="C207" s="55">
        <v>27</v>
      </c>
      <c r="D207" s="55" t="str">
        <f t="shared" si="31"/>
        <v>01937189</v>
      </c>
      <c r="E207" s="55" t="str">
        <f t="shared" si="32"/>
        <v>4401376020001</v>
      </c>
      <c r="F207" s="55" t="b">
        <f t="shared" si="34"/>
        <v>0</v>
      </c>
      <c r="G207" s="139">
        <f t="shared" si="35"/>
        <v>45838</v>
      </c>
      <c r="H207" s="105">
        <f>VLOOKUP( $A207, Aop!$A$2:$P$453, 4, 0)</f>
        <v>272</v>
      </c>
      <c r="I207" s="55">
        <f t="shared" si="33"/>
        <v>2025</v>
      </c>
      <c r="J207" s="55" t="str">
        <f t="shared" ca="1" si="38"/>
        <v/>
      </c>
      <c r="K207" s="55"/>
      <c r="L207" s="55"/>
      <c r="M207" s="55">
        <f t="shared" ca="1" si="37"/>
        <v>0</v>
      </c>
      <c r="N207" s="55">
        <f t="shared" ca="1" si="36"/>
        <v>0</v>
      </c>
    </row>
    <row r="208" spans="1:14">
      <c r="A208" s="105">
        <v>211</v>
      </c>
      <c r="B208" s="105" t="str">
        <f>VLOOKUP( $A208, Aop!$A$2:$P$453, 2, 0)</f>
        <v>BUa</v>
      </c>
      <c r="C208" s="55">
        <v>27</v>
      </c>
      <c r="D208" s="55" t="str">
        <f t="shared" si="31"/>
        <v>01937189</v>
      </c>
      <c r="E208" s="55" t="str">
        <f t="shared" si="32"/>
        <v>4401376020001</v>
      </c>
      <c r="F208" s="55" t="b">
        <f t="shared" si="34"/>
        <v>0</v>
      </c>
      <c r="G208" s="139">
        <f t="shared" si="35"/>
        <v>45838</v>
      </c>
      <c r="H208" s="105">
        <f>VLOOKUP( $A208, Aop!$A$2:$P$453, 4, 0)</f>
        <v>273</v>
      </c>
      <c r="I208" s="55">
        <f t="shared" si="33"/>
        <v>2025</v>
      </c>
      <c r="J208" s="55" t="str">
        <f t="shared" ca="1" si="38"/>
        <v/>
      </c>
      <c r="K208" s="55"/>
      <c r="L208" s="55"/>
      <c r="M208" s="55">
        <f t="shared" ca="1" si="37"/>
        <v>0</v>
      </c>
      <c r="N208" s="55">
        <f t="shared" ca="1" si="36"/>
        <v>0</v>
      </c>
    </row>
    <row r="209" spans="1:14">
      <c r="A209" s="105">
        <v>212</v>
      </c>
      <c r="B209" s="105" t="str">
        <f>VLOOKUP( $A209, Aop!$A$2:$P$453, 2, 0)</f>
        <v>BUa</v>
      </c>
      <c r="C209" s="55">
        <v>27</v>
      </c>
      <c r="D209" s="55" t="str">
        <f t="shared" si="31"/>
        <v>01937189</v>
      </c>
      <c r="E209" s="55" t="str">
        <f t="shared" si="32"/>
        <v>4401376020001</v>
      </c>
      <c r="F209" s="55" t="b">
        <f t="shared" si="34"/>
        <v>0</v>
      </c>
      <c r="G209" s="139">
        <f t="shared" si="35"/>
        <v>45838</v>
      </c>
      <c r="H209" s="105">
        <f>VLOOKUP( $A209, Aop!$A$2:$P$453, 4, 0)</f>
        <v>274</v>
      </c>
      <c r="I209" s="55">
        <f t="shared" si="33"/>
        <v>2025</v>
      </c>
      <c r="J209" s="55" t="str">
        <f t="shared" ca="1" si="38"/>
        <v/>
      </c>
      <c r="K209" s="55"/>
      <c r="L209" s="55"/>
      <c r="M209" s="55">
        <f t="shared" ca="1" si="37"/>
        <v>0</v>
      </c>
      <c r="N209" s="55">
        <f t="shared" ca="1" si="36"/>
        <v>0</v>
      </c>
    </row>
    <row r="210" spans="1:14">
      <c r="A210" s="105">
        <v>213</v>
      </c>
      <c r="B210" s="105" t="str">
        <f>VLOOKUP( $A210, Aop!$A$2:$P$453, 2, 0)</f>
        <v>BUa</v>
      </c>
      <c r="C210" s="55">
        <v>27</v>
      </c>
      <c r="D210" s="55" t="str">
        <f t="shared" si="31"/>
        <v>01937189</v>
      </c>
      <c r="E210" s="55" t="str">
        <f t="shared" si="32"/>
        <v>4401376020001</v>
      </c>
      <c r="F210" s="55" t="b">
        <f t="shared" si="34"/>
        <v>0</v>
      </c>
      <c r="G210" s="139">
        <f t="shared" si="35"/>
        <v>45838</v>
      </c>
      <c r="H210" s="105">
        <f>VLOOKUP( $A210, Aop!$A$2:$P$453, 4, 0)</f>
        <v>275</v>
      </c>
      <c r="I210" s="55">
        <f t="shared" si="33"/>
        <v>2025</v>
      </c>
      <c r="J210" s="55" t="str">
        <f t="shared" ca="1" si="38"/>
        <v/>
      </c>
      <c r="K210" s="55"/>
      <c r="L210" s="55"/>
      <c r="M210" s="55" t="str">
        <f t="shared" ca="1" si="37"/>
        <v/>
      </c>
      <c r="N210" s="55" t="str">
        <f t="shared" ca="1" si="36"/>
        <v/>
      </c>
    </row>
    <row r="211" spans="1:14">
      <c r="A211" s="105">
        <v>214</v>
      </c>
      <c r="B211" s="105" t="str">
        <f>VLOOKUP( $A211, Aop!$A$2:$P$453, 2, 0)</f>
        <v>BUa</v>
      </c>
      <c r="C211" s="55">
        <v>27</v>
      </c>
      <c r="D211" s="55" t="str">
        <f t="shared" si="31"/>
        <v>01937189</v>
      </c>
      <c r="E211" s="55" t="str">
        <f t="shared" si="32"/>
        <v>4401376020001</v>
      </c>
      <c r="F211" s="55" t="b">
        <f t="shared" si="34"/>
        <v>0</v>
      </c>
      <c r="G211" s="139">
        <f t="shared" si="35"/>
        <v>45838</v>
      </c>
      <c r="H211" s="105">
        <f>VLOOKUP( $A211, Aop!$A$2:$P$453, 4, 0)</f>
        <v>276</v>
      </c>
      <c r="I211" s="55">
        <f t="shared" si="33"/>
        <v>2025</v>
      </c>
      <c r="J211" s="55" t="str">
        <f t="shared" ca="1" si="38"/>
        <v/>
      </c>
      <c r="K211" s="55"/>
      <c r="L211" s="55"/>
      <c r="M211" s="55" t="str">
        <f t="shared" ca="1" si="37"/>
        <v/>
      </c>
      <c r="N211" s="55" t="str">
        <f t="shared" ca="1" si="36"/>
        <v/>
      </c>
    </row>
    <row r="212" spans="1:14">
      <c r="A212" s="105">
        <v>215</v>
      </c>
      <c r="B212" s="105" t="str">
        <f>VLOOKUP( $A212, Aop!$A$2:$P$453, 2, 0)</f>
        <v>BUa</v>
      </c>
      <c r="C212" s="55">
        <v>27</v>
      </c>
      <c r="D212" s="55" t="str">
        <f t="shared" si="31"/>
        <v>01937189</v>
      </c>
      <c r="E212" s="55" t="str">
        <f t="shared" si="32"/>
        <v>4401376020001</v>
      </c>
      <c r="F212" s="55" t="b">
        <f t="shared" si="34"/>
        <v>0</v>
      </c>
      <c r="G212" s="139">
        <f t="shared" si="35"/>
        <v>45838</v>
      </c>
      <c r="H212" s="105">
        <f>VLOOKUP( $A212, Aop!$A$2:$P$453, 4, 0)</f>
        <v>277</v>
      </c>
      <c r="I212" s="55">
        <f t="shared" si="33"/>
        <v>2025</v>
      </c>
      <c r="J212" s="55" t="str">
        <f t="shared" ca="1" si="38"/>
        <v/>
      </c>
      <c r="K212" s="55"/>
      <c r="L212" s="55"/>
      <c r="M212" s="55" t="str">
        <f t="shared" ca="1" si="37"/>
        <v/>
      </c>
      <c r="N212" s="55" t="str">
        <f t="shared" ca="1" si="36"/>
        <v/>
      </c>
    </row>
    <row r="213" spans="1:14">
      <c r="A213" s="105">
        <v>216</v>
      </c>
      <c r="B213" s="105" t="str">
        <f>VLOOKUP( $A213, Aop!$A$2:$P$453, 2, 0)</f>
        <v>BUa</v>
      </c>
      <c r="C213" s="55">
        <v>27</v>
      </c>
      <c r="D213" s="55" t="str">
        <f t="shared" si="31"/>
        <v>01937189</v>
      </c>
      <c r="E213" s="55" t="str">
        <f t="shared" si="32"/>
        <v>4401376020001</v>
      </c>
      <c r="F213" s="55" t="b">
        <f t="shared" si="34"/>
        <v>0</v>
      </c>
      <c r="G213" s="139">
        <f t="shared" si="35"/>
        <v>45838</v>
      </c>
      <c r="H213" s="105">
        <f>VLOOKUP( $A213, Aop!$A$2:$P$453, 4, 0)</f>
        <v>278</v>
      </c>
      <c r="I213" s="55">
        <f t="shared" si="33"/>
        <v>2025</v>
      </c>
      <c r="J213" s="55" t="str">
        <f t="shared" ca="1" si="38"/>
        <v/>
      </c>
      <c r="K213" s="55"/>
      <c r="L213" s="55"/>
      <c r="M213" s="55" t="str">
        <f t="shared" ca="1" si="37"/>
        <v/>
      </c>
      <c r="N213" s="55" t="str">
        <f t="shared" ca="1" si="36"/>
        <v/>
      </c>
    </row>
    <row r="214" spans="1:14">
      <c r="A214" s="105">
        <v>217</v>
      </c>
      <c r="B214" s="105" t="str">
        <f>VLOOKUP( $A214, Aop!$A$2:$P$453, 2, 0)</f>
        <v>BUa</v>
      </c>
      <c r="C214" s="55">
        <v>27</v>
      </c>
      <c r="D214" s="55" t="str">
        <f t="shared" si="31"/>
        <v>01937189</v>
      </c>
      <c r="E214" s="55" t="str">
        <f t="shared" si="32"/>
        <v>4401376020001</v>
      </c>
      <c r="F214" s="55" t="b">
        <f t="shared" si="34"/>
        <v>0</v>
      </c>
      <c r="G214" s="139">
        <f t="shared" si="35"/>
        <v>45838</v>
      </c>
      <c r="H214" s="105">
        <f>VLOOKUP( $A214, Aop!$A$2:$P$453, 4, 0)</f>
        <v>279</v>
      </c>
      <c r="I214" s="55">
        <f t="shared" si="33"/>
        <v>2025</v>
      </c>
      <c r="J214" s="55" t="str">
        <f t="shared" ca="1" si="38"/>
        <v/>
      </c>
      <c r="K214" s="55"/>
      <c r="L214" s="55"/>
      <c r="M214" s="55" t="str">
        <f t="shared" ca="1" si="37"/>
        <v/>
      </c>
      <c r="N214" s="55" t="str">
        <f t="shared" ca="1" si="36"/>
        <v/>
      </c>
    </row>
    <row r="215" spans="1:14">
      <c r="A215" s="105">
        <v>218</v>
      </c>
      <c r="B215" s="105" t="str">
        <f>VLOOKUP( $A215, Aop!$A$2:$P$453, 2, 0)</f>
        <v>BUa</v>
      </c>
      <c r="C215" s="55">
        <v>27</v>
      </c>
      <c r="D215" s="55" t="str">
        <f t="shared" si="31"/>
        <v>01937189</v>
      </c>
      <c r="E215" s="55" t="str">
        <f t="shared" si="32"/>
        <v>4401376020001</v>
      </c>
      <c r="F215" s="55" t="b">
        <f t="shared" si="34"/>
        <v>0</v>
      </c>
      <c r="G215" s="139">
        <f t="shared" si="35"/>
        <v>45838</v>
      </c>
      <c r="H215" s="105">
        <f>VLOOKUP( $A215, Aop!$A$2:$P$453, 4, 0)</f>
        <v>280</v>
      </c>
      <c r="I215" s="55">
        <f t="shared" si="33"/>
        <v>2025</v>
      </c>
      <c r="J215" s="55" t="str">
        <f t="shared" ca="1" si="38"/>
        <v/>
      </c>
      <c r="K215" s="55"/>
      <c r="L215" s="55"/>
      <c r="M215" s="55" t="str">
        <f t="shared" ca="1" si="37"/>
        <v/>
      </c>
      <c r="N215" s="55" t="str">
        <f t="shared" ca="1" si="36"/>
        <v/>
      </c>
    </row>
    <row r="216" spans="1:14">
      <c r="A216" s="105">
        <v>219</v>
      </c>
      <c r="B216" s="105" t="str">
        <f>VLOOKUP( $A216, Aop!$A$2:$P$453, 2, 0)</f>
        <v>BUa</v>
      </c>
      <c r="C216" s="55">
        <v>27</v>
      </c>
      <c r="D216" s="55" t="str">
        <f t="shared" si="31"/>
        <v>01937189</v>
      </c>
      <c r="E216" s="55" t="str">
        <f t="shared" si="32"/>
        <v>4401376020001</v>
      </c>
      <c r="F216" s="55" t="b">
        <f t="shared" si="34"/>
        <v>0</v>
      </c>
      <c r="G216" s="139">
        <f t="shared" si="35"/>
        <v>45838</v>
      </c>
      <c r="H216" s="105">
        <f>VLOOKUP( $A216, Aop!$A$2:$P$453, 4, 0)</f>
        <v>281</v>
      </c>
      <c r="I216" s="55">
        <f t="shared" si="33"/>
        <v>2025</v>
      </c>
      <c r="J216" s="55" t="str">
        <f t="shared" ca="1" si="38"/>
        <v/>
      </c>
      <c r="K216" s="55"/>
      <c r="L216" s="55"/>
      <c r="M216" s="55">
        <f t="shared" ca="1" si="37"/>
        <v>0</v>
      </c>
      <c r="N216" s="55">
        <f t="shared" ca="1" si="36"/>
        <v>0</v>
      </c>
    </row>
    <row r="217" spans="1:14">
      <c r="A217" s="105">
        <v>220</v>
      </c>
      <c r="B217" s="105" t="str">
        <f>VLOOKUP( $A217, Aop!$A$2:$P$453, 2, 0)</f>
        <v>BUa</v>
      </c>
      <c r="C217" s="55">
        <v>27</v>
      </c>
      <c r="D217" s="55" t="str">
        <f t="shared" si="31"/>
        <v>01937189</v>
      </c>
      <c r="E217" s="55" t="str">
        <f t="shared" si="32"/>
        <v>4401376020001</v>
      </c>
      <c r="F217" s="55" t="b">
        <f t="shared" si="34"/>
        <v>0</v>
      </c>
      <c r="G217" s="139">
        <f t="shared" si="35"/>
        <v>45838</v>
      </c>
      <c r="H217" s="105">
        <f>VLOOKUP( $A217, Aop!$A$2:$P$453, 4, 0)</f>
        <v>282</v>
      </c>
      <c r="I217" s="55">
        <f t="shared" si="33"/>
        <v>2025</v>
      </c>
      <c r="J217" s="55" t="str">
        <f t="shared" ca="1" si="38"/>
        <v/>
      </c>
      <c r="K217" s="55"/>
      <c r="L217" s="55"/>
      <c r="M217" s="55" t="str">
        <f t="shared" ca="1" si="37"/>
        <v/>
      </c>
      <c r="N217" s="55" t="str">
        <f t="shared" ca="1" si="36"/>
        <v/>
      </c>
    </row>
    <row r="218" spans="1:14">
      <c r="A218" s="105">
        <v>221</v>
      </c>
      <c r="B218" s="55" t="str">
        <f>VLOOKUP( $A218, Aop!$A$2:$P$453, 2, 0)</f>
        <v>BUa</v>
      </c>
      <c r="C218" s="55">
        <v>27</v>
      </c>
      <c r="D218" s="55" t="str">
        <f>Podatak_MB</f>
        <v>01937189</v>
      </c>
      <c r="E218" s="55" t="str">
        <f>Podatak_JIB</f>
        <v>4401376020001</v>
      </c>
      <c r="F218" s="55" t="b">
        <f>Konsolidovan_izvjestaj</f>
        <v>0</v>
      </c>
      <c r="G218" s="139">
        <f>Datum_Broj</f>
        <v>45838</v>
      </c>
      <c r="H218" s="55">
        <f>VLOOKUP( $A218, Aop!$A$2:$P$453, 4, 0)</f>
        <v>283</v>
      </c>
      <c r="I218" s="55">
        <f>Godina</f>
        <v>2025</v>
      </c>
      <c r="J218" s="55" t="str">
        <f t="shared" ca="1" si="38"/>
        <v/>
      </c>
      <c r="K218" s="55"/>
      <c r="L218" s="55"/>
      <c r="M218" s="55" t="str">
        <f t="shared" ca="1" si="37"/>
        <v/>
      </c>
      <c r="N218" s="55" t="str">
        <f t="shared" ca="1" si="36"/>
        <v/>
      </c>
    </row>
    <row r="219" spans="1:14">
      <c r="A219" s="105">
        <v>222</v>
      </c>
      <c r="B219" s="105" t="str">
        <f>VLOOKUP( $A219, Aop!$A$2:$P$453, 2, 0)</f>
        <v>BUa</v>
      </c>
      <c r="C219" s="55">
        <v>27</v>
      </c>
      <c r="D219" s="55" t="str">
        <f t="shared" si="31"/>
        <v>01937189</v>
      </c>
      <c r="E219" s="55" t="str">
        <f t="shared" si="32"/>
        <v>4401376020001</v>
      </c>
      <c r="F219" s="55" t="b">
        <f t="shared" si="34"/>
        <v>0</v>
      </c>
      <c r="G219" s="139">
        <f t="shared" si="35"/>
        <v>45838</v>
      </c>
      <c r="H219" s="105">
        <f>VLOOKUP( $A219, Aop!$A$2:$P$453, 4, 0)</f>
        <v>284</v>
      </c>
      <c r="I219" s="55">
        <f t="shared" si="33"/>
        <v>2025</v>
      </c>
      <c r="J219" s="55" t="str">
        <f t="shared" ca="1" si="38"/>
        <v/>
      </c>
      <c r="K219" s="55"/>
      <c r="L219" s="55"/>
      <c r="M219" s="55" t="str">
        <f t="shared" ca="1" si="37"/>
        <v/>
      </c>
      <c r="N219" s="55" t="str">
        <f t="shared" ca="1" si="36"/>
        <v/>
      </c>
    </row>
    <row r="220" spans="1:14">
      <c r="A220" s="105">
        <v>223</v>
      </c>
      <c r="B220" s="105" t="str">
        <f>VLOOKUP( $A220, Aop!$A$2:$P$453, 2, 0)</f>
        <v>BUa</v>
      </c>
      <c r="C220" s="55">
        <v>27</v>
      </c>
      <c r="D220" s="55" t="str">
        <f t="shared" si="31"/>
        <v>01937189</v>
      </c>
      <c r="E220" s="55" t="str">
        <f t="shared" si="32"/>
        <v>4401376020001</v>
      </c>
      <c r="F220" s="55" t="b">
        <f t="shared" si="34"/>
        <v>0</v>
      </c>
      <c r="G220" s="139">
        <f t="shared" si="35"/>
        <v>45838</v>
      </c>
      <c r="H220" s="105">
        <f>VLOOKUP( $A220, Aop!$A$2:$P$453, 4, 0)</f>
        <v>285</v>
      </c>
      <c r="I220" s="55">
        <f t="shared" si="33"/>
        <v>2025</v>
      </c>
      <c r="J220" s="55" t="str">
        <f t="shared" ca="1" si="38"/>
        <v/>
      </c>
      <c r="K220" s="55"/>
      <c r="L220" s="55"/>
      <c r="M220" s="55" t="str">
        <f t="shared" ca="1" si="37"/>
        <v/>
      </c>
      <c r="N220" s="55" t="str">
        <f t="shared" ca="1" si="36"/>
        <v/>
      </c>
    </row>
    <row r="221" spans="1:14">
      <c r="A221" s="105">
        <v>224</v>
      </c>
      <c r="B221" s="55" t="str">
        <f>VLOOKUP( $A221, Aop!$A$2:$P$453, 2, 0)</f>
        <v>BUa</v>
      </c>
      <c r="C221" s="55">
        <v>27</v>
      </c>
      <c r="D221" s="55" t="str">
        <f>Podatak_MB</f>
        <v>01937189</v>
      </c>
      <c r="E221" s="55" t="str">
        <f>Podatak_JIB</f>
        <v>4401376020001</v>
      </c>
      <c r="F221" s="55" t="b">
        <f>Konsolidovan_izvjestaj</f>
        <v>0</v>
      </c>
      <c r="G221" s="139">
        <f>Datum_Broj</f>
        <v>45838</v>
      </c>
      <c r="H221" s="55">
        <f>VLOOKUP( $A221, Aop!$A$2:$P$453, 4, 0)</f>
        <v>286</v>
      </c>
      <c r="I221" s="55">
        <f>Godina</f>
        <v>2025</v>
      </c>
      <c r="J221" s="55" t="str">
        <f t="shared" ca="1" si="38"/>
        <v/>
      </c>
      <c r="K221" s="55"/>
      <c r="L221" s="55"/>
      <c r="M221" s="55">
        <f t="shared" ca="1" si="37"/>
        <v>0</v>
      </c>
      <c r="N221" s="55">
        <f t="shared" ca="1" si="36"/>
        <v>0</v>
      </c>
    </row>
    <row r="222" spans="1:14">
      <c r="A222" s="105">
        <v>225</v>
      </c>
      <c r="B222" s="105" t="str">
        <f>VLOOKUP( $A222, Aop!$A$2:$P$453, 2, 0)</f>
        <v>BUa</v>
      </c>
      <c r="C222" s="55">
        <v>27</v>
      </c>
      <c r="D222" s="55" t="str">
        <f t="shared" si="31"/>
        <v>01937189</v>
      </c>
      <c r="E222" s="55" t="str">
        <f t="shared" si="32"/>
        <v>4401376020001</v>
      </c>
      <c r="F222" s="55" t="b">
        <f t="shared" si="34"/>
        <v>0</v>
      </c>
      <c r="G222" s="139">
        <f t="shared" si="35"/>
        <v>45838</v>
      </c>
      <c r="H222" s="105">
        <f>VLOOKUP( $A222, Aop!$A$2:$P$453, 4, 0)</f>
        <v>287</v>
      </c>
      <c r="I222" s="55">
        <f t="shared" si="33"/>
        <v>2025</v>
      </c>
      <c r="J222" s="55" t="str">
        <f t="shared" ca="1" si="38"/>
        <v/>
      </c>
      <c r="K222" s="55"/>
      <c r="L222" s="55"/>
      <c r="M222" s="55">
        <f t="shared" ca="1" si="37"/>
        <v>0</v>
      </c>
      <c r="N222" s="55">
        <f t="shared" ca="1" si="36"/>
        <v>0</v>
      </c>
    </row>
    <row r="223" spans="1:14">
      <c r="A223" s="105">
        <v>226</v>
      </c>
      <c r="B223" s="105" t="str">
        <f>VLOOKUP( $A223, Aop!$A$2:$P$453, 2, 0)</f>
        <v>BUa</v>
      </c>
      <c r="C223" s="55">
        <v>27</v>
      </c>
      <c r="D223" s="55" t="str">
        <f t="shared" si="31"/>
        <v>01937189</v>
      </c>
      <c r="E223" s="55" t="str">
        <f t="shared" si="32"/>
        <v>4401376020001</v>
      </c>
      <c r="F223" s="55" t="b">
        <f t="shared" si="34"/>
        <v>0</v>
      </c>
      <c r="G223" s="139">
        <f t="shared" si="35"/>
        <v>45838</v>
      </c>
      <c r="H223" s="105">
        <f>VLOOKUP( $A223, Aop!$A$2:$P$453, 4, 0)</f>
        <v>288</v>
      </c>
      <c r="I223" s="55">
        <f t="shared" si="33"/>
        <v>2025</v>
      </c>
      <c r="J223" s="55" t="str">
        <f t="shared" ca="1" si="38"/>
        <v/>
      </c>
      <c r="K223" s="55"/>
      <c r="L223" s="55"/>
      <c r="M223" s="55" t="str">
        <f t="shared" ca="1" si="37"/>
        <v/>
      </c>
      <c r="N223" s="55" t="str">
        <f t="shared" ca="1" si="36"/>
        <v/>
      </c>
    </row>
    <row r="224" spans="1:14">
      <c r="A224" s="105">
        <v>227</v>
      </c>
      <c r="B224" s="55" t="str">
        <f>VLOOKUP( $A224, Aop!$A$2:$P$453, 2, 0)</f>
        <v>BUa</v>
      </c>
      <c r="C224" s="55">
        <v>27</v>
      </c>
      <c r="D224" s="55" t="str">
        <f>Podatak_MB</f>
        <v>01937189</v>
      </c>
      <c r="E224" s="55" t="str">
        <f>Podatak_JIB</f>
        <v>4401376020001</v>
      </c>
      <c r="F224" s="55" t="b">
        <f>Konsolidovan_izvjestaj</f>
        <v>0</v>
      </c>
      <c r="G224" s="139">
        <f>Datum_Broj</f>
        <v>45838</v>
      </c>
      <c r="H224" s="55">
        <f>VLOOKUP( $A224, Aop!$A$2:$P$453, 4, 0)</f>
        <v>289</v>
      </c>
      <c r="I224" s="55">
        <f>Godina</f>
        <v>2025</v>
      </c>
      <c r="J224" s="55" t="str">
        <f t="shared" ca="1" si="38"/>
        <v/>
      </c>
      <c r="K224" s="55"/>
      <c r="L224" s="55"/>
      <c r="M224" s="55" t="str">
        <f t="shared" ca="1" si="37"/>
        <v/>
      </c>
      <c r="N224" s="55" t="str">
        <f t="shared" ca="1" si="36"/>
        <v/>
      </c>
    </row>
    <row r="225" spans="1:14">
      <c r="A225" s="105">
        <v>228</v>
      </c>
      <c r="B225" s="105" t="str">
        <f>VLOOKUP( $A225, Aop!$A$2:$P$453, 2, 0)</f>
        <v>BUa</v>
      </c>
      <c r="C225" s="55">
        <v>27</v>
      </c>
      <c r="D225" s="55" t="str">
        <f t="shared" si="31"/>
        <v>01937189</v>
      </c>
      <c r="E225" s="55" t="str">
        <f t="shared" si="32"/>
        <v>4401376020001</v>
      </c>
      <c r="F225" s="55" t="b">
        <f t="shared" si="34"/>
        <v>0</v>
      </c>
      <c r="G225" s="139">
        <f t="shared" si="35"/>
        <v>45838</v>
      </c>
      <c r="H225" s="105">
        <f>VLOOKUP( $A225, Aop!$A$2:$P$453, 4, 0)</f>
        <v>290</v>
      </c>
      <c r="I225" s="55">
        <f t="shared" si="33"/>
        <v>2025</v>
      </c>
      <c r="J225" s="55" t="str">
        <f t="shared" ca="1" si="38"/>
        <v/>
      </c>
      <c r="K225" s="55"/>
      <c r="L225" s="55"/>
      <c r="M225" s="55" t="str">
        <f t="shared" ca="1" si="37"/>
        <v/>
      </c>
      <c r="N225" s="55" t="str">
        <f t="shared" ca="1" si="36"/>
        <v/>
      </c>
    </row>
    <row r="226" spans="1:14">
      <c r="A226" s="105">
        <v>229</v>
      </c>
      <c r="B226" s="105" t="str">
        <f>VLOOKUP( $A226, Aop!$A$2:$P$453, 2, 0)</f>
        <v>BUa</v>
      </c>
      <c r="C226" s="55">
        <v>27</v>
      </c>
      <c r="D226" s="55" t="str">
        <f t="shared" si="31"/>
        <v>01937189</v>
      </c>
      <c r="E226" s="55" t="str">
        <f t="shared" si="32"/>
        <v>4401376020001</v>
      </c>
      <c r="F226" s="55" t="b">
        <f t="shared" si="34"/>
        <v>0</v>
      </c>
      <c r="G226" s="139">
        <f t="shared" si="35"/>
        <v>45838</v>
      </c>
      <c r="H226" s="105">
        <f>VLOOKUP( $A226, Aop!$A$2:$P$453, 4, 0)</f>
        <v>291</v>
      </c>
      <c r="I226" s="55">
        <f t="shared" si="33"/>
        <v>2025</v>
      </c>
      <c r="J226" s="55" t="str">
        <f t="shared" ca="1" si="38"/>
        <v/>
      </c>
      <c r="K226" s="55"/>
      <c r="L226" s="55"/>
      <c r="M226" s="55" t="str">
        <f t="shared" ca="1" si="37"/>
        <v/>
      </c>
      <c r="N226" s="55" t="str">
        <f t="shared" ca="1" si="36"/>
        <v/>
      </c>
    </row>
    <row r="227" spans="1:14">
      <c r="A227" s="105">
        <v>230</v>
      </c>
      <c r="B227" s="105" t="str">
        <f>VLOOKUP( $A227, Aop!$A$2:$P$453, 2, 0)</f>
        <v>BUa</v>
      </c>
      <c r="C227" s="55">
        <v>27</v>
      </c>
      <c r="D227" s="55" t="str">
        <f t="shared" si="31"/>
        <v>01937189</v>
      </c>
      <c r="E227" s="55" t="str">
        <f t="shared" si="32"/>
        <v>4401376020001</v>
      </c>
      <c r="F227" s="55" t="b">
        <f t="shared" si="34"/>
        <v>0</v>
      </c>
      <c r="G227" s="139">
        <f t="shared" si="35"/>
        <v>45838</v>
      </c>
      <c r="H227" s="105">
        <f>VLOOKUP( $A227, Aop!$A$2:$P$453, 4, 0)</f>
        <v>292</v>
      </c>
      <c r="I227" s="55">
        <f t="shared" si="33"/>
        <v>2025</v>
      </c>
      <c r="J227" s="55" t="str">
        <f t="shared" ca="1" si="38"/>
        <v/>
      </c>
      <c r="K227" s="55"/>
      <c r="L227" s="55"/>
      <c r="M227" s="55" t="str">
        <f t="shared" ca="1" si="37"/>
        <v/>
      </c>
      <c r="N227" s="55" t="str">
        <f t="shared" ca="1" si="36"/>
        <v/>
      </c>
    </row>
    <row r="228" spans="1:14">
      <c r="A228" s="105">
        <v>231</v>
      </c>
      <c r="B228" s="105" t="str">
        <f>VLOOKUP( $A228, Aop!$A$2:$P$453, 2, 0)</f>
        <v>BUa</v>
      </c>
      <c r="C228" s="55">
        <v>27</v>
      </c>
      <c r="D228" s="55" t="str">
        <f t="shared" si="31"/>
        <v>01937189</v>
      </c>
      <c r="E228" s="55" t="str">
        <f t="shared" si="32"/>
        <v>4401376020001</v>
      </c>
      <c r="F228" s="55" t="b">
        <f t="shared" si="34"/>
        <v>0</v>
      </c>
      <c r="G228" s="139">
        <f t="shared" si="35"/>
        <v>45838</v>
      </c>
      <c r="H228" s="105">
        <f>VLOOKUP( $A228, Aop!$A$2:$P$453, 4, 0)</f>
        <v>293</v>
      </c>
      <c r="I228" s="55">
        <f t="shared" si="33"/>
        <v>2025</v>
      </c>
      <c r="J228" s="55" t="str">
        <f t="shared" ca="1" si="38"/>
        <v/>
      </c>
      <c r="K228" s="55"/>
      <c r="L228" s="55"/>
      <c r="M228" s="55" t="str">
        <f t="shared" ca="1" si="37"/>
        <v/>
      </c>
      <c r="N228" s="55" t="str">
        <f t="shared" ca="1" si="36"/>
        <v/>
      </c>
    </row>
    <row r="229" spans="1:14">
      <c r="A229" s="105">
        <v>233</v>
      </c>
      <c r="B229" s="105" t="str">
        <f>VLOOKUP( $A229, Aop!$A$2:$P$453, 2, 0)</f>
        <v>BUa</v>
      </c>
      <c r="C229" s="55">
        <v>27</v>
      </c>
      <c r="D229" s="55" t="str">
        <f t="shared" si="31"/>
        <v>01937189</v>
      </c>
      <c r="E229" s="55" t="str">
        <f t="shared" si="32"/>
        <v>4401376020001</v>
      </c>
      <c r="F229" s="55" t="b">
        <f t="shared" si="34"/>
        <v>0</v>
      </c>
      <c r="G229" s="139">
        <f t="shared" si="35"/>
        <v>45838</v>
      </c>
      <c r="H229" s="105">
        <f>VLOOKUP( $A229, Aop!$A$2:$P$453, 4, 0)</f>
        <v>295</v>
      </c>
      <c r="I229" s="55">
        <f t="shared" si="33"/>
        <v>2025</v>
      </c>
      <c r="J229" s="55" t="str">
        <f t="shared" ca="1" si="38"/>
        <v/>
      </c>
      <c r="K229" s="55"/>
      <c r="L229" s="55"/>
      <c r="M229" s="55" t="str">
        <f t="shared" ca="1" si="37"/>
        <v/>
      </c>
      <c r="N229" s="55" t="str">
        <f t="shared" ca="1" si="36"/>
        <v/>
      </c>
    </row>
    <row r="230" spans="1:14">
      <c r="A230" s="105">
        <v>234</v>
      </c>
      <c r="B230" s="105" t="str">
        <f>VLOOKUP( $A230, Aop!$A$2:$P$453, 2, 0)</f>
        <v>BUa</v>
      </c>
      <c r="C230" s="55">
        <v>27</v>
      </c>
      <c r="D230" s="55" t="str">
        <f t="shared" si="31"/>
        <v>01937189</v>
      </c>
      <c r="E230" s="55" t="str">
        <f t="shared" si="32"/>
        <v>4401376020001</v>
      </c>
      <c r="F230" s="55" t="b">
        <f t="shared" si="34"/>
        <v>0</v>
      </c>
      <c r="G230" s="139">
        <f t="shared" si="35"/>
        <v>45838</v>
      </c>
      <c r="H230" s="105">
        <f>VLOOKUP( $A230, Aop!$A$2:$P$453, 4, 0)</f>
        <v>296</v>
      </c>
      <c r="I230" s="55">
        <f t="shared" si="33"/>
        <v>2025</v>
      </c>
      <c r="J230" s="55" t="str">
        <f t="shared" ca="1" si="38"/>
        <v/>
      </c>
      <c r="K230" s="55"/>
      <c r="L230" s="55"/>
      <c r="M230" s="55" t="str">
        <f t="shared" ca="1" si="37"/>
        <v/>
      </c>
      <c r="N230" s="55" t="str">
        <f t="shared" ca="1" si="36"/>
        <v/>
      </c>
    </row>
    <row r="231" spans="1:14">
      <c r="A231" s="105">
        <v>236</v>
      </c>
      <c r="B231" s="105" t="str">
        <f>VLOOKUP( $A231, Aop!$A$2:$P$453, 2, 0)</f>
        <v>BUa</v>
      </c>
      <c r="C231" s="55">
        <v>27</v>
      </c>
      <c r="D231" s="55" t="str">
        <f t="shared" si="31"/>
        <v>01937189</v>
      </c>
      <c r="E231" s="55" t="str">
        <f t="shared" si="32"/>
        <v>4401376020001</v>
      </c>
      <c r="F231" s="55" t="b">
        <f t="shared" si="34"/>
        <v>0</v>
      </c>
      <c r="G231" s="139">
        <f t="shared" si="35"/>
        <v>45838</v>
      </c>
      <c r="H231" s="105">
        <f>VLOOKUP( $A231, Aop!$A$2:$P$453, 4, 0)</f>
        <v>298</v>
      </c>
      <c r="I231" s="55">
        <f t="shared" si="33"/>
        <v>2025</v>
      </c>
      <c r="J231" s="55" t="str">
        <f t="shared" ca="1" si="38"/>
        <v/>
      </c>
      <c r="K231" s="55"/>
      <c r="L231" s="55"/>
      <c r="M231" s="55" t="str">
        <f t="shared" ca="1" si="37"/>
        <v/>
      </c>
      <c r="N231" s="55" t="str">
        <f t="shared" ca="1" si="36"/>
        <v/>
      </c>
    </row>
    <row r="232" spans="1:14">
      <c r="A232" s="105">
        <v>237</v>
      </c>
      <c r="B232" s="105" t="str">
        <f>VLOOKUP( $A232, Aop!$A$2:$P$453, 2, 0)</f>
        <v>BUa</v>
      </c>
      <c r="C232" s="55">
        <v>27</v>
      </c>
      <c r="D232" s="55" t="str">
        <f t="shared" si="31"/>
        <v>01937189</v>
      </c>
      <c r="E232" s="55" t="str">
        <f t="shared" si="32"/>
        <v>4401376020001</v>
      </c>
      <c r="F232" s="55" t="b">
        <f t="shared" si="34"/>
        <v>0</v>
      </c>
      <c r="G232" s="139">
        <f t="shared" si="35"/>
        <v>45838</v>
      </c>
      <c r="H232" s="105">
        <f>VLOOKUP( $A232, Aop!$A$2:$P$453, 4, 0)</f>
        <v>299</v>
      </c>
      <c r="I232" s="55">
        <f t="shared" si="33"/>
        <v>2025</v>
      </c>
      <c r="J232" s="55" t="str">
        <f t="shared" ca="1" si="38"/>
        <v/>
      </c>
      <c r="K232" s="55"/>
      <c r="L232" s="55"/>
      <c r="M232" s="55">
        <f t="shared" ca="1" si="37"/>
        <v>0</v>
      </c>
      <c r="N232" s="55">
        <f t="shared" ca="1" si="36"/>
        <v>0</v>
      </c>
    </row>
    <row r="233" spans="1:14">
      <c r="A233" s="105">
        <v>238</v>
      </c>
      <c r="B233" s="105" t="str">
        <f>VLOOKUP( $A233, Aop!$A$2:$P$453, 2, 0)</f>
        <v>BUa</v>
      </c>
      <c r="C233" s="55">
        <v>27</v>
      </c>
      <c r="D233" s="55" t="str">
        <f t="shared" si="31"/>
        <v>01937189</v>
      </c>
      <c r="E233" s="55" t="str">
        <f t="shared" si="32"/>
        <v>4401376020001</v>
      </c>
      <c r="F233" s="55" t="b">
        <f t="shared" si="34"/>
        <v>0</v>
      </c>
      <c r="G233" s="139">
        <f t="shared" si="35"/>
        <v>45838</v>
      </c>
      <c r="H233" s="105">
        <f>VLOOKUP( $A233, Aop!$A$2:$P$453, 4, 0)</f>
        <v>300</v>
      </c>
      <c r="I233" s="55">
        <f t="shared" si="33"/>
        <v>2025</v>
      </c>
      <c r="J233" s="55" t="str">
        <f t="shared" ca="1" si="38"/>
        <v/>
      </c>
      <c r="K233" s="55"/>
      <c r="L233" s="55"/>
      <c r="M233" s="55">
        <f t="shared" ca="1" si="37"/>
        <v>0</v>
      </c>
      <c r="N233" s="55">
        <f t="shared" ca="1" si="36"/>
        <v>0</v>
      </c>
    </row>
    <row r="234" spans="1:14">
      <c r="A234" s="105">
        <v>240</v>
      </c>
      <c r="B234" s="105" t="str">
        <f>VLOOKUP( $A234, Aop!$A$2:$P$453, 2, 0)</f>
        <v>BUa</v>
      </c>
      <c r="C234" s="55">
        <v>27</v>
      </c>
      <c r="D234" s="55" t="str">
        <f t="shared" si="31"/>
        <v>01937189</v>
      </c>
      <c r="E234" s="55" t="str">
        <f t="shared" si="32"/>
        <v>4401376020001</v>
      </c>
      <c r="F234" s="55" t="b">
        <f t="shared" si="34"/>
        <v>0</v>
      </c>
      <c r="G234" s="139">
        <f t="shared" si="35"/>
        <v>45838</v>
      </c>
      <c r="H234" s="105">
        <f>VLOOKUP( $A234, Aop!$A$2:$P$453, 4, 0)</f>
        <v>302</v>
      </c>
      <c r="I234" s="55">
        <f t="shared" si="33"/>
        <v>2025</v>
      </c>
      <c r="J234" s="55" t="str">
        <f t="shared" ca="1" si="38"/>
        <v/>
      </c>
      <c r="K234" s="55"/>
      <c r="L234" s="55"/>
      <c r="M234" s="55" t="str">
        <f t="shared" ca="1" si="37"/>
        <v/>
      </c>
      <c r="N234" s="55" t="str">
        <f t="shared" ca="1" si="36"/>
        <v/>
      </c>
    </row>
    <row r="235" spans="1:14">
      <c r="A235" s="105">
        <v>241</v>
      </c>
      <c r="B235" s="105" t="str">
        <f>VLOOKUP( $A235, Aop!$A$2:$P$453, 2, 0)</f>
        <v>BUa</v>
      </c>
      <c r="C235" s="55">
        <v>27</v>
      </c>
      <c r="D235" s="55" t="str">
        <f t="shared" si="31"/>
        <v>01937189</v>
      </c>
      <c r="E235" s="55" t="str">
        <f t="shared" si="32"/>
        <v>4401376020001</v>
      </c>
      <c r="F235" s="55" t="b">
        <f t="shared" si="34"/>
        <v>0</v>
      </c>
      <c r="G235" s="139">
        <f t="shared" si="35"/>
        <v>45838</v>
      </c>
      <c r="H235" s="105">
        <f>VLOOKUP( $A235, Aop!$A$2:$P$453, 4, 0)</f>
        <v>303</v>
      </c>
      <c r="I235" s="55">
        <f t="shared" si="33"/>
        <v>2025</v>
      </c>
      <c r="J235" s="55" t="str">
        <f t="shared" ca="1" si="38"/>
        <v/>
      </c>
      <c r="K235" s="55"/>
      <c r="L235" s="55"/>
      <c r="M235" s="55" t="str">
        <f t="shared" ca="1" si="37"/>
        <v/>
      </c>
      <c r="N235" s="55" t="str">
        <f t="shared" ca="1" si="36"/>
        <v/>
      </c>
    </row>
    <row r="236" spans="1:14">
      <c r="A236" s="105">
        <v>242</v>
      </c>
      <c r="B236" s="105" t="str">
        <f>VLOOKUP( $A236, Aop!$A$2:$P$453, 2, 0)</f>
        <v>BUa</v>
      </c>
      <c r="C236" s="55">
        <v>27</v>
      </c>
      <c r="D236" s="55" t="str">
        <f t="shared" si="31"/>
        <v>01937189</v>
      </c>
      <c r="E236" s="55" t="str">
        <f t="shared" si="32"/>
        <v>4401376020001</v>
      </c>
      <c r="F236" s="55" t="b">
        <f t="shared" si="34"/>
        <v>0</v>
      </c>
      <c r="G236" s="139">
        <f t="shared" si="35"/>
        <v>45838</v>
      </c>
      <c r="H236" s="105">
        <f>VLOOKUP( $A236, Aop!$A$2:$P$453, 4, 0)</f>
        <v>304</v>
      </c>
      <c r="I236" s="55">
        <f t="shared" si="33"/>
        <v>2025</v>
      </c>
      <c r="J236" s="55" t="str">
        <f t="shared" ca="1" si="38"/>
        <v/>
      </c>
      <c r="K236" s="55"/>
      <c r="L236" s="55"/>
      <c r="M236" s="55" t="str">
        <f t="shared" ca="1" si="37"/>
        <v/>
      </c>
      <c r="N236" s="55" t="str">
        <f t="shared" ca="1" si="36"/>
        <v/>
      </c>
    </row>
    <row r="237" spans="1:14">
      <c r="A237" s="105">
        <v>243</v>
      </c>
      <c r="B237" s="105" t="str">
        <f>VLOOKUP( $A237, Aop!$A$2:$P$453, 2, 0)</f>
        <v>BUa</v>
      </c>
      <c r="C237" s="55">
        <v>27</v>
      </c>
      <c r="D237" s="55" t="str">
        <f t="shared" si="31"/>
        <v>01937189</v>
      </c>
      <c r="E237" s="55" t="str">
        <f t="shared" si="32"/>
        <v>4401376020001</v>
      </c>
      <c r="F237" s="55" t="b">
        <f t="shared" si="34"/>
        <v>0</v>
      </c>
      <c r="G237" s="139">
        <f t="shared" si="35"/>
        <v>45838</v>
      </c>
      <c r="H237" s="105">
        <f>VLOOKUP( $A237, Aop!$A$2:$P$453, 4, 0)</f>
        <v>305</v>
      </c>
      <c r="I237" s="55">
        <f t="shared" si="33"/>
        <v>2025</v>
      </c>
      <c r="J237" s="55" t="str">
        <f t="shared" ca="1" si="38"/>
        <v/>
      </c>
      <c r="K237" s="55"/>
      <c r="L237" s="55"/>
      <c r="M237" s="55">
        <f t="shared" ca="1" si="37"/>
        <v>555036</v>
      </c>
      <c r="N237" s="55">
        <f t="shared" ca="1" si="36"/>
        <v>555036</v>
      </c>
    </row>
    <row r="238" spans="1:14">
      <c r="A238" s="105">
        <v>244</v>
      </c>
      <c r="B238" s="105" t="str">
        <f>VLOOKUP( $A238, Aop!$A$2:$P$453, 2, 0)</f>
        <v>BUa</v>
      </c>
      <c r="C238" s="55">
        <v>27</v>
      </c>
      <c r="D238" s="55" t="str">
        <f t="shared" si="31"/>
        <v>01937189</v>
      </c>
      <c r="E238" s="55" t="str">
        <f t="shared" si="32"/>
        <v>4401376020001</v>
      </c>
      <c r="F238" s="55" t="b">
        <f t="shared" si="34"/>
        <v>0</v>
      </c>
      <c r="G238" s="139">
        <f t="shared" si="35"/>
        <v>45838</v>
      </c>
      <c r="H238" s="105">
        <f>VLOOKUP( $A238, Aop!$A$2:$P$453, 4, 0)</f>
        <v>306</v>
      </c>
      <c r="I238" s="55">
        <f t="shared" si="33"/>
        <v>2025</v>
      </c>
      <c r="J238" s="55" t="str">
        <f t="shared" ca="1" si="38"/>
        <v/>
      </c>
      <c r="K238" s="55"/>
      <c r="L238" s="55"/>
      <c r="M238" s="55">
        <f t="shared" ca="1" si="37"/>
        <v>302412</v>
      </c>
      <c r="N238" s="55">
        <f t="shared" ca="1" si="36"/>
        <v>302412</v>
      </c>
    </row>
    <row r="239" spans="1:14">
      <c r="A239" s="105">
        <v>245</v>
      </c>
      <c r="B239" s="105" t="str">
        <f>VLOOKUP( $A239, Aop!$A$2:$P$453, 2, 0)</f>
        <v>BUa</v>
      </c>
      <c r="C239" s="55">
        <v>27</v>
      </c>
      <c r="D239" s="55" t="str">
        <f t="shared" si="31"/>
        <v>01937189</v>
      </c>
      <c r="E239" s="55" t="str">
        <f t="shared" si="32"/>
        <v>4401376020001</v>
      </c>
      <c r="F239" s="55" t="b">
        <f t="shared" si="34"/>
        <v>0</v>
      </c>
      <c r="G239" s="139">
        <f t="shared" si="35"/>
        <v>45838</v>
      </c>
      <c r="H239" s="105">
        <f>VLOOKUP( $A239, Aop!$A$2:$P$453, 4, 0)</f>
        <v>307</v>
      </c>
      <c r="I239" s="55">
        <f t="shared" si="33"/>
        <v>2025</v>
      </c>
      <c r="J239" s="55" t="str">
        <f t="shared" ca="1" si="38"/>
        <v/>
      </c>
      <c r="K239" s="55"/>
      <c r="L239" s="55"/>
      <c r="M239" s="55">
        <f t="shared" ca="1" si="37"/>
        <v>252624</v>
      </c>
      <c r="N239" s="55">
        <f t="shared" ca="1" si="36"/>
        <v>252624</v>
      </c>
    </row>
    <row r="240" spans="1:14">
      <c r="A240" s="105">
        <v>246</v>
      </c>
      <c r="B240" s="105" t="str">
        <f>VLOOKUP( $A240, Aop!$A$2:$P$453, 2, 0)</f>
        <v>BUa</v>
      </c>
      <c r="C240" s="55">
        <v>27</v>
      </c>
      <c r="D240" s="55" t="str">
        <f t="shared" si="31"/>
        <v>01937189</v>
      </c>
      <c r="E240" s="55" t="str">
        <f t="shared" si="32"/>
        <v>4401376020001</v>
      </c>
      <c r="F240" s="55" t="b">
        <f t="shared" si="34"/>
        <v>0</v>
      </c>
      <c r="G240" s="139">
        <f t="shared" si="35"/>
        <v>45838</v>
      </c>
      <c r="H240" s="105">
        <f>VLOOKUP( $A240, Aop!$A$2:$P$453, 4, 0)</f>
        <v>308</v>
      </c>
      <c r="I240" s="55">
        <f t="shared" si="33"/>
        <v>2025</v>
      </c>
      <c r="J240" s="55" t="str">
        <f t="shared" ca="1" si="38"/>
        <v/>
      </c>
      <c r="K240" s="55"/>
      <c r="L240" s="55"/>
      <c r="M240" s="55">
        <f t="shared" ca="1" si="37"/>
        <v>0</v>
      </c>
      <c r="N240" s="55">
        <f t="shared" ca="1" si="36"/>
        <v>0</v>
      </c>
    </row>
    <row r="241" spans="1:14">
      <c r="A241" s="105">
        <v>247</v>
      </c>
      <c r="B241" s="105" t="str">
        <f>VLOOKUP( $A241, Aop!$A$2:$P$453, 2, 0)</f>
        <v>BUa</v>
      </c>
      <c r="C241" s="55">
        <v>27</v>
      </c>
      <c r="D241" s="55" t="str">
        <f t="shared" si="31"/>
        <v>01937189</v>
      </c>
      <c r="E241" s="55" t="str">
        <f t="shared" si="32"/>
        <v>4401376020001</v>
      </c>
      <c r="F241" s="55" t="b">
        <f t="shared" si="34"/>
        <v>0</v>
      </c>
      <c r="G241" s="139">
        <f t="shared" si="35"/>
        <v>45838</v>
      </c>
      <c r="H241" s="105">
        <f>VLOOKUP( $A241, Aop!$A$2:$P$453, 4, 0)</f>
        <v>309</v>
      </c>
      <c r="I241" s="55">
        <f t="shared" si="33"/>
        <v>2025</v>
      </c>
      <c r="J241" s="55" t="str">
        <f t="shared" ca="1" si="38"/>
        <v/>
      </c>
      <c r="K241" s="55"/>
      <c r="L241" s="55"/>
      <c r="M241" s="55" t="str">
        <f t="shared" ca="1" si="37"/>
        <v/>
      </c>
      <c r="N241" s="55" t="str">
        <f t="shared" ca="1" si="36"/>
        <v/>
      </c>
    </row>
    <row r="242" spans="1:14">
      <c r="A242" s="105">
        <v>248</v>
      </c>
      <c r="B242" s="105" t="str">
        <f>VLOOKUP( $A242, Aop!$A$2:$P$453, 2, 0)</f>
        <v>BUa</v>
      </c>
      <c r="C242" s="55">
        <v>27</v>
      </c>
      <c r="D242" s="55" t="str">
        <f t="shared" si="31"/>
        <v>01937189</v>
      </c>
      <c r="E242" s="55" t="str">
        <f t="shared" si="32"/>
        <v>4401376020001</v>
      </c>
      <c r="F242" s="55" t="b">
        <f t="shared" si="34"/>
        <v>0</v>
      </c>
      <c r="G242" s="139">
        <f t="shared" si="35"/>
        <v>45838</v>
      </c>
      <c r="H242" s="105">
        <f>VLOOKUP( $A242, Aop!$A$2:$P$453, 4, 0)</f>
        <v>310</v>
      </c>
      <c r="I242" s="55">
        <f t="shared" si="33"/>
        <v>2025</v>
      </c>
      <c r="J242" s="55" t="str">
        <f t="shared" ca="1" si="38"/>
        <v/>
      </c>
      <c r="K242" s="55"/>
      <c r="L242" s="55"/>
      <c r="M242" s="55">
        <f t="shared" ca="1" si="37"/>
        <v>0</v>
      </c>
      <c r="N242" s="55">
        <f t="shared" ca="1" si="36"/>
        <v>0</v>
      </c>
    </row>
    <row r="243" spans="1:14">
      <c r="A243" s="105">
        <v>249</v>
      </c>
      <c r="B243" s="105" t="str">
        <f>VLOOKUP( $A243, Aop!$A$2:$P$453, 2, 0)</f>
        <v>BUa</v>
      </c>
      <c r="C243" s="55">
        <v>27</v>
      </c>
      <c r="D243" s="55" t="str">
        <f t="shared" si="31"/>
        <v>01937189</v>
      </c>
      <c r="E243" s="55" t="str">
        <f t="shared" si="32"/>
        <v>4401376020001</v>
      </c>
      <c r="F243" s="55" t="b">
        <f t="shared" si="34"/>
        <v>0</v>
      </c>
      <c r="G243" s="139">
        <f t="shared" si="35"/>
        <v>45838</v>
      </c>
      <c r="H243" s="105">
        <f>VLOOKUP( $A243, Aop!$A$2:$P$453, 4, 0)</f>
        <v>311</v>
      </c>
      <c r="I243" s="55">
        <f t="shared" si="33"/>
        <v>2025</v>
      </c>
      <c r="J243" s="55" t="str">
        <f t="shared" ca="1" si="38"/>
        <v/>
      </c>
      <c r="K243" s="55"/>
      <c r="L243" s="55"/>
      <c r="M243" s="55" t="str">
        <f t="shared" ca="1" si="37"/>
        <v/>
      </c>
      <c r="N243" s="55" t="str">
        <f t="shared" ca="1" si="36"/>
        <v/>
      </c>
    </row>
    <row r="244" spans="1:14">
      <c r="A244" s="105">
        <v>250</v>
      </c>
      <c r="B244" s="105" t="str">
        <f>VLOOKUP( $A244, Aop!$A$2:$P$453, 2, 0)</f>
        <v>BUa</v>
      </c>
      <c r="C244" s="55">
        <v>27</v>
      </c>
      <c r="D244" s="55" t="str">
        <f t="shared" si="31"/>
        <v>01937189</v>
      </c>
      <c r="E244" s="55" t="str">
        <f t="shared" si="32"/>
        <v>4401376020001</v>
      </c>
      <c r="F244" s="55" t="b">
        <f t="shared" si="34"/>
        <v>0</v>
      </c>
      <c r="G244" s="139">
        <f t="shared" si="35"/>
        <v>45838</v>
      </c>
      <c r="H244" s="105">
        <f>VLOOKUP( $A244, Aop!$A$2:$P$453, 4, 0)</f>
        <v>312</v>
      </c>
      <c r="I244" s="55">
        <f t="shared" si="33"/>
        <v>2025</v>
      </c>
      <c r="J244" s="55" t="str">
        <f t="shared" ca="1" si="38"/>
        <v/>
      </c>
      <c r="K244" s="55"/>
      <c r="L244" s="55"/>
      <c r="M244" s="55" t="str">
        <f t="shared" ca="1" si="37"/>
        <v/>
      </c>
      <c r="N244" s="55" t="str">
        <f t="shared" ca="1" si="36"/>
        <v/>
      </c>
    </row>
    <row r="245" spans="1:14">
      <c r="A245" s="105">
        <v>251</v>
      </c>
      <c r="B245" s="105" t="str">
        <f>VLOOKUP( $A245, Aop!$A$2:$P$453, 2, 0)</f>
        <v>BUa</v>
      </c>
      <c r="C245" s="55">
        <v>27</v>
      </c>
      <c r="D245" s="55" t="str">
        <f t="shared" si="31"/>
        <v>01937189</v>
      </c>
      <c r="E245" s="55" t="str">
        <f t="shared" si="32"/>
        <v>4401376020001</v>
      </c>
      <c r="F245" s="55" t="b">
        <f t="shared" si="34"/>
        <v>0</v>
      </c>
      <c r="G245" s="139">
        <f t="shared" si="35"/>
        <v>45838</v>
      </c>
      <c r="H245" s="105">
        <f>VLOOKUP( $A245, Aop!$A$2:$P$453, 4, 0)</f>
        <v>313</v>
      </c>
      <c r="I245" s="55">
        <f t="shared" si="33"/>
        <v>2025</v>
      </c>
      <c r="J245" s="55" t="str">
        <f t="shared" ca="1" si="38"/>
        <v/>
      </c>
      <c r="K245" s="55"/>
      <c r="L245" s="55"/>
      <c r="M245" s="55">
        <f t="shared" ca="1" si="37"/>
        <v>0</v>
      </c>
      <c r="N245" s="55">
        <f t="shared" ca="1" si="36"/>
        <v>0</v>
      </c>
    </row>
    <row r="246" spans="1:14">
      <c r="A246" s="105">
        <v>252</v>
      </c>
      <c r="B246" s="105" t="str">
        <f>VLOOKUP( $A246, Aop!$A$2:$P$453, 2, 0)</f>
        <v>BUa</v>
      </c>
      <c r="C246" s="55">
        <v>27</v>
      </c>
      <c r="D246" s="55" t="str">
        <f t="shared" si="31"/>
        <v>01937189</v>
      </c>
      <c r="E246" s="55" t="str">
        <f t="shared" si="32"/>
        <v>4401376020001</v>
      </c>
      <c r="F246" s="55" t="b">
        <f t="shared" si="34"/>
        <v>0</v>
      </c>
      <c r="G246" s="139">
        <f t="shared" si="35"/>
        <v>45838</v>
      </c>
      <c r="H246" s="105">
        <f>VLOOKUP( $A246, Aop!$A$2:$P$453, 4, 0)</f>
        <v>314</v>
      </c>
      <c r="I246" s="55">
        <f t="shared" si="33"/>
        <v>2025</v>
      </c>
      <c r="J246" s="55" t="str">
        <f t="shared" ca="1" si="38"/>
        <v/>
      </c>
      <c r="K246" s="55"/>
      <c r="L246" s="55"/>
      <c r="M246" s="55" t="str">
        <f t="shared" ca="1" si="37"/>
        <v/>
      </c>
      <c r="N246" s="55" t="str">
        <f t="shared" ca="1" si="36"/>
        <v/>
      </c>
    </row>
    <row r="247" spans="1:14">
      <c r="A247" s="105">
        <v>253</v>
      </c>
      <c r="B247" s="105" t="str">
        <f>VLOOKUP( $A247, Aop!$A$2:$P$453, 2, 0)</f>
        <v>BUa</v>
      </c>
      <c r="C247" s="55">
        <v>27</v>
      </c>
      <c r="D247" s="55" t="str">
        <f t="shared" si="31"/>
        <v>01937189</v>
      </c>
      <c r="E247" s="55" t="str">
        <f t="shared" si="32"/>
        <v>4401376020001</v>
      </c>
      <c r="F247" s="55" t="b">
        <f t="shared" si="34"/>
        <v>0</v>
      </c>
      <c r="G247" s="139">
        <f t="shared" si="35"/>
        <v>45838</v>
      </c>
      <c r="H247" s="105">
        <f>VLOOKUP( $A247, Aop!$A$2:$P$453, 4, 0)</f>
        <v>315</v>
      </c>
      <c r="I247" s="55">
        <f t="shared" si="33"/>
        <v>2025</v>
      </c>
      <c r="J247" s="55" t="str">
        <f t="shared" ca="1" si="38"/>
        <v/>
      </c>
      <c r="K247" s="55"/>
      <c r="L247" s="55"/>
      <c r="M247" s="55" t="str">
        <f t="shared" ca="1" si="37"/>
        <v/>
      </c>
      <c r="N247" s="55" t="str">
        <f t="shared" ca="1" si="36"/>
        <v/>
      </c>
    </row>
    <row r="248" spans="1:14">
      <c r="A248" s="105">
        <v>254</v>
      </c>
      <c r="B248" s="55" t="str">
        <f>VLOOKUP( $A248, Aop!$A$2:$P$453, 2, 0)</f>
        <v>BUa</v>
      </c>
      <c r="C248" s="55">
        <v>27</v>
      </c>
      <c r="D248" s="55" t="str">
        <f>Podatak_MB</f>
        <v>01937189</v>
      </c>
      <c r="E248" s="55" t="str">
        <f>Podatak_JIB</f>
        <v>4401376020001</v>
      </c>
      <c r="F248" s="55" t="b">
        <f>Konsolidovan_izvjestaj</f>
        <v>0</v>
      </c>
      <c r="G248" s="139">
        <f>Datum_Broj</f>
        <v>45838</v>
      </c>
      <c r="H248" s="55">
        <f>VLOOKUP( $A248, Aop!$A$2:$P$453, 4, 0)</f>
        <v>316</v>
      </c>
      <c r="I248" s="55">
        <f>Godina</f>
        <v>2025</v>
      </c>
      <c r="J248" s="55" t="str">
        <f t="shared" ca="1" si="38"/>
        <v/>
      </c>
      <c r="K248" s="55"/>
      <c r="L248" s="55"/>
      <c r="M248" s="55">
        <f t="shared" ca="1" si="37"/>
        <v>252624</v>
      </c>
      <c r="N248" s="55">
        <f t="shared" ca="1" si="36"/>
        <v>252624</v>
      </c>
    </row>
    <row r="249" spans="1:14">
      <c r="A249" s="105">
        <v>255</v>
      </c>
      <c r="B249" s="105" t="str">
        <f>VLOOKUP( $A249, Aop!$A$2:$P$453, 2, 0)</f>
        <v>BUa</v>
      </c>
      <c r="C249" s="55">
        <v>27</v>
      </c>
      <c r="D249" s="55" t="str">
        <f t="shared" si="31"/>
        <v>01937189</v>
      </c>
      <c r="E249" s="55" t="str">
        <f t="shared" si="32"/>
        <v>4401376020001</v>
      </c>
      <c r="F249" s="55" t="b">
        <f t="shared" si="34"/>
        <v>0</v>
      </c>
      <c r="G249" s="139">
        <f t="shared" si="35"/>
        <v>45838</v>
      </c>
      <c r="H249" s="105">
        <f>VLOOKUP( $A249, Aop!$A$2:$P$453, 4, 0)</f>
        <v>317</v>
      </c>
      <c r="I249" s="55">
        <f t="shared" si="33"/>
        <v>2025</v>
      </c>
      <c r="J249" s="55" t="str">
        <f t="shared" ca="1" si="38"/>
        <v/>
      </c>
      <c r="K249" s="55"/>
      <c r="L249" s="55"/>
      <c r="M249" s="55">
        <f t="shared" ca="1" si="37"/>
        <v>0</v>
      </c>
      <c r="N249" s="55">
        <f t="shared" ca="1" si="36"/>
        <v>0</v>
      </c>
    </row>
    <row r="250" spans="1:14">
      <c r="A250" s="105">
        <v>256</v>
      </c>
      <c r="B250" s="105" t="str">
        <f>VLOOKUP( $A250, Aop!$A$2:$P$453, 2, 0)</f>
        <v>BUa</v>
      </c>
      <c r="C250" s="55">
        <v>27</v>
      </c>
      <c r="D250" s="55" t="str">
        <f t="shared" si="31"/>
        <v>01937189</v>
      </c>
      <c r="E250" s="55" t="str">
        <f t="shared" si="32"/>
        <v>4401376020001</v>
      </c>
      <c r="F250" s="55" t="b">
        <f t="shared" si="34"/>
        <v>0</v>
      </c>
      <c r="G250" s="139">
        <f t="shared" si="35"/>
        <v>45838</v>
      </c>
      <c r="H250" s="105">
        <f>VLOOKUP( $A250, Aop!$A$2:$P$453, 4, 0)</f>
        <v>318</v>
      </c>
      <c r="I250" s="55">
        <f t="shared" si="33"/>
        <v>2025</v>
      </c>
      <c r="J250" s="55" t="str">
        <f t="shared" ca="1" si="38"/>
        <v/>
      </c>
      <c r="K250" s="55"/>
      <c r="L250" s="55"/>
      <c r="M250" s="55" t="str">
        <f t="shared" ca="1" si="37"/>
        <v/>
      </c>
      <c r="N250" s="55" t="str">
        <f t="shared" ca="1" si="36"/>
        <v/>
      </c>
    </row>
    <row r="251" spans="1:14">
      <c r="A251" s="105">
        <v>257</v>
      </c>
      <c r="B251" s="55" t="str">
        <f>VLOOKUP( $A251, Aop!$A$2:$P$453, 2, 0)</f>
        <v>BUa</v>
      </c>
      <c r="C251" s="55">
        <v>27</v>
      </c>
      <c r="D251" s="55" t="str">
        <f>Podatak_MB</f>
        <v>01937189</v>
      </c>
      <c r="E251" s="55" t="str">
        <f>Podatak_JIB</f>
        <v>4401376020001</v>
      </c>
      <c r="F251" s="55" t="b">
        <f>Konsolidovan_izvjestaj</f>
        <v>0</v>
      </c>
      <c r="G251" s="139">
        <f>Datum_Broj</f>
        <v>45838</v>
      </c>
      <c r="H251" s="55">
        <f>VLOOKUP( $A251, Aop!$A$2:$P$453, 4, 0)</f>
        <v>319</v>
      </c>
      <c r="I251" s="55">
        <f>Godina</f>
        <v>2025</v>
      </c>
      <c r="J251" s="55" t="str">
        <f t="shared" ca="1" si="38"/>
        <v/>
      </c>
      <c r="K251" s="55"/>
      <c r="L251" s="55"/>
      <c r="M251" s="55" t="str">
        <f t="shared" ca="1" si="37"/>
        <v/>
      </c>
      <c r="N251" s="55" t="str">
        <f t="shared" ca="1" si="36"/>
        <v/>
      </c>
    </row>
    <row r="252" spans="1:14">
      <c r="A252" s="105">
        <v>258</v>
      </c>
      <c r="B252" s="105" t="str">
        <f>VLOOKUP( $A252, Aop!$A$2:$P$453, 2, 0)</f>
        <v>BUa</v>
      </c>
      <c r="C252" s="55">
        <v>27</v>
      </c>
      <c r="D252" s="55" t="str">
        <f t="shared" si="31"/>
        <v>01937189</v>
      </c>
      <c r="E252" s="55" t="str">
        <f t="shared" si="32"/>
        <v>4401376020001</v>
      </c>
      <c r="F252" s="55" t="b">
        <f t="shared" si="34"/>
        <v>0</v>
      </c>
      <c r="G252" s="139">
        <f t="shared" si="35"/>
        <v>45838</v>
      </c>
      <c r="H252" s="105">
        <f>VLOOKUP( $A252, Aop!$A$2:$P$453, 4, 0)</f>
        <v>320</v>
      </c>
      <c r="I252" s="55">
        <f t="shared" si="33"/>
        <v>2025</v>
      </c>
      <c r="J252" s="55" t="str">
        <f t="shared" ca="1" si="38"/>
        <v/>
      </c>
      <c r="K252" s="55"/>
      <c r="L252" s="55"/>
      <c r="M252" s="55" t="str">
        <f t="shared" ca="1" si="37"/>
        <v/>
      </c>
      <c r="N252" s="55" t="str">
        <f t="shared" ca="1" si="36"/>
        <v/>
      </c>
    </row>
    <row r="253" spans="1:14">
      <c r="A253" s="105">
        <v>259</v>
      </c>
      <c r="B253" s="105" t="str">
        <f>VLOOKUP( $A253, Aop!$A$2:$P$453, 2, 0)</f>
        <v>BUa</v>
      </c>
      <c r="C253" s="55">
        <v>27</v>
      </c>
      <c r="D253" s="55" t="str">
        <f t="shared" ref="D253:D310" si="39">Podatak_MB</f>
        <v>01937189</v>
      </c>
      <c r="E253" s="55" t="str">
        <f t="shared" ref="E253:E310" si="40">Podatak_JIB</f>
        <v>4401376020001</v>
      </c>
      <c r="F253" s="55" t="b">
        <f t="shared" si="34"/>
        <v>0</v>
      </c>
      <c r="G253" s="139">
        <f t="shared" si="35"/>
        <v>45838</v>
      </c>
      <c r="H253" s="105">
        <f>VLOOKUP( $A253, Aop!$A$2:$P$453, 4, 0)</f>
        <v>321</v>
      </c>
      <c r="I253" s="55">
        <f t="shared" ref="I253:I310" si="41">Godina</f>
        <v>2025</v>
      </c>
      <c r="J253" s="55" t="str">
        <f t="shared" ca="1" si="38"/>
        <v/>
      </c>
      <c r="K253" s="55"/>
      <c r="L253" s="55"/>
      <c r="M253" s="55" t="str">
        <f t="shared" ca="1" si="37"/>
        <v/>
      </c>
      <c r="N253" s="55" t="str">
        <f t="shared" ca="1" si="36"/>
        <v/>
      </c>
    </row>
    <row r="254" spans="1:14">
      <c r="A254" s="105">
        <v>260</v>
      </c>
      <c r="B254" s="105" t="str">
        <f>VLOOKUP( $A254, Aop!$A$2:$P$453, 2, 0)</f>
        <v>BUa</v>
      </c>
      <c r="C254" s="55">
        <v>27</v>
      </c>
      <c r="D254" s="55" t="str">
        <f t="shared" si="39"/>
        <v>01937189</v>
      </c>
      <c r="E254" s="55" t="str">
        <f t="shared" si="40"/>
        <v>4401376020001</v>
      </c>
      <c r="F254" s="55" t="b">
        <f t="shared" ref="F254:F311" si="42">Konsolidovan_izvjestaj</f>
        <v>0</v>
      </c>
      <c r="G254" s="139">
        <f t="shared" ref="G254:G311" si="43">Datum_Broj</f>
        <v>45838</v>
      </c>
      <c r="H254" s="105">
        <f>VLOOKUP( $A254, Aop!$A$2:$P$453, 4, 0)</f>
        <v>322</v>
      </c>
      <c r="I254" s="55">
        <f t="shared" si="41"/>
        <v>2025</v>
      </c>
      <c r="J254" s="55" t="str">
        <f t="shared" ca="1" si="38"/>
        <v/>
      </c>
      <c r="K254" s="55"/>
      <c r="L254" s="55"/>
      <c r="M254" s="55" t="str">
        <f t="shared" ca="1" si="37"/>
        <v/>
      </c>
      <c r="N254" s="55" t="str">
        <f t="shared" ca="1" si="36"/>
        <v/>
      </c>
    </row>
    <row r="255" spans="1:14">
      <c r="A255" s="105">
        <v>261</v>
      </c>
      <c r="B255" s="105" t="str">
        <f>VLOOKUP( $A255, Aop!$A$2:$P$453, 2, 0)</f>
        <v>BUa</v>
      </c>
      <c r="C255" s="55">
        <v>27</v>
      </c>
      <c r="D255" s="55" t="str">
        <f t="shared" si="39"/>
        <v>01937189</v>
      </c>
      <c r="E255" s="55" t="str">
        <f t="shared" si="40"/>
        <v>4401376020001</v>
      </c>
      <c r="F255" s="55" t="b">
        <f t="shared" si="42"/>
        <v>0</v>
      </c>
      <c r="G255" s="139">
        <f t="shared" si="43"/>
        <v>45838</v>
      </c>
      <c r="H255" s="105">
        <f>VLOOKUP( $A255, Aop!$A$2:$P$453, 4, 0)</f>
        <v>323</v>
      </c>
      <c r="I255" s="55">
        <f t="shared" si="41"/>
        <v>2025</v>
      </c>
      <c r="J255" s="55" t="str">
        <f t="shared" ca="1" si="38"/>
        <v/>
      </c>
      <c r="K255" s="55"/>
      <c r="L255" s="55"/>
      <c r="M255" s="55">
        <f t="shared" ca="1" si="37"/>
        <v>20</v>
      </c>
      <c r="N255" s="55">
        <f t="shared" ca="1" si="36"/>
        <v>20</v>
      </c>
    </row>
    <row r="256" spans="1:14">
      <c r="A256" s="105">
        <v>262</v>
      </c>
      <c r="B256" s="105" t="str">
        <f>VLOOKUP( $A256, Aop!$A$2:$P$453, 2, 0)</f>
        <v>BUa</v>
      </c>
      <c r="C256" s="55">
        <v>27</v>
      </c>
      <c r="D256" s="55" t="str">
        <f t="shared" si="39"/>
        <v>01937189</v>
      </c>
      <c r="E256" s="55" t="str">
        <f t="shared" si="40"/>
        <v>4401376020001</v>
      </c>
      <c r="F256" s="55" t="b">
        <f t="shared" si="42"/>
        <v>0</v>
      </c>
      <c r="G256" s="139">
        <f t="shared" si="43"/>
        <v>45838</v>
      </c>
      <c r="H256" s="105">
        <f>VLOOKUP( $A256, Aop!$A$2:$P$453, 4, 0)</f>
        <v>324</v>
      </c>
      <c r="I256" s="55">
        <f t="shared" si="41"/>
        <v>2025</v>
      </c>
      <c r="J256" s="55" t="str">
        <f t="shared" ca="1" si="38"/>
        <v/>
      </c>
      <c r="K256" s="55"/>
      <c r="L256" s="55"/>
      <c r="M256" s="55">
        <f t="shared" ca="1" si="37"/>
        <v>20</v>
      </c>
      <c r="N256" s="55">
        <f t="shared" ca="1" si="36"/>
        <v>20</v>
      </c>
    </row>
    <row r="257" spans="1:14">
      <c r="A257" s="105">
        <v>263</v>
      </c>
      <c r="B257" s="105" t="str">
        <f>VLOOKUP( $A257, Aop!$A$2:$P$453, 2, 0)</f>
        <v>BUb</v>
      </c>
      <c r="C257" s="55">
        <v>27</v>
      </c>
      <c r="D257" s="55" t="str">
        <f t="shared" si="39"/>
        <v>01937189</v>
      </c>
      <c r="E257" s="55" t="str">
        <f t="shared" si="40"/>
        <v>4401376020001</v>
      </c>
      <c r="F257" s="55" t="b">
        <f t="shared" si="42"/>
        <v>0</v>
      </c>
      <c r="G257" s="139">
        <f t="shared" si="43"/>
        <v>45838</v>
      </c>
      <c r="H257" s="105">
        <f>VLOOKUP( $A257, Aop!$A$2:$P$453, 4, 0)</f>
        <v>400</v>
      </c>
      <c r="I257" s="55">
        <f t="shared" si="41"/>
        <v>2025</v>
      </c>
      <c r="J257" s="55" t="str">
        <f t="shared" ca="1" si="38"/>
        <v/>
      </c>
      <c r="K257" s="55"/>
      <c r="L257" s="55"/>
      <c r="M257" s="55">
        <f t="shared" ca="1" si="37"/>
        <v>252624</v>
      </c>
      <c r="N257" s="55">
        <f t="shared" ca="1" si="36"/>
        <v>252624</v>
      </c>
    </row>
    <row r="258" spans="1:14">
      <c r="A258" s="105">
        <v>264</v>
      </c>
      <c r="B258" s="105" t="str">
        <f>VLOOKUP( $A258, Aop!$A$2:$P$453, 2, 0)</f>
        <v>BUb</v>
      </c>
      <c r="C258" s="55">
        <v>27</v>
      </c>
      <c r="D258" s="55" t="str">
        <f t="shared" si="39"/>
        <v>01937189</v>
      </c>
      <c r="E258" s="55" t="str">
        <f t="shared" si="40"/>
        <v>4401376020001</v>
      </c>
      <c r="F258" s="55" t="b">
        <f t="shared" si="42"/>
        <v>0</v>
      </c>
      <c r="G258" s="139">
        <f t="shared" si="43"/>
        <v>45838</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c r="A259" s="105">
        <v>265</v>
      </c>
      <c r="B259" s="105" t="str">
        <f>VLOOKUP( $A259, Aop!$A$2:$P$453, 2, 0)</f>
        <v>BUb</v>
      </c>
      <c r="C259" s="55">
        <v>27</v>
      </c>
      <c r="D259" s="55" t="str">
        <f t="shared" si="39"/>
        <v>01937189</v>
      </c>
      <c r="E259" s="55" t="str">
        <f t="shared" si="40"/>
        <v>4401376020001</v>
      </c>
      <c r="F259" s="55" t="b">
        <f t="shared" si="42"/>
        <v>0</v>
      </c>
      <c r="G259" s="139">
        <f t="shared" si="43"/>
        <v>45838</v>
      </c>
      <c r="H259" s="105">
        <f>VLOOKUP( $A259, Aop!$A$2:$P$453, 4, 0)</f>
        <v>402</v>
      </c>
      <c r="I259" s="55">
        <f t="shared" si="41"/>
        <v>2025</v>
      </c>
      <c r="J259" s="55" t="str">
        <f t="shared" ca="1" si="38"/>
        <v/>
      </c>
      <c r="K259" s="55"/>
      <c r="L259" s="55"/>
      <c r="M259" s="55" t="str">
        <f t="shared" ca="1" si="37"/>
        <v/>
      </c>
      <c r="N259" s="55" t="str">
        <f t="shared" ca="1" si="44"/>
        <v/>
      </c>
    </row>
    <row r="260" spans="1:14">
      <c r="A260" s="105">
        <v>266</v>
      </c>
      <c r="B260" s="105" t="str">
        <f>VLOOKUP( $A260, Aop!$A$2:$P$453, 2, 0)</f>
        <v>BUb</v>
      </c>
      <c r="C260" s="55">
        <v>27</v>
      </c>
      <c r="D260" s="55" t="str">
        <f t="shared" si="39"/>
        <v>01937189</v>
      </c>
      <c r="E260" s="55" t="str">
        <f t="shared" si="40"/>
        <v>4401376020001</v>
      </c>
      <c r="F260" s="55" t="b">
        <f t="shared" si="42"/>
        <v>0</v>
      </c>
      <c r="G260" s="139">
        <f t="shared" si="43"/>
        <v>45838</v>
      </c>
      <c r="H260" s="105">
        <f>VLOOKUP( $A260, Aop!$A$2:$P$453, 4, 0)</f>
        <v>403</v>
      </c>
      <c r="I260" s="55">
        <f t="shared" si="41"/>
        <v>2025</v>
      </c>
      <c r="J260" s="55" t="str">
        <f t="shared" ca="1" si="38"/>
        <v/>
      </c>
      <c r="K260" s="55"/>
      <c r="L260" s="55"/>
      <c r="M260" s="55" t="str">
        <f t="shared" ca="1" si="37"/>
        <v/>
      </c>
      <c r="N260" s="55" t="str">
        <f t="shared" ca="1" si="44"/>
        <v/>
      </c>
    </row>
    <row r="261" spans="1:14">
      <c r="A261" s="105">
        <v>267</v>
      </c>
      <c r="B261" s="105" t="str">
        <f>VLOOKUP( $A261, Aop!$A$2:$P$453, 2, 0)</f>
        <v>BUb</v>
      </c>
      <c r="C261" s="55">
        <v>27</v>
      </c>
      <c r="D261" s="55" t="str">
        <f t="shared" si="39"/>
        <v>01937189</v>
      </c>
      <c r="E261" s="55" t="str">
        <f t="shared" si="40"/>
        <v>4401376020001</v>
      </c>
      <c r="F261" s="55" t="b">
        <f t="shared" si="42"/>
        <v>0</v>
      </c>
      <c r="G261" s="139">
        <f t="shared" si="43"/>
        <v>45838</v>
      </c>
      <c r="H261" s="105">
        <f>VLOOKUP( $A261, Aop!$A$2:$P$453, 4, 0)</f>
        <v>404</v>
      </c>
      <c r="I261" s="55">
        <f t="shared" si="41"/>
        <v>2025</v>
      </c>
      <c r="J261" s="55" t="str">
        <f t="shared" ca="1" si="38"/>
        <v/>
      </c>
      <c r="K261" s="55"/>
      <c r="L261" s="55"/>
      <c r="M261" s="55" t="str">
        <f t="shared" ca="1" si="37"/>
        <v/>
      </c>
      <c r="N261" s="55" t="str">
        <f t="shared" ca="1" si="44"/>
        <v/>
      </c>
    </row>
    <row r="262" spans="1:14">
      <c r="A262" s="105">
        <v>269</v>
      </c>
      <c r="B262" s="105" t="str">
        <f>VLOOKUP( $A262, Aop!$A$2:$P$453, 2, 0)</f>
        <v>BUb</v>
      </c>
      <c r="C262" s="55">
        <v>27</v>
      </c>
      <c r="D262" s="55" t="str">
        <f t="shared" si="39"/>
        <v>01937189</v>
      </c>
      <c r="E262" s="55" t="str">
        <f t="shared" si="40"/>
        <v>4401376020001</v>
      </c>
      <c r="F262" s="55" t="b">
        <f t="shared" si="42"/>
        <v>0</v>
      </c>
      <c r="G262" s="139">
        <f t="shared" si="43"/>
        <v>45838</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c r="A263" s="105">
        <v>270</v>
      </c>
      <c r="B263" s="105" t="str">
        <f>VLOOKUP( $A263, Aop!$A$2:$P$453, 2, 0)</f>
        <v>BUb</v>
      </c>
      <c r="C263" s="55">
        <v>27</v>
      </c>
      <c r="D263" s="55" t="str">
        <f t="shared" si="39"/>
        <v>01937189</v>
      </c>
      <c r="E263" s="55" t="str">
        <f t="shared" si="40"/>
        <v>4401376020001</v>
      </c>
      <c r="F263" s="55" t="b">
        <f t="shared" si="42"/>
        <v>0</v>
      </c>
      <c r="G263" s="139">
        <f t="shared" si="43"/>
        <v>45838</v>
      </c>
      <c r="H263" s="105">
        <f>VLOOKUP( $A263, Aop!$A$2:$P$453, 4, 0)</f>
        <v>407</v>
      </c>
      <c r="I263" s="55">
        <f t="shared" si="41"/>
        <v>2025</v>
      </c>
      <c r="J263" s="55" t="str">
        <f t="shared" ca="1" si="38"/>
        <v/>
      </c>
      <c r="K263" s="55"/>
      <c r="L263" s="55"/>
      <c r="M263" s="55" t="str">
        <f t="shared" ca="1" si="45"/>
        <v/>
      </c>
      <c r="N263" s="55" t="str">
        <f t="shared" ca="1" si="44"/>
        <v/>
      </c>
    </row>
    <row r="264" spans="1:14">
      <c r="A264" s="105">
        <v>272</v>
      </c>
      <c r="B264" s="105" t="str">
        <f>VLOOKUP( $A264, Aop!$A$2:$P$453, 2, 0)</f>
        <v>BUb</v>
      </c>
      <c r="C264" s="55">
        <v>27</v>
      </c>
      <c r="D264" s="55" t="str">
        <f t="shared" si="39"/>
        <v>01937189</v>
      </c>
      <c r="E264" s="55" t="str">
        <f t="shared" si="40"/>
        <v>4401376020001</v>
      </c>
      <c r="F264" s="55" t="b">
        <f t="shared" si="42"/>
        <v>0</v>
      </c>
      <c r="G264" s="139">
        <f t="shared" si="43"/>
        <v>45838</v>
      </c>
      <c r="H264" s="105">
        <f>VLOOKUP( $A264, Aop!$A$2:$P$453, 4, 0)</f>
        <v>409</v>
      </c>
      <c r="I264" s="55">
        <f t="shared" si="41"/>
        <v>2025</v>
      </c>
      <c r="J264" s="55" t="str">
        <f t="shared" ca="1" si="38"/>
        <v/>
      </c>
      <c r="K264" s="55"/>
      <c r="L264" s="55"/>
      <c r="M264" s="55" t="str">
        <f t="shared" ca="1" si="45"/>
        <v/>
      </c>
      <c r="N264" s="55" t="str">
        <f t="shared" ca="1" si="44"/>
        <v/>
      </c>
    </row>
    <row r="265" spans="1:14">
      <c r="A265" s="105">
        <v>273</v>
      </c>
      <c r="B265" s="105" t="str">
        <f>VLOOKUP( $A265, Aop!$A$2:$P$453, 2, 0)</f>
        <v>BUb</v>
      </c>
      <c r="C265" s="55">
        <v>27</v>
      </c>
      <c r="D265" s="55" t="str">
        <f t="shared" si="39"/>
        <v>01937189</v>
      </c>
      <c r="E265" s="55" t="str">
        <f t="shared" si="40"/>
        <v>4401376020001</v>
      </c>
      <c r="F265" s="55" t="b">
        <f t="shared" si="42"/>
        <v>0</v>
      </c>
      <c r="G265" s="139">
        <f t="shared" si="43"/>
        <v>45838</v>
      </c>
      <c r="H265" s="105">
        <f>VLOOKUP( $A265, Aop!$A$2:$P$453, 4, 0)</f>
        <v>410</v>
      </c>
      <c r="I265" s="55">
        <f t="shared" si="41"/>
        <v>2025</v>
      </c>
      <c r="J265" s="55" t="str">
        <f t="shared" ca="1" si="38"/>
        <v/>
      </c>
      <c r="K265" s="55"/>
      <c r="L265" s="55"/>
      <c r="M265" s="55" t="str">
        <f t="shared" ca="1" si="45"/>
        <v/>
      </c>
      <c r="N265" s="55" t="str">
        <f t="shared" ca="1" si="44"/>
        <v/>
      </c>
    </row>
    <row r="266" spans="1:14">
      <c r="A266" s="105">
        <v>274</v>
      </c>
      <c r="B266" s="105" t="str">
        <f>VLOOKUP( $A266, Aop!$A$2:$P$453, 2, 0)</f>
        <v>BUb</v>
      </c>
      <c r="C266" s="55">
        <v>27</v>
      </c>
      <c r="D266" s="55" t="str">
        <f t="shared" si="39"/>
        <v>01937189</v>
      </c>
      <c r="E266" s="55" t="str">
        <f t="shared" si="40"/>
        <v>4401376020001</v>
      </c>
      <c r="F266" s="55" t="b">
        <f t="shared" si="42"/>
        <v>0</v>
      </c>
      <c r="G266" s="139">
        <f t="shared" si="43"/>
        <v>45838</v>
      </c>
      <c r="H266" s="105">
        <f>VLOOKUP( $A266, Aop!$A$2:$P$453, 4, 0)</f>
        <v>411</v>
      </c>
      <c r="I266" s="55">
        <f t="shared" si="41"/>
        <v>2025</v>
      </c>
      <c r="J266" s="55" t="str">
        <f t="shared" ca="1" si="38"/>
        <v/>
      </c>
      <c r="K266" s="55"/>
      <c r="L266" s="55"/>
      <c r="M266" s="55" t="str">
        <f t="shared" ca="1" si="45"/>
        <v/>
      </c>
      <c r="N266" s="55" t="str">
        <f t="shared" ca="1" si="44"/>
        <v/>
      </c>
    </row>
    <row r="267" spans="1:14">
      <c r="A267" s="105">
        <v>275</v>
      </c>
      <c r="B267" s="105" t="str">
        <f>VLOOKUP( $A267, Aop!$A$2:$P$453, 2, 0)</f>
        <v>BUb</v>
      </c>
      <c r="C267" s="55">
        <v>27</v>
      </c>
      <c r="D267" s="55" t="str">
        <f t="shared" si="39"/>
        <v>01937189</v>
      </c>
      <c r="E267" s="55" t="str">
        <f t="shared" si="40"/>
        <v>4401376020001</v>
      </c>
      <c r="F267" s="55" t="b">
        <f t="shared" si="42"/>
        <v>0</v>
      </c>
      <c r="G267" s="139">
        <f t="shared" si="43"/>
        <v>45838</v>
      </c>
      <c r="H267" s="105">
        <f>VLOOKUP( $A267, Aop!$A$2:$P$453, 4, 0)</f>
        <v>412</v>
      </c>
      <c r="I267" s="55">
        <f t="shared" si="41"/>
        <v>2025</v>
      </c>
      <c r="J267" s="55" t="str">
        <f t="shared" ca="1" si="38"/>
        <v/>
      </c>
      <c r="K267" s="55"/>
      <c r="L267" s="55"/>
      <c r="M267" s="55" t="str">
        <f t="shared" ca="1" si="45"/>
        <v/>
      </c>
      <c r="N267" s="55" t="str">
        <f t="shared" ca="1" si="44"/>
        <v/>
      </c>
    </row>
    <row r="268" spans="1:14">
      <c r="A268" s="105">
        <v>276</v>
      </c>
      <c r="B268" s="105" t="str">
        <f>VLOOKUP( $A268, Aop!$A$2:$P$453, 2, 0)</f>
        <v>BUb</v>
      </c>
      <c r="C268" s="55">
        <v>27</v>
      </c>
      <c r="D268" s="55" t="str">
        <f t="shared" si="39"/>
        <v>01937189</v>
      </c>
      <c r="E268" s="55" t="str">
        <f t="shared" si="40"/>
        <v>4401376020001</v>
      </c>
      <c r="F268" s="55" t="b">
        <f t="shared" si="42"/>
        <v>0</v>
      </c>
      <c r="G268" s="139">
        <f t="shared" si="43"/>
        <v>45838</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c r="A269" s="105">
        <v>277</v>
      </c>
      <c r="B269" s="105" t="str">
        <f>VLOOKUP( $A269, Aop!$A$2:$P$453, 2, 0)</f>
        <v>BUb</v>
      </c>
      <c r="C269" s="55">
        <v>27</v>
      </c>
      <c r="D269" s="55" t="str">
        <f t="shared" si="39"/>
        <v>01937189</v>
      </c>
      <c r="E269" s="55" t="str">
        <f t="shared" si="40"/>
        <v>4401376020001</v>
      </c>
      <c r="F269" s="55" t="b">
        <f t="shared" si="42"/>
        <v>0</v>
      </c>
      <c r="G269" s="139">
        <f t="shared" si="43"/>
        <v>45838</v>
      </c>
      <c r="H269" s="105">
        <f>VLOOKUP( $A269, Aop!$A$2:$P$453, 4, 0)</f>
        <v>414</v>
      </c>
      <c r="I269" s="55">
        <f t="shared" si="41"/>
        <v>2025</v>
      </c>
      <c r="J269" s="55" t="str">
        <f t="shared" ca="1" si="46"/>
        <v/>
      </c>
      <c r="K269" s="55"/>
      <c r="L269" s="55"/>
      <c r="M269" s="55" t="str">
        <f t="shared" ca="1" si="45"/>
        <v/>
      </c>
      <c r="N269" s="55" t="str">
        <f t="shared" ca="1" si="44"/>
        <v/>
      </c>
    </row>
    <row r="270" spans="1:14">
      <c r="A270" s="105">
        <v>278</v>
      </c>
      <c r="B270" s="105" t="str">
        <f>VLOOKUP( $A270, Aop!$A$2:$P$453, 2, 0)</f>
        <v>BUb</v>
      </c>
      <c r="C270" s="55">
        <v>27</v>
      </c>
      <c r="D270" s="55" t="str">
        <f t="shared" si="39"/>
        <v>01937189</v>
      </c>
      <c r="E270" s="55" t="str">
        <f t="shared" si="40"/>
        <v>4401376020001</v>
      </c>
      <c r="F270" s="55" t="b">
        <f t="shared" si="42"/>
        <v>0</v>
      </c>
      <c r="G270" s="139">
        <f t="shared" si="43"/>
        <v>45838</v>
      </c>
      <c r="H270" s="105">
        <f>VLOOKUP( $A270, Aop!$A$2:$P$453, 4, 0)</f>
        <v>415</v>
      </c>
      <c r="I270" s="55">
        <f t="shared" si="41"/>
        <v>2025</v>
      </c>
      <c r="J270" s="55" t="str">
        <f t="shared" ca="1" si="46"/>
        <v/>
      </c>
      <c r="K270" s="55"/>
      <c r="L270" s="55"/>
      <c r="M270" s="55">
        <f t="shared" ca="1" si="45"/>
        <v>0</v>
      </c>
      <c r="N270" s="55">
        <f t="shared" ca="1" si="44"/>
        <v>0</v>
      </c>
    </row>
    <row r="271" spans="1:14">
      <c r="A271" s="105">
        <v>279</v>
      </c>
      <c r="B271" s="105" t="str">
        <f>VLOOKUP( $A271, Aop!$A$2:$P$453, 2, 0)</f>
        <v>BUb</v>
      </c>
      <c r="C271" s="55">
        <v>27</v>
      </c>
      <c r="D271" s="55" t="str">
        <f t="shared" si="39"/>
        <v>01937189</v>
      </c>
      <c r="E271" s="55" t="str">
        <f t="shared" si="40"/>
        <v>4401376020001</v>
      </c>
      <c r="F271" s="55" t="b">
        <f t="shared" si="42"/>
        <v>0</v>
      </c>
      <c r="G271" s="139">
        <f t="shared" si="43"/>
        <v>45838</v>
      </c>
      <c r="H271" s="105">
        <f>VLOOKUP( $A271, Aop!$A$2:$P$453, 4, 0)</f>
        <v>0</v>
      </c>
      <c r="I271" s="55">
        <f t="shared" si="41"/>
        <v>2025</v>
      </c>
      <c r="J271" s="55" t="str">
        <f t="shared" ca="1" si="46"/>
        <v/>
      </c>
      <c r="K271" s="55"/>
      <c r="L271" s="55"/>
      <c r="M271" s="55" t="str">
        <f t="shared" ca="1" si="45"/>
        <v/>
      </c>
      <c r="N271" s="55" t="str">
        <f t="shared" ca="1" si="44"/>
        <v/>
      </c>
    </row>
    <row r="272" spans="1:14">
      <c r="A272" s="105">
        <v>280</v>
      </c>
      <c r="B272" s="105" t="str">
        <f>VLOOKUP( $A272, Aop!$A$2:$P$453, 2, 0)</f>
        <v>BUb</v>
      </c>
      <c r="C272" s="55">
        <v>27</v>
      </c>
      <c r="D272" s="55" t="str">
        <f t="shared" si="39"/>
        <v>01937189</v>
      </c>
      <c r="E272" s="55" t="str">
        <f t="shared" si="40"/>
        <v>4401376020001</v>
      </c>
      <c r="F272" s="55" t="b">
        <f t="shared" si="42"/>
        <v>0</v>
      </c>
      <c r="G272" s="139">
        <f t="shared" si="43"/>
        <v>45838</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252624</v>
      </c>
      <c r="N272" s="55">
        <f t="shared" ca="1" si="44"/>
        <v>252624</v>
      </c>
    </row>
    <row r="273" spans="1:14">
      <c r="A273" s="105">
        <v>281</v>
      </c>
      <c r="B273" s="105" t="str">
        <f>VLOOKUP( $A273, Aop!$A$2:$P$453, 2, 0)</f>
        <v>BUb</v>
      </c>
      <c r="C273" s="55">
        <v>27</v>
      </c>
      <c r="D273" s="55" t="str">
        <f t="shared" si="39"/>
        <v>01937189</v>
      </c>
      <c r="E273" s="55" t="str">
        <f t="shared" si="40"/>
        <v>4401376020001</v>
      </c>
      <c r="F273" s="55" t="b">
        <f t="shared" si="42"/>
        <v>0</v>
      </c>
      <c r="G273" s="139">
        <f t="shared" si="43"/>
        <v>45838</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c r="A274" s="105">
        <v>282</v>
      </c>
      <c r="B274" s="55" t="str">
        <f>VLOOKUP( $A274, Aop!$A$2:$P$453, 2, 0)</f>
        <v>BUb</v>
      </c>
      <c r="C274" s="55">
        <v>27</v>
      </c>
      <c r="D274" s="55" t="str">
        <f>Podatak_MB</f>
        <v>01937189</v>
      </c>
      <c r="E274" s="55" t="str">
        <f>Podatak_JIB</f>
        <v>4401376020001</v>
      </c>
      <c r="F274" s="55" t="b">
        <f>Konsolidovan_izvjestaj</f>
        <v>0</v>
      </c>
      <c r="G274" s="139">
        <f>Datum_Broj</f>
        <v>45838</v>
      </c>
      <c r="H274" s="55">
        <f>VLOOKUP( $A274, Aop!$A$2:$P$453, 4, 0)</f>
        <v>417</v>
      </c>
      <c r="I274" s="55">
        <f>Godina</f>
        <v>2025</v>
      </c>
      <c r="J274" s="55" t="str">
        <f t="shared" ca="1" si="46"/>
        <v/>
      </c>
      <c r="K274" s="55"/>
      <c r="L274" s="55"/>
      <c r="M274" s="55" t="str">
        <f t="shared" ca="1" si="47"/>
        <v/>
      </c>
      <c r="N274" s="55" t="str">
        <f t="shared" ca="1" si="44"/>
        <v/>
      </c>
    </row>
    <row r="275" spans="1:14">
      <c r="A275" s="105">
        <v>283</v>
      </c>
      <c r="B275" s="105" t="str">
        <f>VLOOKUP( $A275, Aop!$A$2:$P$453, 2, 0)</f>
        <v>BUb</v>
      </c>
      <c r="C275" s="55">
        <v>27</v>
      </c>
      <c r="D275" s="55" t="str">
        <f t="shared" si="39"/>
        <v>01937189</v>
      </c>
      <c r="E275" s="55" t="str">
        <f t="shared" si="40"/>
        <v>4401376020001</v>
      </c>
      <c r="F275" s="55" t="b">
        <f t="shared" si="42"/>
        <v>0</v>
      </c>
      <c r="G275" s="139">
        <f t="shared" si="43"/>
        <v>45838</v>
      </c>
      <c r="H275" s="105">
        <f>VLOOKUP( $A275, Aop!$A$2:$P$453, 4, 0)</f>
        <v>418</v>
      </c>
      <c r="I275" s="55">
        <f t="shared" si="41"/>
        <v>2025</v>
      </c>
      <c r="J275" s="55" t="str">
        <f t="shared" ca="1" si="46"/>
        <v/>
      </c>
      <c r="K275" s="55"/>
      <c r="L275" s="55"/>
      <c r="M275" s="55" t="str">
        <f t="shared" ca="1" si="47"/>
        <v/>
      </c>
      <c r="N275" s="55" t="str">
        <f t="shared" ca="1" si="44"/>
        <v/>
      </c>
    </row>
    <row r="276" spans="1:14">
      <c r="A276" s="105">
        <v>285</v>
      </c>
      <c r="B276" s="105" t="str">
        <f>VLOOKUP( $A276, Aop!$A$2:$P$453, 2, 0)</f>
        <v>BTG</v>
      </c>
      <c r="C276" s="55">
        <v>29</v>
      </c>
      <c r="D276" s="55" t="str">
        <f t="shared" si="39"/>
        <v>01937189</v>
      </c>
      <c r="E276" s="55" t="str">
        <f t="shared" si="40"/>
        <v>4401376020001</v>
      </c>
      <c r="F276" s="55" t="b">
        <f t="shared" si="42"/>
        <v>0</v>
      </c>
      <c r="G276" s="139">
        <f t="shared" si="43"/>
        <v>45838</v>
      </c>
      <c r="H276" s="105">
        <f>VLOOKUP( $A276, Aop!$A$2:$P$453, 4, 0)</f>
        <v>502</v>
      </c>
      <c r="I276" s="55">
        <f t="shared" si="41"/>
        <v>2025</v>
      </c>
      <c r="J276" s="55" t="str">
        <f t="shared" ca="1" si="46"/>
        <v/>
      </c>
      <c r="K276" s="55"/>
      <c r="L276" s="55"/>
      <c r="M276" s="55">
        <f t="shared" ca="1" si="47"/>
        <v>254451</v>
      </c>
      <c r="N276" s="55">
        <f t="shared" ca="1" si="44"/>
        <v>254451</v>
      </c>
    </row>
    <row r="277" spans="1:14">
      <c r="A277" s="105">
        <v>286</v>
      </c>
      <c r="B277" s="105" t="str">
        <f>VLOOKUP( $A277, Aop!$A$2:$P$453, 2, 0)</f>
        <v>BTG</v>
      </c>
      <c r="C277" s="55">
        <v>29</v>
      </c>
      <c r="D277" s="55" t="str">
        <f t="shared" si="39"/>
        <v>01937189</v>
      </c>
      <c r="E277" s="55" t="str">
        <f t="shared" si="40"/>
        <v>4401376020001</v>
      </c>
      <c r="F277" s="55" t="b">
        <f t="shared" si="42"/>
        <v>0</v>
      </c>
      <c r="G277" s="139">
        <f t="shared" si="43"/>
        <v>45838</v>
      </c>
      <c r="H277" s="105">
        <f>VLOOKUP( $A277, Aop!$A$2:$P$453, 4, 0)</f>
        <v>503</v>
      </c>
      <c r="I277" s="55">
        <f t="shared" si="41"/>
        <v>2025</v>
      </c>
      <c r="J277" s="55" t="str">
        <f t="shared" ca="1" si="46"/>
        <v/>
      </c>
      <c r="K277" s="55"/>
      <c r="L277" s="55"/>
      <c r="M277" s="55" t="str">
        <f t="shared" ca="1" si="47"/>
        <v/>
      </c>
      <c r="N277" s="55" t="str">
        <f t="shared" ca="1" si="44"/>
        <v/>
      </c>
    </row>
    <row r="278" spans="1:14">
      <c r="A278" s="105">
        <v>287</v>
      </c>
      <c r="B278" s="105" t="str">
        <f>VLOOKUP( $A278, Aop!$A$2:$P$453, 2, 0)</f>
        <v>BTG</v>
      </c>
      <c r="C278" s="55">
        <v>29</v>
      </c>
      <c r="D278" s="55" t="str">
        <f t="shared" si="39"/>
        <v>01937189</v>
      </c>
      <c r="E278" s="55" t="str">
        <f t="shared" si="40"/>
        <v>4401376020001</v>
      </c>
      <c r="F278" s="55" t="b">
        <f t="shared" si="42"/>
        <v>0</v>
      </c>
      <c r="G278" s="139">
        <f t="shared" si="43"/>
        <v>45838</v>
      </c>
      <c r="H278" s="105">
        <f>VLOOKUP( $A278, Aop!$A$2:$P$453, 4, 0)</f>
        <v>504</v>
      </c>
      <c r="I278" s="55">
        <f t="shared" si="41"/>
        <v>2025</v>
      </c>
      <c r="J278" s="55" t="str">
        <f t="shared" ca="1" si="46"/>
        <v/>
      </c>
      <c r="K278" s="55"/>
      <c r="L278" s="55"/>
      <c r="M278" s="55">
        <f t="shared" ca="1" si="47"/>
        <v>300585</v>
      </c>
      <c r="N278" s="55">
        <f t="shared" ca="1" si="44"/>
        <v>300585</v>
      </c>
    </row>
    <row r="279" spans="1:14">
      <c r="A279" s="105">
        <v>288</v>
      </c>
      <c r="B279" s="105" t="str">
        <f>VLOOKUP( $A279, Aop!$A$2:$P$453, 2, 0)</f>
        <v>BTG</v>
      </c>
      <c r="C279" s="55">
        <v>29</v>
      </c>
      <c r="D279" s="55" t="str">
        <f t="shared" si="39"/>
        <v>01937189</v>
      </c>
      <c r="E279" s="55" t="str">
        <f t="shared" si="40"/>
        <v>4401376020001</v>
      </c>
      <c r="F279" s="55" t="b">
        <f t="shared" si="42"/>
        <v>0</v>
      </c>
      <c r="G279" s="139">
        <f t="shared" si="43"/>
        <v>45838</v>
      </c>
      <c r="H279" s="105">
        <f>VLOOKUP( $A279, Aop!$A$2:$P$453, 4, 0)</f>
        <v>505</v>
      </c>
      <c r="I279" s="55">
        <f t="shared" si="41"/>
        <v>2025</v>
      </c>
      <c r="J279" s="55" t="str">
        <f t="shared" ca="1" si="46"/>
        <v/>
      </c>
      <c r="K279" s="55"/>
      <c r="L279" s="55"/>
      <c r="M279" s="55" t="str">
        <f t="shared" ca="1" si="47"/>
        <v/>
      </c>
      <c r="N279" s="55" t="str">
        <f t="shared" ca="1" si="44"/>
        <v/>
      </c>
    </row>
    <row r="280" spans="1:14">
      <c r="A280" s="105">
        <v>289</v>
      </c>
      <c r="B280" s="105" t="str">
        <f>VLOOKUP( $A280, Aop!$A$2:$P$453, 2, 0)</f>
        <v>BTG</v>
      </c>
      <c r="C280" s="55">
        <v>29</v>
      </c>
      <c r="D280" s="55" t="str">
        <f t="shared" si="39"/>
        <v>01937189</v>
      </c>
      <c r="E280" s="55" t="str">
        <f t="shared" si="40"/>
        <v>4401376020001</v>
      </c>
      <c r="F280" s="55" t="b">
        <f t="shared" si="42"/>
        <v>0</v>
      </c>
      <c r="G280" s="139">
        <f t="shared" si="43"/>
        <v>45838</v>
      </c>
      <c r="H280" s="105">
        <f>VLOOKUP( $A280, Aop!$A$2:$P$453, 4, 0)</f>
        <v>506</v>
      </c>
      <c r="I280" s="55">
        <f t="shared" si="41"/>
        <v>2025</v>
      </c>
      <c r="J280" s="55" t="str">
        <f t="shared" ca="1" si="46"/>
        <v/>
      </c>
      <c r="K280" s="55"/>
      <c r="L280" s="55"/>
      <c r="M280" s="55">
        <f t="shared" ca="1" si="47"/>
        <v>540310</v>
      </c>
      <c r="N280" s="55">
        <f t="shared" ca="1" si="44"/>
        <v>540310</v>
      </c>
    </row>
    <row r="281" spans="1:14">
      <c r="A281" s="105">
        <v>290</v>
      </c>
      <c r="B281" s="105" t="str">
        <f>VLOOKUP( $A281, Aop!$A$2:$P$453, 2, 0)</f>
        <v>BTG</v>
      </c>
      <c r="C281" s="55">
        <v>29</v>
      </c>
      <c r="D281" s="55" t="str">
        <f t="shared" si="39"/>
        <v>01937189</v>
      </c>
      <c r="E281" s="55" t="str">
        <f t="shared" si="40"/>
        <v>4401376020001</v>
      </c>
      <c r="F281" s="55" t="b">
        <f t="shared" si="42"/>
        <v>0</v>
      </c>
      <c r="G281" s="139">
        <f t="shared" si="43"/>
        <v>45838</v>
      </c>
      <c r="H281" s="105">
        <f>VLOOKUP( $A281, Aop!$A$2:$P$453, 4, 0)</f>
        <v>507</v>
      </c>
      <c r="I281" s="55">
        <f t="shared" si="41"/>
        <v>2025</v>
      </c>
      <c r="J281" s="55" t="str">
        <f t="shared" ca="1" si="46"/>
        <v/>
      </c>
      <c r="K281" s="55"/>
      <c r="L281" s="55"/>
      <c r="M281" s="55">
        <f t="shared" ca="1" si="47"/>
        <v>282137</v>
      </c>
      <c r="N281" s="55">
        <f t="shared" ca="1" si="44"/>
        <v>282137</v>
      </c>
    </row>
    <row r="282" spans="1:14">
      <c r="A282" s="105">
        <v>291</v>
      </c>
      <c r="B282" s="105" t="str">
        <f>VLOOKUP( $A282, Aop!$A$2:$P$453, 2, 0)</f>
        <v>BTG</v>
      </c>
      <c r="C282" s="55">
        <v>29</v>
      </c>
      <c r="D282" s="55" t="str">
        <f t="shared" si="39"/>
        <v>01937189</v>
      </c>
      <c r="E282" s="55" t="str">
        <f t="shared" si="40"/>
        <v>4401376020001</v>
      </c>
      <c r="F282" s="55" t="b">
        <f t="shared" si="42"/>
        <v>0</v>
      </c>
      <c r="G282" s="139">
        <f t="shared" si="43"/>
        <v>45838</v>
      </c>
      <c r="H282" s="105">
        <f>VLOOKUP( $A282, Aop!$A$2:$P$453, 4, 0)</f>
        <v>508</v>
      </c>
      <c r="I282" s="55">
        <f t="shared" si="41"/>
        <v>2025</v>
      </c>
      <c r="J282" s="55" t="str">
        <f t="shared" ca="1" si="46"/>
        <v/>
      </c>
      <c r="K282" s="55"/>
      <c r="L282" s="55"/>
      <c r="M282" s="55" t="str">
        <f t="shared" ca="1" si="47"/>
        <v/>
      </c>
      <c r="N282" s="55" t="str">
        <f t="shared" ca="1" si="44"/>
        <v/>
      </c>
    </row>
    <row r="283" spans="1:14">
      <c r="A283" s="105">
        <v>292</v>
      </c>
      <c r="B283" s="105" t="str">
        <f>VLOOKUP( $A283, Aop!$A$2:$P$453, 2, 0)</f>
        <v>BTG</v>
      </c>
      <c r="C283" s="55">
        <v>29</v>
      </c>
      <c r="D283" s="55" t="str">
        <f t="shared" si="39"/>
        <v>01937189</v>
      </c>
      <c r="E283" s="55" t="str">
        <f t="shared" si="40"/>
        <v>4401376020001</v>
      </c>
      <c r="F283" s="55" t="b">
        <f t="shared" si="42"/>
        <v>0</v>
      </c>
      <c r="G283" s="139">
        <f t="shared" si="43"/>
        <v>45838</v>
      </c>
      <c r="H283" s="105">
        <f>VLOOKUP( $A283, Aop!$A$2:$P$453, 4, 0)</f>
        <v>509</v>
      </c>
      <c r="I283" s="55">
        <f t="shared" si="41"/>
        <v>2025</v>
      </c>
      <c r="J283" s="55" t="str">
        <f t="shared" ca="1" si="46"/>
        <v/>
      </c>
      <c r="K283" s="55"/>
      <c r="L283" s="55"/>
      <c r="M283" s="55">
        <f t="shared" ca="1" si="47"/>
        <v>11865</v>
      </c>
      <c r="N283" s="55">
        <f t="shared" ca="1" si="44"/>
        <v>11865</v>
      </c>
    </row>
    <row r="284" spans="1:14">
      <c r="A284" s="105">
        <v>293</v>
      </c>
      <c r="B284" s="105" t="str">
        <f>VLOOKUP( $A284, Aop!$A$2:$P$453, 2, 0)</f>
        <v>BTG</v>
      </c>
      <c r="C284" s="55">
        <v>29</v>
      </c>
      <c r="D284" s="55" t="str">
        <f t="shared" si="39"/>
        <v>01937189</v>
      </c>
      <c r="E284" s="55" t="str">
        <f t="shared" si="40"/>
        <v>4401376020001</v>
      </c>
      <c r="F284" s="55" t="b">
        <f t="shared" si="42"/>
        <v>0</v>
      </c>
      <c r="G284" s="139">
        <f t="shared" si="43"/>
        <v>45838</v>
      </c>
      <c r="H284" s="105">
        <f>VLOOKUP( $A284, Aop!$A$2:$P$453, 4, 0)</f>
        <v>510</v>
      </c>
      <c r="I284" s="55">
        <f t="shared" si="41"/>
        <v>2025</v>
      </c>
      <c r="J284" s="55" t="str">
        <f t="shared" ca="1" si="46"/>
        <v/>
      </c>
      <c r="K284" s="55"/>
      <c r="L284" s="55"/>
      <c r="M284" s="55">
        <f t="shared" ca="1" si="47"/>
        <v>243770</v>
      </c>
      <c r="N284" s="55">
        <f t="shared" ca="1" si="44"/>
        <v>243770</v>
      </c>
    </row>
    <row r="285" spans="1:14">
      <c r="A285" s="105">
        <v>294</v>
      </c>
      <c r="B285" s="105" t="str">
        <f>VLOOKUP( $A285, Aop!$A$2:$P$453, 2, 0)</f>
        <v>BTG</v>
      </c>
      <c r="C285" s="55">
        <v>29</v>
      </c>
      <c r="D285" s="55" t="str">
        <f t="shared" si="39"/>
        <v>01937189</v>
      </c>
      <c r="E285" s="55" t="str">
        <f t="shared" si="40"/>
        <v>4401376020001</v>
      </c>
      <c r="F285" s="55" t="b">
        <f t="shared" si="42"/>
        <v>0</v>
      </c>
      <c r="G285" s="139">
        <f t="shared" si="43"/>
        <v>45838</v>
      </c>
      <c r="H285" s="105">
        <f>VLOOKUP( $A285, Aop!$A$2:$P$453, 4, 0)</f>
        <v>511</v>
      </c>
      <c r="I285" s="55">
        <f t="shared" si="41"/>
        <v>2025</v>
      </c>
      <c r="J285" s="55" t="str">
        <f t="shared" ca="1" si="46"/>
        <v/>
      </c>
      <c r="K285" s="55"/>
      <c r="L285" s="55"/>
      <c r="M285" s="55" t="str">
        <f t="shared" ca="1" si="47"/>
        <v/>
      </c>
      <c r="N285" s="55" t="str">
        <f t="shared" ca="1" si="44"/>
        <v/>
      </c>
    </row>
    <row r="286" spans="1:14">
      <c r="A286" s="105">
        <v>295</v>
      </c>
      <c r="B286" s="105" t="str">
        <f>VLOOKUP( $A286, Aop!$A$2:$P$453, 2, 0)</f>
        <v>BTG</v>
      </c>
      <c r="C286" s="55">
        <v>29</v>
      </c>
      <c r="D286" s="55" t="str">
        <f t="shared" si="39"/>
        <v>01937189</v>
      </c>
      <c r="E286" s="55" t="str">
        <f t="shared" si="40"/>
        <v>4401376020001</v>
      </c>
      <c r="F286" s="55" t="b">
        <f t="shared" si="42"/>
        <v>0</v>
      </c>
      <c r="G286" s="139">
        <f t="shared" si="43"/>
        <v>45838</v>
      </c>
      <c r="H286" s="105">
        <f>VLOOKUP( $A286, Aop!$A$2:$P$453, 4, 0)</f>
        <v>512</v>
      </c>
      <c r="I286" s="55">
        <f t="shared" si="41"/>
        <v>2025</v>
      </c>
      <c r="J286" s="55" t="str">
        <f t="shared" ca="1" si="46"/>
        <v/>
      </c>
      <c r="K286" s="55"/>
      <c r="L286" s="55"/>
      <c r="M286" s="55">
        <f t="shared" ca="1" si="47"/>
        <v>2538</v>
      </c>
      <c r="N286" s="55">
        <f t="shared" ca="1" si="44"/>
        <v>2538</v>
      </c>
    </row>
    <row r="287" spans="1:14">
      <c r="A287" s="105">
        <v>296</v>
      </c>
      <c r="B287" s="105" t="str">
        <f>VLOOKUP( $A287, Aop!$A$2:$P$453, 2, 0)</f>
        <v>BTG</v>
      </c>
      <c r="C287" s="55">
        <v>29</v>
      </c>
      <c r="D287" s="55" t="str">
        <f t="shared" si="39"/>
        <v>01937189</v>
      </c>
      <c r="E287" s="55" t="str">
        <f t="shared" si="40"/>
        <v>4401376020001</v>
      </c>
      <c r="F287" s="55" t="b">
        <f t="shared" si="42"/>
        <v>0</v>
      </c>
      <c r="G287" s="139">
        <f t="shared" si="43"/>
        <v>45838</v>
      </c>
      <c r="H287" s="105">
        <f>VLOOKUP( $A287, Aop!$A$2:$P$453, 4, 0)</f>
        <v>513</v>
      </c>
      <c r="I287" s="55">
        <f t="shared" si="41"/>
        <v>2025</v>
      </c>
      <c r="J287" s="55" t="str">
        <f t="shared" ca="1" si="46"/>
        <v/>
      </c>
      <c r="K287" s="55"/>
      <c r="L287" s="55"/>
      <c r="M287" s="55">
        <f t="shared" ca="1" si="47"/>
        <v>14726</v>
      </c>
      <c r="N287" s="55">
        <f t="shared" ca="1" si="44"/>
        <v>14726</v>
      </c>
    </row>
    <row r="288" spans="1:14">
      <c r="A288" s="105">
        <v>297</v>
      </c>
      <c r="B288" s="105" t="str">
        <f>VLOOKUP( $A288, Aop!$A$2:$P$453, 2, 0)</f>
        <v>BTG</v>
      </c>
      <c r="C288" s="55">
        <v>29</v>
      </c>
      <c r="D288" s="55" t="str">
        <f t="shared" si="39"/>
        <v>01937189</v>
      </c>
      <c r="E288" s="55" t="str">
        <f t="shared" si="40"/>
        <v>4401376020001</v>
      </c>
      <c r="F288" s="55" t="b">
        <f t="shared" si="42"/>
        <v>0</v>
      </c>
      <c r="G288" s="139">
        <f t="shared" si="43"/>
        <v>45838</v>
      </c>
      <c r="H288" s="105">
        <f>VLOOKUP( $A288, Aop!$A$2:$P$453, 4, 0)</f>
        <v>514</v>
      </c>
      <c r="I288" s="55">
        <f t="shared" si="41"/>
        <v>2025</v>
      </c>
      <c r="J288" s="55" t="str">
        <f t="shared" ca="1" si="46"/>
        <v/>
      </c>
      <c r="K288" s="55"/>
      <c r="L288" s="55"/>
      <c r="M288" s="55">
        <f t="shared" ca="1" si="47"/>
        <v>0</v>
      </c>
      <c r="N288" s="55">
        <f t="shared" ca="1" si="44"/>
        <v>0</v>
      </c>
    </row>
    <row r="289" spans="1:14">
      <c r="A289" s="105">
        <v>298</v>
      </c>
      <c r="B289" s="105" t="str">
        <f>VLOOKUP( $A289, Aop!$A$2:$P$453, 2, 0)</f>
        <v>BTG</v>
      </c>
      <c r="C289" s="55">
        <v>29</v>
      </c>
      <c r="D289" s="55" t="str">
        <f t="shared" si="39"/>
        <v>01937189</v>
      </c>
      <c r="E289" s="55" t="str">
        <f t="shared" si="40"/>
        <v>4401376020001</v>
      </c>
      <c r="F289" s="55" t="b">
        <f t="shared" si="42"/>
        <v>0</v>
      </c>
      <c r="G289" s="139">
        <f t="shared" si="43"/>
        <v>45838</v>
      </c>
      <c r="H289" s="105">
        <f>VLOOKUP( $A289, Aop!$A$2:$P$453, 4, 0)</f>
        <v>515</v>
      </c>
      <c r="I289" s="55">
        <f t="shared" si="41"/>
        <v>2025</v>
      </c>
      <c r="J289" s="55" t="str">
        <f t="shared" ca="1" si="46"/>
        <v/>
      </c>
      <c r="K289" s="55"/>
      <c r="L289" s="55"/>
      <c r="M289" s="55">
        <f t="shared" ca="1" si="47"/>
        <v>0</v>
      </c>
      <c r="N289" s="55">
        <f t="shared" ca="1" si="44"/>
        <v>0</v>
      </c>
    </row>
    <row r="290" spans="1:14">
      <c r="A290" s="105">
        <v>300</v>
      </c>
      <c r="B290" s="105" t="str">
        <f>VLOOKUP( $A290, Aop!$A$2:$P$453, 2, 0)</f>
        <v>BTG</v>
      </c>
      <c r="C290" s="55">
        <v>29</v>
      </c>
      <c r="D290" s="55" t="str">
        <f t="shared" si="39"/>
        <v>01937189</v>
      </c>
      <c r="E290" s="55" t="str">
        <f t="shared" si="40"/>
        <v>4401376020001</v>
      </c>
      <c r="F290" s="55" t="b">
        <f t="shared" si="42"/>
        <v>0</v>
      </c>
      <c r="G290" s="139">
        <f t="shared" si="43"/>
        <v>45838</v>
      </c>
      <c r="H290" s="105">
        <f>VLOOKUP( $A290, Aop!$A$2:$P$453, 4, 0)</f>
        <v>517</v>
      </c>
      <c r="I290" s="55">
        <f t="shared" si="41"/>
        <v>2025</v>
      </c>
      <c r="J290" s="55" t="str">
        <f t="shared" ca="1" si="46"/>
        <v/>
      </c>
      <c r="K290" s="55"/>
      <c r="L290" s="55"/>
      <c r="M290" s="55" t="str">
        <f t="shared" ca="1" si="47"/>
        <v/>
      </c>
      <c r="N290" s="55" t="str">
        <f t="shared" ca="1" si="44"/>
        <v/>
      </c>
    </row>
    <row r="291" spans="1:14">
      <c r="A291" s="105">
        <v>301</v>
      </c>
      <c r="B291" s="105" t="str">
        <f>VLOOKUP( $A291, Aop!$A$2:$P$453, 2, 0)</f>
        <v>BTG</v>
      </c>
      <c r="C291" s="55">
        <v>29</v>
      </c>
      <c r="D291" s="55" t="str">
        <f t="shared" si="39"/>
        <v>01937189</v>
      </c>
      <c r="E291" s="55" t="str">
        <f t="shared" si="40"/>
        <v>4401376020001</v>
      </c>
      <c r="F291" s="55" t="b">
        <f t="shared" si="42"/>
        <v>0</v>
      </c>
      <c r="G291" s="139">
        <f t="shared" si="43"/>
        <v>45838</v>
      </c>
      <c r="H291" s="105">
        <f>VLOOKUP( $A291, Aop!$A$2:$P$453, 4, 0)</f>
        <v>518</v>
      </c>
      <c r="I291" s="55">
        <f t="shared" si="41"/>
        <v>2025</v>
      </c>
      <c r="J291" s="55" t="str">
        <f t="shared" ca="1" si="46"/>
        <v/>
      </c>
      <c r="K291" s="55"/>
      <c r="L291" s="55"/>
      <c r="M291" s="55" t="str">
        <f t="shared" ca="1" si="47"/>
        <v/>
      </c>
      <c r="N291" s="55" t="str">
        <f t="shared" ca="1" si="44"/>
        <v/>
      </c>
    </row>
    <row r="292" spans="1:14">
      <c r="A292" s="105">
        <v>302</v>
      </c>
      <c r="B292" s="105" t="str">
        <f>VLOOKUP( $A292, Aop!$A$2:$P$453, 2, 0)</f>
        <v>BTG</v>
      </c>
      <c r="C292" s="55">
        <v>29</v>
      </c>
      <c r="D292" s="55" t="str">
        <f t="shared" si="39"/>
        <v>01937189</v>
      </c>
      <c r="E292" s="55" t="str">
        <f t="shared" si="40"/>
        <v>4401376020001</v>
      </c>
      <c r="F292" s="55" t="b">
        <f t="shared" si="42"/>
        <v>0</v>
      </c>
      <c r="G292" s="139">
        <f t="shared" si="43"/>
        <v>45838</v>
      </c>
      <c r="H292" s="105">
        <f>VLOOKUP( $A292, Aop!$A$2:$P$453, 4, 0)</f>
        <v>519</v>
      </c>
      <c r="I292" s="55">
        <f t="shared" si="41"/>
        <v>2025</v>
      </c>
      <c r="J292" s="55" t="str">
        <f t="shared" ca="1" si="46"/>
        <v/>
      </c>
      <c r="K292" s="55"/>
      <c r="L292" s="55"/>
      <c r="M292" s="55" t="str">
        <f t="shared" ca="1" si="47"/>
        <v/>
      </c>
      <c r="N292" s="55" t="str">
        <f t="shared" ca="1" si="44"/>
        <v/>
      </c>
    </row>
    <row r="293" spans="1:14">
      <c r="A293" s="105">
        <v>303</v>
      </c>
      <c r="B293" s="105" t="str">
        <f>VLOOKUP( $A293, Aop!$A$2:$P$453, 2, 0)</f>
        <v>BTG</v>
      </c>
      <c r="C293" s="55">
        <v>29</v>
      </c>
      <c r="D293" s="55" t="str">
        <f t="shared" si="39"/>
        <v>01937189</v>
      </c>
      <c r="E293" s="55" t="str">
        <f t="shared" si="40"/>
        <v>4401376020001</v>
      </c>
      <c r="F293" s="55" t="b">
        <f t="shared" si="42"/>
        <v>0</v>
      </c>
      <c r="G293" s="139">
        <f t="shared" si="43"/>
        <v>45838</v>
      </c>
      <c r="H293" s="105">
        <f>VLOOKUP( $A293, Aop!$A$2:$P$453, 4, 0)</f>
        <v>520</v>
      </c>
      <c r="I293" s="55">
        <f t="shared" si="41"/>
        <v>2025</v>
      </c>
      <c r="J293" s="55" t="str">
        <f t="shared" ca="1" si="46"/>
        <v/>
      </c>
      <c r="K293" s="55"/>
      <c r="L293" s="55"/>
      <c r="M293" s="55" t="str">
        <f t="shared" ca="1" si="47"/>
        <v/>
      </c>
      <c r="N293" s="55" t="str">
        <f t="shared" ca="1" si="44"/>
        <v/>
      </c>
    </row>
    <row r="294" spans="1:14">
      <c r="A294" s="105">
        <v>304</v>
      </c>
      <c r="B294" s="105" t="str">
        <f>VLOOKUP( $A294, Aop!$A$2:$P$453, 2, 0)</f>
        <v>BTG</v>
      </c>
      <c r="C294" s="55">
        <v>29</v>
      </c>
      <c r="D294" s="55" t="str">
        <f t="shared" si="39"/>
        <v>01937189</v>
      </c>
      <c r="E294" s="55" t="str">
        <f t="shared" si="40"/>
        <v>4401376020001</v>
      </c>
      <c r="F294" s="55" t="b">
        <f t="shared" si="42"/>
        <v>0</v>
      </c>
      <c r="G294" s="139">
        <f t="shared" si="43"/>
        <v>45838</v>
      </c>
      <c r="H294" s="105">
        <f>VLOOKUP( $A294, Aop!$A$2:$P$453, 4, 0)</f>
        <v>521</v>
      </c>
      <c r="I294" s="55">
        <f t="shared" si="41"/>
        <v>2025</v>
      </c>
      <c r="J294" s="55" t="str">
        <f t="shared" ca="1" si="46"/>
        <v/>
      </c>
      <c r="K294" s="55"/>
      <c r="L294" s="55"/>
      <c r="M294" s="55" t="str">
        <f t="shared" ca="1" si="47"/>
        <v/>
      </c>
      <c r="N294" s="55" t="str">
        <f t="shared" ca="1" si="44"/>
        <v/>
      </c>
    </row>
    <row r="295" spans="1:14">
      <c r="A295" s="105">
        <v>305</v>
      </c>
      <c r="B295" s="105" t="str">
        <f>VLOOKUP( $A295, Aop!$A$2:$P$453, 2, 0)</f>
        <v>BTG</v>
      </c>
      <c r="C295" s="55">
        <v>29</v>
      </c>
      <c r="D295" s="55" t="str">
        <f t="shared" si="39"/>
        <v>01937189</v>
      </c>
      <c r="E295" s="55" t="str">
        <f t="shared" si="40"/>
        <v>4401376020001</v>
      </c>
      <c r="F295" s="55" t="b">
        <f t="shared" si="42"/>
        <v>0</v>
      </c>
      <c r="G295" s="139">
        <f t="shared" si="43"/>
        <v>45838</v>
      </c>
      <c r="H295" s="105">
        <f>VLOOKUP( $A295, Aop!$A$2:$P$453, 4, 0)</f>
        <v>522</v>
      </c>
      <c r="I295" s="55">
        <f t="shared" si="41"/>
        <v>2025</v>
      </c>
      <c r="J295" s="55" t="str">
        <f t="shared" ca="1" si="46"/>
        <v/>
      </c>
      <c r="K295" s="55"/>
      <c r="L295" s="55"/>
      <c r="M295" s="55" t="str">
        <f t="shared" ca="1" si="47"/>
        <v/>
      </c>
      <c r="N295" s="55" t="str">
        <f t="shared" ca="1" si="44"/>
        <v/>
      </c>
    </row>
    <row r="296" spans="1:14">
      <c r="A296" s="105">
        <v>306</v>
      </c>
      <c r="B296" s="105" t="str">
        <f>VLOOKUP( $A296, Aop!$A$2:$P$453, 2, 0)</f>
        <v>BTG</v>
      </c>
      <c r="C296" s="55">
        <v>29</v>
      </c>
      <c r="D296" s="55" t="str">
        <f t="shared" si="39"/>
        <v>01937189</v>
      </c>
      <c r="E296" s="55" t="str">
        <f t="shared" si="40"/>
        <v>4401376020001</v>
      </c>
      <c r="F296" s="55" t="b">
        <f t="shared" si="42"/>
        <v>0</v>
      </c>
      <c r="G296" s="139">
        <f t="shared" si="43"/>
        <v>45838</v>
      </c>
      <c r="H296" s="105">
        <f>VLOOKUP( $A296, Aop!$A$2:$P$453, 4, 0)</f>
        <v>523</v>
      </c>
      <c r="I296" s="55">
        <f t="shared" si="41"/>
        <v>2025</v>
      </c>
      <c r="J296" s="55" t="str">
        <f t="shared" ca="1" si="46"/>
        <v/>
      </c>
      <c r="K296" s="55"/>
      <c r="L296" s="55"/>
      <c r="M296" s="55" t="str">
        <f t="shared" ca="1" si="47"/>
        <v/>
      </c>
      <c r="N296" s="55" t="str">
        <f t="shared" ca="1" si="44"/>
        <v/>
      </c>
    </row>
    <row r="297" spans="1:14">
      <c r="A297" s="105">
        <v>307</v>
      </c>
      <c r="B297" s="105" t="str">
        <f>VLOOKUP( $A297, Aop!$A$2:$P$453, 2, 0)</f>
        <v>BTG</v>
      </c>
      <c r="C297" s="55">
        <v>29</v>
      </c>
      <c r="D297" s="55" t="str">
        <f t="shared" si="39"/>
        <v>01937189</v>
      </c>
      <c r="E297" s="55" t="str">
        <f t="shared" si="40"/>
        <v>4401376020001</v>
      </c>
      <c r="F297" s="55" t="b">
        <f t="shared" si="42"/>
        <v>0</v>
      </c>
      <c r="G297" s="139">
        <f t="shared" si="43"/>
        <v>45838</v>
      </c>
      <c r="H297" s="105">
        <f>VLOOKUP( $A297, Aop!$A$2:$P$453, 4, 0)</f>
        <v>524</v>
      </c>
      <c r="I297" s="55">
        <f t="shared" si="41"/>
        <v>2025</v>
      </c>
      <c r="J297" s="55" t="str">
        <f t="shared" ca="1" si="46"/>
        <v/>
      </c>
      <c r="K297" s="55"/>
      <c r="L297" s="55"/>
      <c r="M297" s="55" t="str">
        <f t="shared" ca="1" si="47"/>
        <v/>
      </c>
      <c r="N297" s="55" t="str">
        <f t="shared" ca="1" si="44"/>
        <v/>
      </c>
    </row>
    <row r="298" spans="1:14">
      <c r="A298" s="105">
        <v>308</v>
      </c>
      <c r="B298" s="105" t="str">
        <f>VLOOKUP( $A298, Aop!$A$2:$P$453, 2, 0)</f>
        <v>BTG</v>
      </c>
      <c r="C298" s="55">
        <v>29</v>
      </c>
      <c r="D298" s="55" t="str">
        <f t="shared" si="39"/>
        <v>01937189</v>
      </c>
      <c r="E298" s="55" t="str">
        <f t="shared" si="40"/>
        <v>4401376020001</v>
      </c>
      <c r="F298" s="55" t="b">
        <f t="shared" si="42"/>
        <v>0</v>
      </c>
      <c r="G298" s="139">
        <f t="shared" si="43"/>
        <v>45838</v>
      </c>
      <c r="H298" s="105">
        <f>VLOOKUP( $A298, Aop!$A$2:$P$453, 4, 0)</f>
        <v>525</v>
      </c>
      <c r="I298" s="55">
        <f t="shared" si="41"/>
        <v>2025</v>
      </c>
      <c r="J298" s="55" t="str">
        <f t="shared" ca="1" si="46"/>
        <v/>
      </c>
      <c r="K298" s="55"/>
      <c r="L298" s="55"/>
      <c r="M298" s="55" t="str">
        <f t="shared" ca="1" si="47"/>
        <v/>
      </c>
      <c r="N298" s="55" t="str">
        <f t="shared" ca="1" si="44"/>
        <v/>
      </c>
    </row>
    <row r="299" spans="1:14">
      <c r="A299" s="105">
        <v>309</v>
      </c>
      <c r="B299" s="105" t="str">
        <f>VLOOKUP( $A299, Aop!$A$2:$P$453, 2, 0)</f>
        <v>BTG</v>
      </c>
      <c r="C299" s="55">
        <v>29</v>
      </c>
      <c r="D299" s="55" t="str">
        <f t="shared" si="39"/>
        <v>01937189</v>
      </c>
      <c r="E299" s="55" t="str">
        <f t="shared" si="40"/>
        <v>4401376020001</v>
      </c>
      <c r="F299" s="55" t="b">
        <f t="shared" si="42"/>
        <v>0</v>
      </c>
      <c r="G299" s="139">
        <f t="shared" si="43"/>
        <v>45838</v>
      </c>
      <c r="H299" s="105">
        <f>VLOOKUP( $A299, Aop!$A$2:$P$453, 4, 0)</f>
        <v>526</v>
      </c>
      <c r="I299" s="55">
        <f t="shared" si="41"/>
        <v>2025</v>
      </c>
      <c r="J299" s="55" t="str">
        <f t="shared" ca="1" si="46"/>
        <v/>
      </c>
      <c r="K299" s="55"/>
      <c r="L299" s="55"/>
      <c r="M299" s="55" t="str">
        <f t="shared" ca="1" si="47"/>
        <v/>
      </c>
      <c r="N299" s="55" t="str">
        <f t="shared" ca="1" si="44"/>
        <v/>
      </c>
    </row>
    <row r="300" spans="1:14">
      <c r="A300" s="105">
        <v>310</v>
      </c>
      <c r="B300" s="105" t="str">
        <f>VLOOKUP( $A300, Aop!$A$2:$P$453, 2, 0)</f>
        <v>BTG</v>
      </c>
      <c r="C300" s="55">
        <v>29</v>
      </c>
      <c r="D300" s="55" t="str">
        <f t="shared" si="39"/>
        <v>01937189</v>
      </c>
      <c r="E300" s="55" t="str">
        <f t="shared" si="40"/>
        <v>4401376020001</v>
      </c>
      <c r="F300" s="55" t="b">
        <f t="shared" si="42"/>
        <v>0</v>
      </c>
      <c r="G300" s="139">
        <f t="shared" si="43"/>
        <v>45838</v>
      </c>
      <c r="H300" s="105">
        <f>VLOOKUP( $A300, Aop!$A$2:$P$453, 4, 0)</f>
        <v>527</v>
      </c>
      <c r="I300" s="55">
        <f t="shared" si="41"/>
        <v>2025</v>
      </c>
      <c r="J300" s="55" t="str">
        <f t="shared" ca="1" si="46"/>
        <v/>
      </c>
      <c r="K300" s="55"/>
      <c r="L300" s="55"/>
      <c r="M300" s="55" t="str">
        <f t="shared" ca="1" si="47"/>
        <v/>
      </c>
      <c r="N300" s="55" t="str">
        <f t="shared" ca="1" si="44"/>
        <v/>
      </c>
    </row>
    <row r="301" spans="1:14">
      <c r="A301" s="105">
        <v>311</v>
      </c>
      <c r="B301" s="105" t="str">
        <f>VLOOKUP( $A301, Aop!$A$2:$P$453, 2, 0)</f>
        <v>BTG</v>
      </c>
      <c r="C301" s="55">
        <v>29</v>
      </c>
      <c r="D301" s="55" t="str">
        <f t="shared" si="39"/>
        <v>01937189</v>
      </c>
      <c r="E301" s="55" t="str">
        <f t="shared" si="40"/>
        <v>4401376020001</v>
      </c>
      <c r="F301" s="55" t="b">
        <f t="shared" si="42"/>
        <v>0</v>
      </c>
      <c r="G301" s="139">
        <f t="shared" si="43"/>
        <v>45838</v>
      </c>
      <c r="H301" s="105">
        <f>VLOOKUP( $A301, Aop!$A$2:$P$453, 4, 0)</f>
        <v>528</v>
      </c>
      <c r="I301" s="55">
        <f t="shared" si="41"/>
        <v>2025</v>
      </c>
      <c r="J301" s="55" t="str">
        <f t="shared" ca="1" si="46"/>
        <v/>
      </c>
      <c r="K301" s="55"/>
      <c r="L301" s="55"/>
      <c r="M301" s="55" t="str">
        <f t="shared" ca="1" si="47"/>
        <v/>
      </c>
      <c r="N301" s="55" t="str">
        <f t="shared" ca="1" si="44"/>
        <v/>
      </c>
    </row>
    <row r="302" spans="1:14">
      <c r="A302" s="105">
        <v>312</v>
      </c>
      <c r="B302" s="105" t="str">
        <f>VLOOKUP( $A302, Aop!$A$2:$P$453, 2, 0)</f>
        <v>BTG</v>
      </c>
      <c r="C302" s="55">
        <v>29</v>
      </c>
      <c r="D302" s="55" t="str">
        <f t="shared" si="39"/>
        <v>01937189</v>
      </c>
      <c r="E302" s="55" t="str">
        <f t="shared" si="40"/>
        <v>4401376020001</v>
      </c>
      <c r="F302" s="55" t="b">
        <f t="shared" si="42"/>
        <v>0</v>
      </c>
      <c r="G302" s="139">
        <f t="shared" si="43"/>
        <v>45838</v>
      </c>
      <c r="H302" s="105">
        <f>VLOOKUP( $A302, Aop!$A$2:$P$453, 4, 0)</f>
        <v>529</v>
      </c>
      <c r="I302" s="55">
        <f t="shared" si="41"/>
        <v>2025</v>
      </c>
      <c r="J302" s="55" t="str">
        <f t="shared" ca="1" si="46"/>
        <v/>
      </c>
      <c r="K302" s="55"/>
      <c r="L302" s="55"/>
      <c r="M302" s="55" t="str">
        <f t="shared" ca="1" si="47"/>
        <v/>
      </c>
      <c r="N302" s="55" t="str">
        <f t="shared" ca="1" si="44"/>
        <v/>
      </c>
    </row>
    <row r="303" spans="1:14">
      <c r="A303" s="105">
        <v>313</v>
      </c>
      <c r="B303" s="105" t="str">
        <f>VLOOKUP( $A303, Aop!$A$2:$P$453, 2, 0)</f>
        <v>BTG</v>
      </c>
      <c r="C303" s="55">
        <v>29</v>
      </c>
      <c r="D303" s="55" t="str">
        <f t="shared" si="39"/>
        <v>01937189</v>
      </c>
      <c r="E303" s="55" t="str">
        <f t="shared" si="40"/>
        <v>4401376020001</v>
      </c>
      <c r="F303" s="55" t="b">
        <f t="shared" si="42"/>
        <v>0</v>
      </c>
      <c r="G303" s="139">
        <f t="shared" si="43"/>
        <v>45838</v>
      </c>
      <c r="H303" s="105">
        <f>VLOOKUP( $A303, Aop!$A$2:$P$453, 4, 0)</f>
        <v>530</v>
      </c>
      <c r="I303" s="55">
        <f t="shared" si="41"/>
        <v>2025</v>
      </c>
      <c r="J303" s="55" t="str">
        <f t="shared" ca="1" si="46"/>
        <v/>
      </c>
      <c r="K303" s="55"/>
      <c r="L303" s="55"/>
      <c r="M303" s="55" t="str">
        <f t="shared" ca="1" si="47"/>
        <v/>
      </c>
      <c r="N303" s="55" t="str">
        <f t="shared" ca="1" si="44"/>
        <v/>
      </c>
    </row>
    <row r="304" spans="1:14">
      <c r="A304" s="105">
        <v>314</v>
      </c>
      <c r="B304" s="105" t="str">
        <f>VLOOKUP( $A304, Aop!$A$2:$P$453, 2, 0)</f>
        <v>BTG</v>
      </c>
      <c r="C304" s="55">
        <v>29</v>
      </c>
      <c r="D304" s="55" t="str">
        <f t="shared" si="39"/>
        <v>01937189</v>
      </c>
      <c r="E304" s="55" t="str">
        <f t="shared" si="40"/>
        <v>4401376020001</v>
      </c>
      <c r="F304" s="55" t="b">
        <f t="shared" si="42"/>
        <v>0</v>
      </c>
      <c r="G304" s="139">
        <f t="shared" si="43"/>
        <v>45838</v>
      </c>
      <c r="H304" s="105">
        <f>VLOOKUP( $A304, Aop!$A$2:$P$453, 4, 0)</f>
        <v>531</v>
      </c>
      <c r="I304" s="55">
        <f t="shared" si="41"/>
        <v>2025</v>
      </c>
      <c r="J304" s="55" t="str">
        <f t="shared" ca="1" si="46"/>
        <v/>
      </c>
      <c r="K304" s="55"/>
      <c r="L304" s="55"/>
      <c r="M304" s="55">
        <f t="shared" ca="1" si="47"/>
        <v>0</v>
      </c>
      <c r="N304" s="55">
        <f t="shared" ca="1" si="44"/>
        <v>0</v>
      </c>
    </row>
    <row r="305" spans="1:14">
      <c r="A305" s="105">
        <v>315</v>
      </c>
      <c r="B305" s="105" t="str">
        <f>VLOOKUP( $A305, Aop!$A$2:$P$453, 2, 0)</f>
        <v>BTG</v>
      </c>
      <c r="C305" s="55">
        <v>29</v>
      </c>
      <c r="D305" s="55" t="str">
        <f t="shared" si="39"/>
        <v>01937189</v>
      </c>
      <c r="E305" s="55" t="str">
        <f t="shared" si="40"/>
        <v>4401376020001</v>
      </c>
      <c r="F305" s="55" t="b">
        <f t="shared" si="42"/>
        <v>0</v>
      </c>
      <c r="G305" s="139">
        <f t="shared" si="43"/>
        <v>45838</v>
      </c>
      <c r="H305" s="105">
        <f>VLOOKUP( $A305, Aop!$A$2:$P$453, 4, 0)</f>
        <v>532</v>
      </c>
      <c r="I305" s="55">
        <f t="shared" si="41"/>
        <v>2025</v>
      </c>
      <c r="J305" s="55" t="str">
        <f t="shared" ca="1" si="46"/>
        <v/>
      </c>
      <c r="K305" s="55"/>
      <c r="L305" s="55"/>
      <c r="M305" s="55" t="str">
        <f t="shared" ca="1" si="47"/>
        <v/>
      </c>
      <c r="N305" s="55" t="str">
        <f t="shared" ca="1" si="44"/>
        <v/>
      </c>
    </row>
    <row r="306" spans="1:14">
      <c r="A306" s="105">
        <v>316</v>
      </c>
      <c r="B306" s="105" t="str">
        <f>VLOOKUP( $A306, Aop!$A$2:$P$453, 2, 0)</f>
        <v>BTG</v>
      </c>
      <c r="C306" s="55">
        <v>29</v>
      </c>
      <c r="D306" s="55" t="str">
        <f t="shared" si="39"/>
        <v>01937189</v>
      </c>
      <c r="E306" s="55" t="str">
        <f t="shared" si="40"/>
        <v>4401376020001</v>
      </c>
      <c r="F306" s="55" t="b">
        <f t="shared" si="42"/>
        <v>0</v>
      </c>
      <c r="G306" s="139">
        <f t="shared" si="43"/>
        <v>45838</v>
      </c>
      <c r="H306" s="105">
        <f>VLOOKUP( $A306, Aop!$A$2:$P$453, 4, 0)</f>
        <v>533</v>
      </c>
      <c r="I306" s="55">
        <f t="shared" si="41"/>
        <v>2025</v>
      </c>
      <c r="J306" s="55" t="str">
        <f t="shared" ca="1" si="46"/>
        <v/>
      </c>
      <c r="K306" s="55"/>
      <c r="L306" s="55"/>
      <c r="M306" s="55" t="str">
        <f t="shared" ca="1" si="47"/>
        <v/>
      </c>
      <c r="N306" s="55" t="str">
        <f t="shared" ca="1" si="44"/>
        <v/>
      </c>
    </row>
    <row r="307" spans="1:14">
      <c r="A307" s="105">
        <v>317</v>
      </c>
      <c r="B307" s="105" t="str">
        <f>VLOOKUP( $A307, Aop!$A$2:$P$453, 2, 0)</f>
        <v>BTG</v>
      </c>
      <c r="C307" s="55">
        <v>29</v>
      </c>
      <c r="D307" s="55" t="str">
        <f t="shared" si="39"/>
        <v>01937189</v>
      </c>
      <c r="E307" s="55" t="str">
        <f t="shared" si="40"/>
        <v>4401376020001</v>
      </c>
      <c r="F307" s="55" t="b">
        <f t="shared" si="42"/>
        <v>0</v>
      </c>
      <c r="G307" s="139">
        <f t="shared" si="43"/>
        <v>45838</v>
      </c>
      <c r="H307" s="105">
        <f>VLOOKUP( $A307, Aop!$A$2:$P$453, 4, 0)</f>
        <v>534</v>
      </c>
      <c r="I307" s="55">
        <f t="shared" si="41"/>
        <v>2025</v>
      </c>
      <c r="J307" s="55" t="str">
        <f t="shared" ca="1" si="46"/>
        <v/>
      </c>
      <c r="K307" s="55"/>
      <c r="L307" s="55"/>
      <c r="M307" s="55" t="str">
        <f t="shared" ca="1" si="47"/>
        <v/>
      </c>
      <c r="N307" s="55" t="str">
        <f t="shared" ca="1" si="44"/>
        <v/>
      </c>
    </row>
    <row r="308" spans="1:14">
      <c r="A308" s="105">
        <v>318</v>
      </c>
      <c r="B308" s="105" t="str">
        <f>VLOOKUP( $A308, Aop!$A$2:$P$453, 2, 0)</f>
        <v>BTG</v>
      </c>
      <c r="C308" s="55">
        <v>29</v>
      </c>
      <c r="D308" s="55" t="str">
        <f t="shared" si="39"/>
        <v>01937189</v>
      </c>
      <c r="E308" s="55" t="str">
        <f t="shared" si="40"/>
        <v>4401376020001</v>
      </c>
      <c r="F308" s="55" t="b">
        <f t="shared" si="42"/>
        <v>0</v>
      </c>
      <c r="G308" s="139">
        <f t="shared" si="43"/>
        <v>45838</v>
      </c>
      <c r="H308" s="105">
        <f>VLOOKUP( $A308, Aop!$A$2:$P$453, 4, 0)</f>
        <v>535</v>
      </c>
      <c r="I308" s="55">
        <f t="shared" si="41"/>
        <v>2025</v>
      </c>
      <c r="J308" s="55" t="str">
        <f t="shared" ca="1" si="46"/>
        <v/>
      </c>
      <c r="K308" s="55"/>
      <c r="L308" s="55"/>
      <c r="M308" s="55" t="str">
        <f t="shared" ca="1" si="47"/>
        <v/>
      </c>
      <c r="N308" s="55" t="str">
        <f t="shared" ca="1" si="44"/>
        <v/>
      </c>
    </row>
    <row r="309" spans="1:14">
      <c r="A309" s="105">
        <v>319</v>
      </c>
      <c r="B309" s="105" t="str">
        <f>VLOOKUP( $A309, Aop!$A$2:$P$453, 2, 0)</f>
        <v>BTG</v>
      </c>
      <c r="C309" s="55">
        <v>29</v>
      </c>
      <c r="D309" s="55" t="str">
        <f t="shared" si="39"/>
        <v>01937189</v>
      </c>
      <c r="E309" s="55" t="str">
        <f t="shared" si="40"/>
        <v>4401376020001</v>
      </c>
      <c r="F309" s="55" t="b">
        <f t="shared" si="42"/>
        <v>0</v>
      </c>
      <c r="G309" s="139">
        <f t="shared" si="43"/>
        <v>45838</v>
      </c>
      <c r="H309" s="105">
        <f>VLOOKUP( $A309, Aop!$A$2:$P$453, 4, 0)</f>
        <v>536</v>
      </c>
      <c r="I309" s="55">
        <f t="shared" si="41"/>
        <v>2025</v>
      </c>
      <c r="J309" s="55" t="str">
        <f t="shared" ca="1" si="46"/>
        <v/>
      </c>
      <c r="K309" s="55"/>
      <c r="L309" s="55"/>
      <c r="M309" s="55" t="str">
        <f t="shared" ca="1" si="47"/>
        <v/>
      </c>
      <c r="N309" s="55" t="str">
        <f t="shared" ca="1" si="44"/>
        <v/>
      </c>
    </row>
    <row r="310" spans="1:14">
      <c r="A310" s="105">
        <v>320</v>
      </c>
      <c r="B310" s="105" t="str">
        <f>VLOOKUP( $A310, Aop!$A$2:$P$453, 2, 0)</f>
        <v>BTG</v>
      </c>
      <c r="C310" s="55">
        <v>29</v>
      </c>
      <c r="D310" s="55" t="str">
        <f t="shared" si="39"/>
        <v>01937189</v>
      </c>
      <c r="E310" s="55" t="str">
        <f t="shared" si="40"/>
        <v>4401376020001</v>
      </c>
      <c r="F310" s="55" t="b">
        <f t="shared" si="42"/>
        <v>0</v>
      </c>
      <c r="G310" s="139">
        <f t="shared" si="43"/>
        <v>45838</v>
      </c>
      <c r="H310" s="105">
        <f>VLOOKUP( $A310, Aop!$A$2:$P$453, 4, 0)</f>
        <v>537</v>
      </c>
      <c r="I310" s="55">
        <f t="shared" si="41"/>
        <v>2025</v>
      </c>
      <c r="J310" s="55" t="str">
        <f t="shared" ca="1" si="46"/>
        <v/>
      </c>
      <c r="K310" s="55"/>
      <c r="L310" s="55"/>
      <c r="M310" s="55" t="str">
        <f t="shared" ca="1" si="47"/>
        <v/>
      </c>
      <c r="N310" s="55" t="str">
        <f t="shared" ca="1" si="44"/>
        <v/>
      </c>
    </row>
    <row r="311" spans="1:14">
      <c r="A311" s="105">
        <v>321</v>
      </c>
      <c r="B311" s="105" t="str">
        <f>VLOOKUP( $A311, Aop!$A$2:$P$453, 2, 0)</f>
        <v>BTG</v>
      </c>
      <c r="C311" s="55">
        <v>29</v>
      </c>
      <c r="D311" s="55" t="str">
        <f t="shared" ref="D311:D356" si="48">Podatak_MB</f>
        <v>01937189</v>
      </c>
      <c r="E311" s="55" t="str">
        <f t="shared" ref="E311:E356" si="49">Podatak_JIB</f>
        <v>4401376020001</v>
      </c>
      <c r="F311" s="55" t="b">
        <f t="shared" si="42"/>
        <v>0</v>
      </c>
      <c r="G311" s="139">
        <f t="shared" si="43"/>
        <v>45838</v>
      </c>
      <c r="H311" s="105">
        <f>VLOOKUP( $A311, Aop!$A$2:$P$453, 4, 0)</f>
        <v>538</v>
      </c>
      <c r="I311" s="55">
        <f t="shared" ref="I311:I356" si="50">Godina</f>
        <v>2025</v>
      </c>
      <c r="J311" s="55" t="str">
        <f t="shared" ca="1" si="46"/>
        <v/>
      </c>
      <c r="K311" s="55"/>
      <c r="L311" s="55"/>
      <c r="M311" s="55" t="str">
        <f t="shared" ca="1" si="47"/>
        <v/>
      </c>
      <c r="N311" s="55" t="str">
        <f t="shared" ca="1" si="44"/>
        <v/>
      </c>
    </row>
    <row r="312" spans="1:14">
      <c r="A312" s="105">
        <v>322</v>
      </c>
      <c r="B312" s="105" t="str">
        <f>VLOOKUP( $A312, Aop!$A$2:$P$453, 2, 0)</f>
        <v>BTG</v>
      </c>
      <c r="C312" s="55">
        <v>29</v>
      </c>
      <c r="D312" s="55" t="str">
        <f t="shared" si="48"/>
        <v>01937189</v>
      </c>
      <c r="E312" s="55" t="str">
        <f t="shared" si="49"/>
        <v>4401376020001</v>
      </c>
      <c r="F312" s="55" t="b">
        <f t="shared" ref="F312:F356" si="51">Konsolidovan_izvjestaj</f>
        <v>0</v>
      </c>
      <c r="G312" s="139">
        <f t="shared" ref="G312:G356" si="52">Datum_Broj</f>
        <v>45838</v>
      </c>
      <c r="H312" s="105">
        <f>VLOOKUP( $A312, Aop!$A$2:$P$453, 4, 0)</f>
        <v>539</v>
      </c>
      <c r="I312" s="55">
        <f t="shared" si="50"/>
        <v>2025</v>
      </c>
      <c r="J312" s="55" t="str">
        <f t="shared" ca="1" si="46"/>
        <v/>
      </c>
      <c r="K312" s="55"/>
      <c r="L312" s="55"/>
      <c r="M312" s="55" t="str">
        <f t="shared" ca="1" si="47"/>
        <v/>
      </c>
      <c r="N312" s="55" t="str">
        <f t="shared" ca="1" si="44"/>
        <v/>
      </c>
    </row>
    <row r="313" spans="1:14">
      <c r="A313" s="105">
        <v>323</v>
      </c>
      <c r="B313" s="105" t="str">
        <f>VLOOKUP( $A313, Aop!$A$2:$P$453, 2, 0)</f>
        <v>BTG</v>
      </c>
      <c r="C313" s="55">
        <v>29</v>
      </c>
      <c r="D313" s="55" t="str">
        <f t="shared" si="48"/>
        <v>01937189</v>
      </c>
      <c r="E313" s="55" t="str">
        <f t="shared" si="49"/>
        <v>4401376020001</v>
      </c>
      <c r="F313" s="55" t="b">
        <f t="shared" si="51"/>
        <v>0</v>
      </c>
      <c r="G313" s="139">
        <f t="shared" si="52"/>
        <v>45838</v>
      </c>
      <c r="H313" s="105">
        <f>VLOOKUP( $A313, Aop!$A$2:$P$453, 4, 0)</f>
        <v>540</v>
      </c>
      <c r="I313" s="55">
        <f t="shared" si="50"/>
        <v>2025</v>
      </c>
      <c r="J313" s="55" t="str">
        <f t="shared" ca="1" si="46"/>
        <v/>
      </c>
      <c r="K313" s="55"/>
      <c r="L313" s="55"/>
      <c r="M313" s="55" t="str">
        <f t="shared" ca="1" si="47"/>
        <v/>
      </c>
      <c r="N313" s="55" t="str">
        <f t="shared" ca="1" si="44"/>
        <v/>
      </c>
    </row>
    <row r="314" spans="1:14">
      <c r="A314" s="105">
        <v>324</v>
      </c>
      <c r="B314" s="105" t="str">
        <f>VLOOKUP( $A314, Aop!$A$2:$P$453, 2, 0)</f>
        <v>BTG</v>
      </c>
      <c r="C314" s="55">
        <v>29</v>
      </c>
      <c r="D314" s="55" t="str">
        <f t="shared" si="48"/>
        <v>01937189</v>
      </c>
      <c r="E314" s="55" t="str">
        <f t="shared" si="49"/>
        <v>4401376020001</v>
      </c>
      <c r="F314" s="55" t="b">
        <f t="shared" si="51"/>
        <v>0</v>
      </c>
      <c r="G314" s="139">
        <f t="shared" si="52"/>
        <v>45838</v>
      </c>
      <c r="H314" s="105">
        <f>VLOOKUP( $A314, Aop!$A$2:$P$453, 4, 0)</f>
        <v>541</v>
      </c>
      <c r="I314" s="55">
        <f t="shared" si="50"/>
        <v>2025</v>
      </c>
      <c r="J314" s="55" t="str">
        <f t="shared" ca="1" si="46"/>
        <v/>
      </c>
      <c r="K314" s="55"/>
      <c r="L314" s="55"/>
      <c r="M314" s="55" t="str">
        <f t="shared" ca="1" si="47"/>
        <v/>
      </c>
      <c r="N314" s="55" t="str">
        <f t="shared" ca="1" si="44"/>
        <v/>
      </c>
    </row>
    <row r="315" spans="1:14">
      <c r="A315" s="105">
        <v>325</v>
      </c>
      <c r="B315" s="105" t="str">
        <f>VLOOKUP( $A315, Aop!$A$2:$P$453, 2, 0)</f>
        <v>BTG</v>
      </c>
      <c r="C315" s="55">
        <v>29</v>
      </c>
      <c r="D315" s="55" t="str">
        <f t="shared" si="48"/>
        <v>01937189</v>
      </c>
      <c r="E315" s="55" t="str">
        <f t="shared" si="49"/>
        <v>4401376020001</v>
      </c>
      <c r="F315" s="55" t="b">
        <f t="shared" si="51"/>
        <v>0</v>
      </c>
      <c r="G315" s="139">
        <f t="shared" si="52"/>
        <v>45838</v>
      </c>
      <c r="H315" s="105">
        <f>VLOOKUP( $A315, Aop!$A$2:$P$453, 4, 0)</f>
        <v>542</v>
      </c>
      <c r="I315" s="55">
        <f t="shared" si="50"/>
        <v>2025</v>
      </c>
      <c r="J315" s="55" t="str">
        <f t="shared" ca="1" si="46"/>
        <v/>
      </c>
      <c r="K315" s="55"/>
      <c r="L315" s="55"/>
      <c r="M315" s="55">
        <f t="shared" ca="1" si="47"/>
        <v>0</v>
      </c>
      <c r="N315" s="55">
        <f t="shared" ca="1" si="44"/>
        <v>0</v>
      </c>
    </row>
    <row r="316" spans="1:14">
      <c r="A316" s="105">
        <v>326</v>
      </c>
      <c r="B316" s="105" t="str">
        <f>VLOOKUP( $A316, Aop!$A$2:$P$453, 2, 0)</f>
        <v>BTG</v>
      </c>
      <c r="C316" s="55">
        <v>29</v>
      </c>
      <c r="D316" s="55" t="str">
        <f t="shared" si="48"/>
        <v>01937189</v>
      </c>
      <c r="E316" s="55" t="str">
        <f t="shared" si="49"/>
        <v>4401376020001</v>
      </c>
      <c r="F316" s="55" t="b">
        <f t="shared" si="51"/>
        <v>0</v>
      </c>
      <c r="G316" s="139">
        <f t="shared" si="52"/>
        <v>45838</v>
      </c>
      <c r="H316" s="105">
        <f>VLOOKUP( $A316, Aop!$A$2:$P$453, 4, 0)</f>
        <v>543</v>
      </c>
      <c r="I316" s="55">
        <f t="shared" si="50"/>
        <v>2025</v>
      </c>
      <c r="J316" s="55" t="str">
        <f t="shared" ca="1" si="46"/>
        <v/>
      </c>
      <c r="K316" s="55"/>
      <c r="L316" s="55"/>
      <c r="M316" s="55">
        <f t="shared" ca="1" si="47"/>
        <v>0</v>
      </c>
      <c r="N316" s="55">
        <f t="shared" ca="1" si="44"/>
        <v>0</v>
      </c>
    </row>
    <row r="317" spans="1:14">
      <c r="A317" s="105">
        <v>327</v>
      </c>
      <c r="B317" s="105" t="str">
        <f>VLOOKUP( $A317, Aop!$A$2:$P$453, 2, 0)</f>
        <v>BTG</v>
      </c>
      <c r="C317" s="55">
        <v>29</v>
      </c>
      <c r="D317" s="55" t="str">
        <f t="shared" si="48"/>
        <v>01937189</v>
      </c>
      <c r="E317" s="55" t="str">
        <f t="shared" si="49"/>
        <v>4401376020001</v>
      </c>
      <c r="F317" s="55" t="b">
        <f t="shared" si="51"/>
        <v>0</v>
      </c>
      <c r="G317" s="139">
        <f t="shared" si="52"/>
        <v>45838</v>
      </c>
      <c r="H317" s="105">
        <f>VLOOKUP( $A317, Aop!$A$2:$P$453, 4, 0)</f>
        <v>544</v>
      </c>
      <c r="I317" s="55">
        <f t="shared" si="50"/>
        <v>2025</v>
      </c>
      <c r="J317" s="55" t="str">
        <f t="shared" ca="1" si="46"/>
        <v/>
      </c>
      <c r="K317" s="55"/>
      <c r="L317" s="55"/>
      <c r="M317" s="55">
        <f t="shared" ca="1" si="47"/>
        <v>0</v>
      </c>
      <c r="N317" s="55">
        <f t="shared" ca="1" si="44"/>
        <v>0</v>
      </c>
    </row>
    <row r="318" spans="1:14">
      <c r="A318" s="105">
        <v>328</v>
      </c>
      <c r="B318" s="105" t="str">
        <f>VLOOKUP( $A318, Aop!$A$2:$P$453, 2, 0)</f>
        <v>BTG</v>
      </c>
      <c r="C318" s="55">
        <v>29</v>
      </c>
      <c r="D318" s="55" t="str">
        <f t="shared" si="48"/>
        <v>01937189</v>
      </c>
      <c r="E318" s="55" t="str">
        <f t="shared" si="49"/>
        <v>4401376020001</v>
      </c>
      <c r="F318" s="55" t="b">
        <f t="shared" si="51"/>
        <v>0</v>
      </c>
      <c r="G318" s="139">
        <f t="shared" si="52"/>
        <v>45838</v>
      </c>
      <c r="H318" s="105">
        <f>VLOOKUP( $A318, Aop!$A$2:$P$453, 4, 0)</f>
        <v>545</v>
      </c>
      <c r="I318" s="55">
        <f t="shared" si="50"/>
        <v>2025</v>
      </c>
      <c r="J318" s="55" t="str">
        <f t="shared" ca="1" si="46"/>
        <v/>
      </c>
      <c r="K318" s="55"/>
      <c r="L318" s="55"/>
      <c r="M318" s="55" t="str">
        <f t="shared" ca="1" si="47"/>
        <v/>
      </c>
      <c r="N318" s="55" t="str">
        <f t="shared" ca="1" si="44"/>
        <v/>
      </c>
    </row>
    <row r="319" spans="1:14">
      <c r="A319" s="105">
        <v>329</v>
      </c>
      <c r="B319" s="105" t="str">
        <f>VLOOKUP( $A319, Aop!$A$2:$P$453, 2, 0)</f>
        <v>BTG</v>
      </c>
      <c r="C319" s="55">
        <v>29</v>
      </c>
      <c r="D319" s="55" t="str">
        <f t="shared" si="48"/>
        <v>01937189</v>
      </c>
      <c r="E319" s="55" t="str">
        <f t="shared" si="49"/>
        <v>4401376020001</v>
      </c>
      <c r="F319" s="55" t="b">
        <f t="shared" si="51"/>
        <v>0</v>
      </c>
      <c r="G319" s="139">
        <f t="shared" si="52"/>
        <v>45838</v>
      </c>
      <c r="H319" s="105">
        <f>VLOOKUP( $A319, Aop!$A$2:$P$453, 4, 0)</f>
        <v>546</v>
      </c>
      <c r="I319" s="55">
        <f t="shared" si="50"/>
        <v>2025</v>
      </c>
      <c r="J319" s="55" t="str">
        <f t="shared" ca="1" si="46"/>
        <v/>
      </c>
      <c r="K319" s="55"/>
      <c r="L319" s="55"/>
      <c r="M319" s="55" t="str">
        <f t="shared" ca="1" si="47"/>
        <v/>
      </c>
      <c r="N319" s="55" t="str">
        <f t="shared" ca="1" si="44"/>
        <v/>
      </c>
    </row>
    <row r="320" spans="1:14">
      <c r="A320" s="105">
        <v>330</v>
      </c>
      <c r="B320" s="105" t="str">
        <f>VLOOKUP( $A320, Aop!$A$2:$P$453, 2, 0)</f>
        <v>BTG</v>
      </c>
      <c r="C320" s="55">
        <v>29</v>
      </c>
      <c r="D320" s="55" t="str">
        <f t="shared" si="48"/>
        <v>01937189</v>
      </c>
      <c r="E320" s="55" t="str">
        <f t="shared" si="49"/>
        <v>4401376020001</v>
      </c>
      <c r="F320" s="55" t="b">
        <f t="shared" si="51"/>
        <v>0</v>
      </c>
      <c r="G320" s="139">
        <f t="shared" si="52"/>
        <v>45838</v>
      </c>
      <c r="H320" s="105">
        <f>VLOOKUP( $A320, Aop!$A$2:$P$453, 4, 0)</f>
        <v>547</v>
      </c>
      <c r="I320" s="55">
        <f t="shared" si="50"/>
        <v>2025</v>
      </c>
      <c r="J320" s="55" t="str">
        <f t="shared" ca="1" si="46"/>
        <v/>
      </c>
      <c r="K320" s="55"/>
      <c r="L320" s="55"/>
      <c r="M320" s="55" t="str">
        <f t="shared" ca="1" si="47"/>
        <v/>
      </c>
      <c r="N320" s="55" t="str">
        <f t="shared" ca="1" si="44"/>
        <v/>
      </c>
    </row>
    <row r="321" spans="1:14">
      <c r="A321" s="105">
        <v>331</v>
      </c>
      <c r="B321" s="105" t="str">
        <f>VLOOKUP( $A321, Aop!$A$2:$P$453, 2, 0)</f>
        <v>BTG</v>
      </c>
      <c r="C321" s="55">
        <v>29</v>
      </c>
      <c r="D321" s="55" t="str">
        <f t="shared" si="48"/>
        <v>01937189</v>
      </c>
      <c r="E321" s="55" t="str">
        <f t="shared" si="49"/>
        <v>4401376020001</v>
      </c>
      <c r="F321" s="55" t="b">
        <f t="shared" si="51"/>
        <v>0</v>
      </c>
      <c r="G321" s="139">
        <f t="shared" si="52"/>
        <v>45838</v>
      </c>
      <c r="H321" s="105">
        <f>VLOOKUP( $A321, Aop!$A$2:$P$453, 4, 0)</f>
        <v>548</v>
      </c>
      <c r="I321" s="55">
        <f t="shared" si="50"/>
        <v>2025</v>
      </c>
      <c r="J321" s="55" t="str">
        <f t="shared" ca="1" si="46"/>
        <v/>
      </c>
      <c r="K321" s="55"/>
      <c r="L321" s="55"/>
      <c r="M321" s="55" t="str">
        <f t="shared" ca="1" si="47"/>
        <v/>
      </c>
      <c r="N321" s="55" t="str">
        <f t="shared" ca="1" si="44"/>
        <v/>
      </c>
    </row>
    <row r="322" spans="1:14">
      <c r="A322" s="105">
        <v>332</v>
      </c>
      <c r="B322" s="105" t="str">
        <f>VLOOKUP( $A322, Aop!$A$2:$P$453, 2, 0)</f>
        <v>BTG</v>
      </c>
      <c r="C322" s="55">
        <v>29</v>
      </c>
      <c r="D322" s="55" t="str">
        <f t="shared" si="48"/>
        <v>01937189</v>
      </c>
      <c r="E322" s="55" t="str">
        <f t="shared" si="49"/>
        <v>4401376020001</v>
      </c>
      <c r="F322" s="55" t="b">
        <f t="shared" si="51"/>
        <v>0</v>
      </c>
      <c r="G322" s="139">
        <f t="shared" si="52"/>
        <v>45838</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c r="A323" s="105">
        <v>333</v>
      </c>
      <c r="B323" s="105" t="str">
        <f>VLOOKUP( $A323, Aop!$A$2:$P$453, 2, 0)</f>
        <v>BTG</v>
      </c>
      <c r="C323" s="55">
        <v>29</v>
      </c>
      <c r="D323" s="55" t="str">
        <f t="shared" si="48"/>
        <v>01937189</v>
      </c>
      <c r="E323" s="55" t="str">
        <f t="shared" si="49"/>
        <v>4401376020001</v>
      </c>
      <c r="F323" s="55" t="b">
        <f t="shared" si="51"/>
        <v>0</v>
      </c>
      <c r="G323" s="139">
        <f t="shared" si="52"/>
        <v>45838</v>
      </c>
      <c r="H323" s="105">
        <f>VLOOKUP( $A323, Aop!$A$2:$P$453, 4, 0)</f>
        <v>550</v>
      </c>
      <c r="I323" s="55">
        <f t="shared" si="50"/>
        <v>2025</v>
      </c>
      <c r="J323" s="55" t="str">
        <f t="shared" ca="1" si="46"/>
        <v/>
      </c>
      <c r="K323" s="55"/>
      <c r="L323" s="55"/>
      <c r="M323" s="55" t="str">
        <f t="shared" ca="1" si="47"/>
        <v/>
      </c>
      <c r="N323" s="55" t="str">
        <f t="shared" ca="1" si="53"/>
        <v/>
      </c>
    </row>
    <row r="324" spans="1:14">
      <c r="A324" s="105">
        <v>334</v>
      </c>
      <c r="B324" s="105" t="str">
        <f>VLOOKUP( $A324, Aop!$A$2:$P$453, 2, 0)</f>
        <v>BTG</v>
      </c>
      <c r="C324" s="55">
        <v>29</v>
      </c>
      <c r="D324" s="55" t="str">
        <f t="shared" si="48"/>
        <v>01937189</v>
      </c>
      <c r="E324" s="55" t="str">
        <f t="shared" si="49"/>
        <v>4401376020001</v>
      </c>
      <c r="F324" s="55" t="b">
        <f t="shared" si="51"/>
        <v>0</v>
      </c>
      <c r="G324" s="139">
        <f t="shared" si="52"/>
        <v>45838</v>
      </c>
      <c r="H324" s="105">
        <f>VLOOKUP( $A324, Aop!$A$2:$P$453, 4, 0)</f>
        <v>551</v>
      </c>
      <c r="I324" s="55">
        <f t="shared" si="50"/>
        <v>2025</v>
      </c>
      <c r="J324" s="55" t="str">
        <f t="shared" ca="1" si="46"/>
        <v/>
      </c>
      <c r="K324" s="55"/>
      <c r="L324" s="55"/>
      <c r="M324" s="55">
        <f t="shared" ca="1" si="47"/>
        <v>0</v>
      </c>
      <c r="N324" s="55">
        <f t="shared" ca="1" si="53"/>
        <v>0</v>
      </c>
    </row>
    <row r="325" spans="1:14">
      <c r="A325" s="105">
        <v>335</v>
      </c>
      <c r="B325" s="105" t="str">
        <f>VLOOKUP( $A325, Aop!$A$2:$P$453, 2, 0)</f>
        <v>BTG</v>
      </c>
      <c r="C325" s="55">
        <v>29</v>
      </c>
      <c r="D325" s="55" t="str">
        <f t="shared" si="48"/>
        <v>01937189</v>
      </c>
      <c r="E325" s="55" t="str">
        <f t="shared" si="49"/>
        <v>4401376020001</v>
      </c>
      <c r="F325" s="55" t="b">
        <f t="shared" si="51"/>
        <v>0</v>
      </c>
      <c r="G325" s="139">
        <f t="shared" si="52"/>
        <v>45838</v>
      </c>
      <c r="H325" s="105">
        <f>VLOOKUP( $A325, Aop!$A$2:$P$453, 4, 0)</f>
        <v>552</v>
      </c>
      <c r="I325" s="55">
        <f t="shared" si="50"/>
        <v>2025</v>
      </c>
      <c r="J325" s="55" t="str">
        <f t="shared" ca="1" si="46"/>
        <v/>
      </c>
      <c r="K325" s="55"/>
      <c r="L325" s="55"/>
      <c r="M325" s="55" t="str">
        <f t="shared" ca="1" si="47"/>
        <v/>
      </c>
      <c r="N325" s="55" t="str">
        <f t="shared" ca="1" si="53"/>
        <v/>
      </c>
    </row>
    <row r="326" spans="1:14">
      <c r="A326" s="105">
        <v>336</v>
      </c>
      <c r="B326" s="105" t="str">
        <f>VLOOKUP( $A326, Aop!$A$2:$P$453, 2, 0)</f>
        <v>BTG</v>
      </c>
      <c r="C326" s="55">
        <v>29</v>
      </c>
      <c r="D326" s="55" t="str">
        <f t="shared" si="48"/>
        <v>01937189</v>
      </c>
      <c r="E326" s="55" t="str">
        <f t="shared" si="49"/>
        <v>4401376020001</v>
      </c>
      <c r="F326" s="55" t="b">
        <f t="shared" si="51"/>
        <v>0</v>
      </c>
      <c r="G326" s="139">
        <f t="shared" si="52"/>
        <v>45838</v>
      </c>
      <c r="H326" s="105">
        <f>VLOOKUP( $A326, Aop!$A$2:$P$453, 4, 0)</f>
        <v>553</v>
      </c>
      <c r="I326" s="55">
        <f t="shared" si="50"/>
        <v>2025</v>
      </c>
      <c r="J326" s="55" t="str">
        <f t="shared" ca="1" si="46"/>
        <v/>
      </c>
      <c r="K326" s="55"/>
      <c r="L326" s="55"/>
      <c r="M326" s="55" t="str">
        <f t="shared" ca="1" si="47"/>
        <v/>
      </c>
      <c r="N326" s="55" t="str">
        <f t="shared" ca="1" si="53"/>
        <v/>
      </c>
    </row>
    <row r="327" spans="1:14">
      <c r="A327" s="105">
        <v>337</v>
      </c>
      <c r="B327" s="105" t="str">
        <f>VLOOKUP( $A327, Aop!$A$2:$P$453, 2, 0)</f>
        <v>BTG</v>
      </c>
      <c r="C327" s="55">
        <v>29</v>
      </c>
      <c r="D327" s="55" t="str">
        <f t="shared" si="48"/>
        <v>01937189</v>
      </c>
      <c r="E327" s="55" t="str">
        <f t="shared" si="49"/>
        <v>4401376020001</v>
      </c>
      <c r="F327" s="55" t="b">
        <f t="shared" si="51"/>
        <v>0</v>
      </c>
      <c r="G327" s="139">
        <f t="shared" si="52"/>
        <v>45838</v>
      </c>
      <c r="H327" s="105">
        <f>VLOOKUP( $A327, Aop!$A$2:$P$453, 4, 0)</f>
        <v>554</v>
      </c>
      <c r="I327" s="55">
        <f t="shared" si="50"/>
        <v>2025</v>
      </c>
      <c r="J327" s="55" t="str">
        <f t="shared" ca="1" si="46"/>
        <v/>
      </c>
      <c r="K327" s="55"/>
      <c r="L327" s="55"/>
      <c r="M327" s="55" t="str">
        <f t="shared" ca="1" si="47"/>
        <v/>
      </c>
      <c r="N327" s="55" t="str">
        <f t="shared" ca="1" si="53"/>
        <v/>
      </c>
    </row>
    <row r="328" spans="1:14">
      <c r="A328" s="105">
        <v>338</v>
      </c>
      <c r="B328" s="105" t="str">
        <f>VLOOKUP( $A328, Aop!$A$2:$P$453, 2, 0)</f>
        <v>BTG</v>
      </c>
      <c r="C328" s="55">
        <v>29</v>
      </c>
      <c r="D328" s="55" t="str">
        <f t="shared" si="48"/>
        <v>01937189</v>
      </c>
      <c r="E328" s="55" t="str">
        <f t="shared" si="49"/>
        <v>4401376020001</v>
      </c>
      <c r="F328" s="55" t="b">
        <f t="shared" si="51"/>
        <v>0</v>
      </c>
      <c r="G328" s="139">
        <f t="shared" si="52"/>
        <v>45838</v>
      </c>
      <c r="H328" s="105">
        <f>VLOOKUP( $A328, Aop!$A$2:$P$453, 4, 0)</f>
        <v>555</v>
      </c>
      <c r="I328" s="55">
        <f t="shared" si="50"/>
        <v>2025</v>
      </c>
      <c r="J328" s="55" t="str">
        <f t="shared" ca="1" si="46"/>
        <v/>
      </c>
      <c r="K328" s="55"/>
      <c r="L328" s="55"/>
      <c r="M328" s="55" t="str">
        <f t="shared" ca="1" si="47"/>
        <v/>
      </c>
      <c r="N328" s="55" t="str">
        <f t="shared" ca="1" si="53"/>
        <v/>
      </c>
    </row>
    <row r="329" spans="1:14">
      <c r="A329" s="105">
        <v>339</v>
      </c>
      <c r="B329" s="105" t="str">
        <f>VLOOKUP( $A329, Aop!$A$2:$P$453, 2, 0)</f>
        <v>BTG</v>
      </c>
      <c r="C329" s="55">
        <v>29</v>
      </c>
      <c r="D329" s="55" t="str">
        <f t="shared" si="48"/>
        <v>01937189</v>
      </c>
      <c r="E329" s="55" t="str">
        <f t="shared" si="49"/>
        <v>4401376020001</v>
      </c>
      <c r="F329" s="55" t="b">
        <f t="shared" si="51"/>
        <v>0</v>
      </c>
      <c r="G329" s="139">
        <f t="shared" si="52"/>
        <v>45838</v>
      </c>
      <c r="H329" s="105">
        <f>VLOOKUP( $A329, Aop!$A$2:$P$453, 4, 0)</f>
        <v>556</v>
      </c>
      <c r="I329" s="55">
        <f t="shared" si="50"/>
        <v>2025</v>
      </c>
      <c r="J329" s="55" t="str">
        <f t="shared" ca="1" si="46"/>
        <v/>
      </c>
      <c r="K329" s="55"/>
      <c r="L329" s="55"/>
      <c r="M329" s="55" t="str">
        <f t="shared" ca="1" si="47"/>
        <v/>
      </c>
      <c r="N329" s="55" t="str">
        <f t="shared" ca="1" si="53"/>
        <v/>
      </c>
    </row>
    <row r="330" spans="1:14">
      <c r="A330" s="105">
        <v>340</v>
      </c>
      <c r="B330" s="105" t="str">
        <f>VLOOKUP( $A330, Aop!$A$2:$P$453, 2, 0)</f>
        <v>BTG</v>
      </c>
      <c r="C330" s="55">
        <v>29</v>
      </c>
      <c r="D330" s="55" t="str">
        <f t="shared" si="48"/>
        <v>01937189</v>
      </c>
      <c r="E330" s="55" t="str">
        <f t="shared" si="49"/>
        <v>4401376020001</v>
      </c>
      <c r="F330" s="55" t="b">
        <f t="shared" si="51"/>
        <v>0</v>
      </c>
      <c r="G330" s="139">
        <f t="shared" si="52"/>
        <v>45838</v>
      </c>
      <c r="H330" s="105">
        <f>VLOOKUP( $A330, Aop!$A$2:$P$453, 4, 0)</f>
        <v>557</v>
      </c>
      <c r="I330" s="55">
        <f t="shared" si="50"/>
        <v>2025</v>
      </c>
      <c r="J330" s="55" t="str">
        <f t="shared" ca="1" si="46"/>
        <v/>
      </c>
      <c r="K330" s="55"/>
      <c r="L330" s="55"/>
      <c r="M330" s="55" t="str">
        <f t="shared" ca="1" si="47"/>
        <v/>
      </c>
      <c r="N330" s="55" t="str">
        <f t="shared" ca="1" si="53"/>
        <v/>
      </c>
    </row>
    <row r="331" spans="1:14">
      <c r="A331" s="105">
        <v>341</v>
      </c>
      <c r="B331" s="105" t="str">
        <f>VLOOKUP( $A331, Aop!$A$2:$P$453, 2, 0)</f>
        <v>BTG</v>
      </c>
      <c r="C331" s="55">
        <v>29</v>
      </c>
      <c r="D331" s="55" t="str">
        <f t="shared" si="48"/>
        <v>01937189</v>
      </c>
      <c r="E331" s="55" t="str">
        <f t="shared" si="49"/>
        <v>4401376020001</v>
      </c>
      <c r="F331" s="55" t="b">
        <f t="shared" si="51"/>
        <v>0</v>
      </c>
      <c r="G331" s="139">
        <f t="shared" si="52"/>
        <v>45838</v>
      </c>
      <c r="H331" s="105">
        <f>VLOOKUP( $A331, Aop!$A$2:$P$453, 4, 0)</f>
        <v>558</v>
      </c>
      <c r="I331" s="55">
        <f t="shared" si="50"/>
        <v>2025</v>
      </c>
      <c r="J331" s="55" t="str">
        <f t="shared" ca="1" si="46"/>
        <v/>
      </c>
      <c r="K331" s="55"/>
      <c r="L331" s="55"/>
      <c r="M331" s="55" t="str">
        <f t="shared" ca="1" si="47"/>
        <v/>
      </c>
      <c r="N331" s="55" t="str">
        <f t="shared" ca="1" si="53"/>
        <v/>
      </c>
    </row>
    <row r="332" spans="1:14">
      <c r="A332" s="105">
        <v>342</v>
      </c>
      <c r="B332" s="105" t="str">
        <f>VLOOKUP( $A332, Aop!$A$2:$P$453, 2, 0)</f>
        <v>BTG</v>
      </c>
      <c r="C332" s="55">
        <v>29</v>
      </c>
      <c r="D332" s="55" t="str">
        <f t="shared" si="48"/>
        <v>01937189</v>
      </c>
      <c r="E332" s="55" t="str">
        <f t="shared" si="49"/>
        <v>4401376020001</v>
      </c>
      <c r="F332" s="55" t="b">
        <f t="shared" si="51"/>
        <v>0</v>
      </c>
      <c r="G332" s="139">
        <f t="shared" si="52"/>
        <v>45838</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c r="A333" s="105">
        <v>343</v>
      </c>
      <c r="B333" s="105" t="str">
        <f>VLOOKUP( $A333, Aop!$A$2:$P$453, 2, 0)</f>
        <v>BTG</v>
      </c>
      <c r="C333" s="55">
        <v>29</v>
      </c>
      <c r="D333" s="55" t="str">
        <f t="shared" si="48"/>
        <v>01937189</v>
      </c>
      <c r="E333" s="55" t="str">
        <f t="shared" si="49"/>
        <v>4401376020001</v>
      </c>
      <c r="F333" s="55" t="b">
        <f t="shared" si="51"/>
        <v>0</v>
      </c>
      <c r="G333" s="139">
        <f t="shared" si="52"/>
        <v>45838</v>
      </c>
      <c r="H333" s="105">
        <f>VLOOKUP( $A333, Aop!$A$2:$P$453, 4, 0)</f>
        <v>560</v>
      </c>
      <c r="I333" s="55">
        <f t="shared" si="50"/>
        <v>2025</v>
      </c>
      <c r="J333" s="55" t="str">
        <f t="shared" ca="1" si="54"/>
        <v/>
      </c>
      <c r="K333" s="55"/>
      <c r="L333" s="55"/>
      <c r="M333" s="55">
        <f t="shared" ca="1" si="47"/>
        <v>0</v>
      </c>
      <c r="N333" s="55">
        <f t="shared" ca="1" si="53"/>
        <v>0</v>
      </c>
    </row>
    <row r="334" spans="1:14">
      <c r="A334" s="105">
        <v>344</v>
      </c>
      <c r="B334" s="105" t="str">
        <f>VLOOKUP( $A334, Aop!$A$2:$P$453, 2, 0)</f>
        <v>BTG</v>
      </c>
      <c r="C334" s="55">
        <v>29</v>
      </c>
      <c r="D334" s="55" t="str">
        <f t="shared" si="48"/>
        <v>01937189</v>
      </c>
      <c r="E334" s="55" t="str">
        <f t="shared" si="49"/>
        <v>4401376020001</v>
      </c>
      <c r="F334" s="55" t="b">
        <f t="shared" si="51"/>
        <v>0</v>
      </c>
      <c r="G334" s="139">
        <f t="shared" si="52"/>
        <v>45838</v>
      </c>
      <c r="H334" s="105">
        <f>VLOOKUP( $A334, Aop!$A$2:$P$453, 4, 0)</f>
        <v>561</v>
      </c>
      <c r="I334" s="55">
        <f t="shared" si="50"/>
        <v>2025</v>
      </c>
      <c r="J334" s="55" t="str">
        <f t="shared" ca="1" si="54"/>
        <v/>
      </c>
      <c r="K334" s="55"/>
      <c r="L334" s="55"/>
      <c r="M334" s="55">
        <f t="shared" ca="1" si="47"/>
        <v>555036</v>
      </c>
      <c r="N334" s="55">
        <f t="shared" ca="1" si="53"/>
        <v>555036</v>
      </c>
    </row>
    <row r="335" spans="1:14">
      <c r="A335" s="105">
        <v>345</v>
      </c>
      <c r="B335" s="105" t="str">
        <f>VLOOKUP( $A335, Aop!$A$2:$P$453, 2, 0)</f>
        <v>BTG</v>
      </c>
      <c r="C335" s="55">
        <v>29</v>
      </c>
      <c r="D335" s="55" t="str">
        <f t="shared" si="48"/>
        <v>01937189</v>
      </c>
      <c r="E335" s="55" t="str">
        <f t="shared" si="49"/>
        <v>4401376020001</v>
      </c>
      <c r="F335" s="55" t="b">
        <f t="shared" si="51"/>
        <v>0</v>
      </c>
      <c r="G335" s="139">
        <f t="shared" si="52"/>
        <v>45838</v>
      </c>
      <c r="H335" s="105">
        <f>VLOOKUP( $A335, Aop!$A$2:$P$453, 4, 0)</f>
        <v>562</v>
      </c>
      <c r="I335" s="55">
        <f t="shared" si="50"/>
        <v>2025</v>
      </c>
      <c r="J335" s="55" t="str">
        <f t="shared" ca="1" si="54"/>
        <v/>
      </c>
      <c r="K335" s="55"/>
      <c r="L335" s="55"/>
      <c r="M335" s="55">
        <f t="shared" ca="1" si="47"/>
        <v>540310</v>
      </c>
      <c r="N335" s="55">
        <f t="shared" ca="1" si="53"/>
        <v>540310</v>
      </c>
    </row>
    <row r="336" spans="1:14">
      <c r="A336" s="105">
        <v>346</v>
      </c>
      <c r="B336" s="105" t="str">
        <f>VLOOKUP( $A336, Aop!$A$2:$P$453, 2, 0)</f>
        <v>BTG</v>
      </c>
      <c r="C336" s="55">
        <v>29</v>
      </c>
      <c r="D336" s="55" t="str">
        <f t="shared" si="48"/>
        <v>01937189</v>
      </c>
      <c r="E336" s="55" t="str">
        <f t="shared" si="49"/>
        <v>4401376020001</v>
      </c>
      <c r="F336" s="55" t="b">
        <f t="shared" si="51"/>
        <v>0</v>
      </c>
      <c r="G336" s="139">
        <f t="shared" si="52"/>
        <v>45838</v>
      </c>
      <c r="H336" s="105">
        <f>VLOOKUP( $A336, Aop!$A$2:$P$453, 4, 0)</f>
        <v>563</v>
      </c>
      <c r="I336" s="55">
        <f t="shared" si="50"/>
        <v>2025</v>
      </c>
      <c r="J336" s="55" t="str">
        <f t="shared" ca="1" si="54"/>
        <v/>
      </c>
      <c r="K336" s="55"/>
      <c r="L336" s="55"/>
      <c r="M336" s="55">
        <f t="shared" ca="1" si="47"/>
        <v>14726</v>
      </c>
      <c r="N336" s="55">
        <f t="shared" ca="1" si="53"/>
        <v>14726</v>
      </c>
    </row>
    <row r="337" spans="1:14">
      <c r="A337" s="105">
        <v>347</v>
      </c>
      <c r="B337" s="105" t="str">
        <f>VLOOKUP( $A337, Aop!$A$2:$P$453, 2, 0)</f>
        <v>BTG</v>
      </c>
      <c r="C337" s="55">
        <v>29</v>
      </c>
      <c r="D337" s="55" t="str">
        <f t="shared" si="48"/>
        <v>01937189</v>
      </c>
      <c r="E337" s="55" t="str">
        <f t="shared" si="49"/>
        <v>4401376020001</v>
      </c>
      <c r="F337" s="55" t="b">
        <f t="shared" si="51"/>
        <v>0</v>
      </c>
      <c r="G337" s="139">
        <f t="shared" si="52"/>
        <v>45838</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c r="A338" s="105">
        <v>348</v>
      </c>
      <c r="B338" s="105" t="str">
        <f>VLOOKUP( $A338, Aop!$A$2:$P$453, 2, 0)</f>
        <v>BTG</v>
      </c>
      <c r="C338" s="55">
        <v>29</v>
      </c>
      <c r="D338" s="55" t="str">
        <f t="shared" si="48"/>
        <v>01937189</v>
      </c>
      <c r="E338" s="55" t="str">
        <f t="shared" si="49"/>
        <v>4401376020001</v>
      </c>
      <c r="F338" s="55" t="b">
        <f t="shared" si="51"/>
        <v>0</v>
      </c>
      <c r="G338" s="139">
        <f t="shared" si="52"/>
        <v>45838</v>
      </c>
      <c r="H338" s="105">
        <f>VLOOKUP( $A338, Aop!$A$2:$P$453, 4, 0)</f>
        <v>565</v>
      </c>
      <c r="I338" s="55">
        <f t="shared" si="50"/>
        <v>2025</v>
      </c>
      <c r="J338" s="55" t="str">
        <f t="shared" ca="1" si="54"/>
        <v/>
      </c>
      <c r="K338" s="55"/>
      <c r="L338" s="55"/>
      <c r="M338" s="55" t="str">
        <f t="shared" ca="1" si="55"/>
        <v/>
      </c>
      <c r="N338" s="55" t="str">
        <f t="shared" ca="1" si="53"/>
        <v/>
      </c>
    </row>
    <row r="339" spans="1:14">
      <c r="A339" s="105">
        <v>349</v>
      </c>
      <c r="B339" s="105" t="str">
        <f>VLOOKUP( $A339, Aop!$A$2:$P$453, 2, 0)</f>
        <v>BTG</v>
      </c>
      <c r="C339" s="55">
        <v>29</v>
      </c>
      <c r="D339" s="55" t="str">
        <f t="shared" si="48"/>
        <v>01937189</v>
      </c>
      <c r="E339" s="55" t="str">
        <f t="shared" si="49"/>
        <v>4401376020001</v>
      </c>
      <c r="F339" s="55" t="b">
        <f t="shared" si="51"/>
        <v>0</v>
      </c>
      <c r="G339" s="139">
        <f t="shared" si="52"/>
        <v>45838</v>
      </c>
      <c r="H339" s="105">
        <f>VLOOKUP( $A339, Aop!$A$2:$P$453, 4, 0)</f>
        <v>566</v>
      </c>
      <c r="I339" s="55">
        <f t="shared" si="50"/>
        <v>2025</v>
      </c>
      <c r="J339" s="55" t="str">
        <f t="shared" ca="1" si="54"/>
        <v/>
      </c>
      <c r="K339" s="55"/>
      <c r="L339" s="55"/>
      <c r="M339" s="55" t="str">
        <f t="shared" ca="1" si="55"/>
        <v/>
      </c>
      <c r="N339" s="55" t="str">
        <f t="shared" ca="1" si="53"/>
        <v/>
      </c>
    </row>
    <row r="340" spans="1:14">
      <c r="A340" s="105">
        <v>350</v>
      </c>
      <c r="B340" s="105" t="str">
        <f>VLOOKUP( $A340, Aop!$A$2:$P$453, 2, 0)</f>
        <v>BTG</v>
      </c>
      <c r="C340" s="55">
        <v>29</v>
      </c>
      <c r="D340" s="55" t="str">
        <f t="shared" si="48"/>
        <v>01937189</v>
      </c>
      <c r="E340" s="55" t="str">
        <f t="shared" si="49"/>
        <v>4401376020001</v>
      </c>
      <c r="F340" s="55" t="b">
        <f t="shared" si="51"/>
        <v>0</v>
      </c>
      <c r="G340" s="139">
        <f t="shared" si="52"/>
        <v>45838</v>
      </c>
      <c r="H340" s="105">
        <f>VLOOKUP( $A340, Aop!$A$2:$P$453, 4, 0)</f>
        <v>567</v>
      </c>
      <c r="I340" s="55">
        <f t="shared" si="50"/>
        <v>2025</v>
      </c>
      <c r="J340" s="55" t="str">
        <f t="shared" ca="1" si="54"/>
        <v/>
      </c>
      <c r="K340" s="55"/>
      <c r="L340" s="55"/>
      <c r="M340" s="55" t="str">
        <f t="shared" ca="1" si="55"/>
        <v/>
      </c>
      <c r="N340" s="55" t="str">
        <f t="shared" ca="1" si="53"/>
        <v/>
      </c>
    </row>
    <row r="341" spans="1:14">
      <c r="A341" s="105">
        <v>351</v>
      </c>
      <c r="B341" s="105" t="str">
        <f>VLOOKUP( $A341, Aop!$A$2:$P$453, 2, 0)</f>
        <v>BTG</v>
      </c>
      <c r="C341" s="55">
        <v>29</v>
      </c>
      <c r="D341" s="55" t="str">
        <f t="shared" si="48"/>
        <v>01937189</v>
      </c>
      <c r="E341" s="55" t="str">
        <f t="shared" si="49"/>
        <v>4401376020001</v>
      </c>
      <c r="F341" s="55" t="b">
        <f t="shared" si="51"/>
        <v>0</v>
      </c>
      <c r="G341" s="139">
        <f t="shared" si="52"/>
        <v>45838</v>
      </c>
      <c r="H341" s="105">
        <f>VLOOKUP( $A341, Aop!$A$2:$P$453, 4, 0)</f>
        <v>568</v>
      </c>
      <c r="I341" s="55">
        <f t="shared" si="50"/>
        <v>2025</v>
      </c>
      <c r="J341" s="55" t="str">
        <f t="shared" ca="1" si="54"/>
        <v/>
      </c>
      <c r="K341" s="55"/>
      <c r="L341" s="55"/>
      <c r="M341" s="55">
        <f t="shared" ca="1" si="55"/>
        <v>14726</v>
      </c>
      <c r="N341" s="55">
        <f t="shared" ca="1" si="53"/>
        <v>14726</v>
      </c>
    </row>
    <row r="342" spans="1:14">
      <c r="A342" s="105">
        <v>352</v>
      </c>
      <c r="B342" s="55" t="str">
        <f>VLOOKUP( $A342, Aop!$A$2:$P$453, 2, 0)</f>
        <v>Aneks</v>
      </c>
      <c r="C342" s="55">
        <v>28</v>
      </c>
      <c r="D342" s="55" t="str">
        <f>Podatak_MB</f>
        <v>01937189</v>
      </c>
      <c r="E342" s="55" t="str">
        <f>Podatak_JIB</f>
        <v>4401376020001</v>
      </c>
      <c r="F342" s="55" t="b">
        <f>Konsolidovan_izvjestaj</f>
        <v>0</v>
      </c>
      <c r="G342" s="139">
        <f>Datum_Broj</f>
        <v>45838</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c r="A343" s="105">
        <v>353</v>
      </c>
      <c r="B343" s="105" t="str">
        <f>VLOOKUP( $A343, Aop!$A$2:$P$453, 2, 0)</f>
        <v>Aneks</v>
      </c>
      <c r="C343" s="55">
        <v>28</v>
      </c>
      <c r="D343" s="55" t="str">
        <f t="shared" si="48"/>
        <v>01937189</v>
      </c>
      <c r="E343" s="55" t="str">
        <f t="shared" si="49"/>
        <v>4401376020001</v>
      </c>
      <c r="F343" s="55" t="b">
        <f t="shared" si="51"/>
        <v>0</v>
      </c>
      <c r="G343" s="139">
        <f t="shared" si="52"/>
        <v>45838</v>
      </c>
      <c r="H343" s="105">
        <f>VLOOKUP( $A343, Aop!$A$2:$P$453, 4, 0)</f>
        <v>602</v>
      </c>
      <c r="I343" s="55">
        <f t="shared" si="50"/>
        <v>2025</v>
      </c>
      <c r="J343" s="55"/>
      <c r="K343" s="55"/>
      <c r="L343" s="55"/>
      <c r="M343" s="55">
        <f t="shared" ca="1" si="56"/>
        <v>294129</v>
      </c>
      <c r="N343" s="55" t="str">
        <f t="shared" ca="1" si="53"/>
        <v/>
      </c>
    </row>
    <row r="344" spans="1:14">
      <c r="A344" s="105">
        <v>354</v>
      </c>
      <c r="B344" s="105" t="str">
        <f>VLOOKUP( $A344, Aop!$A$2:$P$453, 2, 0)</f>
        <v>Aneks</v>
      </c>
      <c r="C344" s="55">
        <v>28</v>
      </c>
      <c r="D344" s="55" t="str">
        <f t="shared" si="48"/>
        <v>01937189</v>
      </c>
      <c r="E344" s="55" t="str">
        <f t="shared" si="49"/>
        <v>4401376020001</v>
      </c>
      <c r="F344" s="55" t="b">
        <f t="shared" si="51"/>
        <v>0</v>
      </c>
      <c r="G344" s="139">
        <f t="shared" si="52"/>
        <v>45838</v>
      </c>
      <c r="H344" s="105">
        <f>VLOOKUP( $A344, Aop!$A$2:$P$453, 4, 0)</f>
        <v>603</v>
      </c>
      <c r="I344" s="55">
        <f t="shared" si="50"/>
        <v>2025</v>
      </c>
      <c r="J344" s="55"/>
      <c r="K344" s="55"/>
      <c r="L344" s="55"/>
      <c r="M344" s="55">
        <f t="shared" ref="M344:M407" ca="1" si="57">IF( VLOOKUP( $H344, INDIRECT( "Lookup_" &amp; $B344), IF( LEFT( $B344, 2) = "BS", R$2, R$1), 0) = "", "", VLOOKUP( $H344, INDIRECT( "Lookup_" &amp; $B344), IF( LEFT( $B344, 2) = "BS", R$2, R$1), 0))</f>
        <v>3500</v>
      </c>
      <c r="N344" s="55">
        <f t="shared" ca="1" si="53"/>
        <v>2800</v>
      </c>
    </row>
    <row r="345" spans="1:14">
      <c r="A345" s="105">
        <v>355</v>
      </c>
      <c r="B345" s="105" t="str">
        <f>VLOOKUP( $A345, Aop!$A$2:$P$453, 2, 0)</f>
        <v>Aneks</v>
      </c>
      <c r="C345" s="55">
        <v>28</v>
      </c>
      <c r="D345" s="55" t="str">
        <f t="shared" si="48"/>
        <v>01937189</v>
      </c>
      <c r="E345" s="55" t="str">
        <f t="shared" si="49"/>
        <v>4401376020001</v>
      </c>
      <c r="F345" s="55" t="b">
        <f t="shared" si="51"/>
        <v>0</v>
      </c>
      <c r="G345" s="139">
        <f t="shared" si="52"/>
        <v>45838</v>
      </c>
      <c r="H345" s="105">
        <f>VLOOKUP( $A345, Aop!$A$2:$P$453, 4, 0)</f>
        <v>604</v>
      </c>
      <c r="I345" s="55">
        <f t="shared" si="50"/>
        <v>2025</v>
      </c>
      <c r="J345" s="55"/>
      <c r="K345" s="55"/>
      <c r="L345" s="55"/>
      <c r="M345" s="55">
        <f t="shared" ca="1" si="57"/>
        <v>95</v>
      </c>
      <c r="N345" s="55">
        <f t="shared" ca="1" si="53"/>
        <v>58</v>
      </c>
    </row>
    <row r="346" spans="1:14">
      <c r="A346" s="105">
        <v>356</v>
      </c>
      <c r="B346" s="105" t="str">
        <f>VLOOKUP( $A346, Aop!$A$2:$P$453, 2, 0)</f>
        <v>Aneks</v>
      </c>
      <c r="C346" s="55">
        <v>28</v>
      </c>
      <c r="D346" s="55" t="str">
        <f t="shared" si="48"/>
        <v>01937189</v>
      </c>
      <c r="E346" s="55" t="str">
        <f t="shared" si="49"/>
        <v>4401376020001</v>
      </c>
      <c r="F346" s="55" t="b">
        <f t="shared" si="51"/>
        <v>0</v>
      </c>
      <c r="G346" s="139">
        <f t="shared" si="52"/>
        <v>45838</v>
      </c>
      <c r="H346" s="105">
        <f>VLOOKUP( $A346, Aop!$A$2:$P$453, 4, 0)</f>
        <v>605</v>
      </c>
      <c r="I346" s="55">
        <f t="shared" si="50"/>
        <v>2025</v>
      </c>
      <c r="J346" s="55"/>
      <c r="K346" s="55"/>
      <c r="L346" s="55"/>
      <c r="M346" s="55">
        <f t="shared" ca="1" si="57"/>
        <v>310590</v>
      </c>
      <c r="N346" s="55">
        <f t="shared" ca="1" si="53"/>
        <v>21398</v>
      </c>
    </row>
    <row r="347" spans="1:14">
      <c r="A347" s="105">
        <v>357</v>
      </c>
      <c r="B347" s="105" t="str">
        <f>VLOOKUP( $A347, Aop!$A$2:$P$453, 2, 0)</f>
        <v>Aneks</v>
      </c>
      <c r="C347" s="55">
        <v>28</v>
      </c>
      <c r="D347" s="55" t="str">
        <f t="shared" si="48"/>
        <v>01937189</v>
      </c>
      <c r="E347" s="55" t="str">
        <f t="shared" si="49"/>
        <v>4401376020001</v>
      </c>
      <c r="F347" s="55" t="b">
        <f t="shared" si="51"/>
        <v>0</v>
      </c>
      <c r="G347" s="139">
        <f t="shared" si="52"/>
        <v>45838</v>
      </c>
      <c r="H347" s="105">
        <f>VLOOKUP( $A347, Aop!$A$2:$P$453, 4, 0)</f>
        <v>606</v>
      </c>
      <c r="I347" s="55">
        <f t="shared" si="50"/>
        <v>2025</v>
      </c>
      <c r="J347" s="55"/>
      <c r="K347" s="55"/>
      <c r="L347" s="55"/>
      <c r="M347" s="55" t="str">
        <f t="shared" ca="1" si="57"/>
        <v/>
      </c>
      <c r="N347" s="55" t="str">
        <f t="shared" ca="1" si="53"/>
        <v/>
      </c>
    </row>
    <row r="348" spans="1:14">
      <c r="A348" s="105">
        <v>358</v>
      </c>
      <c r="B348" s="105" t="str">
        <f>VLOOKUP( $A348, Aop!$A$2:$P$453, 2, 0)</f>
        <v>Aneks</v>
      </c>
      <c r="C348" s="55">
        <v>28</v>
      </c>
      <c r="D348" s="55" t="str">
        <f t="shared" si="48"/>
        <v>01937189</v>
      </c>
      <c r="E348" s="55" t="str">
        <f t="shared" si="49"/>
        <v>4401376020001</v>
      </c>
      <c r="F348" s="55" t="b">
        <f t="shared" si="51"/>
        <v>0</v>
      </c>
      <c r="G348" s="139">
        <f t="shared" si="52"/>
        <v>45838</v>
      </c>
      <c r="H348" s="105">
        <f>VLOOKUP( $A348, Aop!$A$2:$P$453, 4, 0)</f>
        <v>607</v>
      </c>
      <c r="I348" s="55">
        <f t="shared" si="50"/>
        <v>2025</v>
      </c>
      <c r="J348" s="55"/>
      <c r="K348" s="55"/>
      <c r="L348" s="55"/>
      <c r="M348" s="55" t="str">
        <f t="shared" ca="1" si="57"/>
        <v/>
      </c>
      <c r="N348" s="55" t="str">
        <f t="shared" ca="1" si="53"/>
        <v/>
      </c>
    </row>
    <row r="349" spans="1:14">
      <c r="A349" s="105">
        <v>359</v>
      </c>
      <c r="B349" s="105" t="str">
        <f>VLOOKUP( $A349, Aop!$A$2:$P$453, 2, 0)</f>
        <v>Aneks</v>
      </c>
      <c r="C349" s="55">
        <v>28</v>
      </c>
      <c r="D349" s="55" t="str">
        <f t="shared" si="48"/>
        <v>01937189</v>
      </c>
      <c r="E349" s="55" t="str">
        <f t="shared" si="49"/>
        <v>4401376020001</v>
      </c>
      <c r="F349" s="55" t="b">
        <f t="shared" si="51"/>
        <v>0</v>
      </c>
      <c r="G349" s="139">
        <f t="shared" si="52"/>
        <v>45838</v>
      </c>
      <c r="H349" s="105">
        <f>VLOOKUP( $A349, Aop!$A$2:$P$453, 4, 0)</f>
        <v>608</v>
      </c>
      <c r="I349" s="55">
        <f t="shared" si="50"/>
        <v>2025</v>
      </c>
      <c r="J349" s="55"/>
      <c r="K349" s="55"/>
      <c r="L349" s="55"/>
      <c r="M349" s="55" t="str">
        <f t="shared" ca="1" si="57"/>
        <v/>
      </c>
      <c r="N349" s="55" t="str">
        <f t="shared" ca="1" si="53"/>
        <v/>
      </c>
    </row>
    <row r="350" spans="1:14">
      <c r="A350" s="105">
        <v>360</v>
      </c>
      <c r="B350" s="105" t="str">
        <f>VLOOKUP( $A350, Aop!$A$2:$P$453, 2, 0)</f>
        <v>Aneks</v>
      </c>
      <c r="C350" s="55">
        <v>28</v>
      </c>
      <c r="D350" s="55" t="str">
        <f t="shared" si="48"/>
        <v>01937189</v>
      </c>
      <c r="E350" s="55" t="str">
        <f t="shared" si="49"/>
        <v>4401376020001</v>
      </c>
      <c r="F350" s="55" t="b">
        <f t="shared" si="51"/>
        <v>0</v>
      </c>
      <c r="G350" s="139">
        <f t="shared" si="52"/>
        <v>45838</v>
      </c>
      <c r="H350" s="105">
        <f>VLOOKUP( $A350, Aop!$A$2:$P$453, 4, 0)</f>
        <v>609</v>
      </c>
      <c r="I350" s="55">
        <f t="shared" si="50"/>
        <v>2025</v>
      </c>
      <c r="J350" s="55"/>
      <c r="K350" s="55"/>
      <c r="L350" s="55"/>
      <c r="M350" s="55" t="str">
        <f t="shared" ca="1" si="57"/>
        <v/>
      </c>
      <c r="N350" s="55" t="str">
        <f t="shared" ca="1" si="53"/>
        <v/>
      </c>
    </row>
    <row r="351" spans="1:14">
      <c r="A351" s="105">
        <v>361</v>
      </c>
      <c r="B351" s="105" t="str">
        <f>VLOOKUP( $A351, Aop!$A$2:$P$453, 2, 0)</f>
        <v>Aneks</v>
      </c>
      <c r="C351" s="55">
        <v>28</v>
      </c>
      <c r="D351" s="55" t="str">
        <f t="shared" si="48"/>
        <v>01937189</v>
      </c>
      <c r="E351" s="55" t="str">
        <f t="shared" si="49"/>
        <v>4401376020001</v>
      </c>
      <c r="F351" s="55" t="b">
        <f t="shared" si="51"/>
        <v>0</v>
      </c>
      <c r="G351" s="139">
        <f t="shared" si="52"/>
        <v>45838</v>
      </c>
      <c r="H351" s="105">
        <f>VLOOKUP( $A351, Aop!$A$2:$P$453, 4, 0)</f>
        <v>610</v>
      </c>
      <c r="I351" s="55">
        <f t="shared" si="50"/>
        <v>2025</v>
      </c>
      <c r="J351" s="55"/>
      <c r="K351" s="55"/>
      <c r="L351" s="55"/>
      <c r="M351" s="55" t="str">
        <f t="shared" ca="1" si="57"/>
        <v/>
      </c>
      <c r="N351" s="55" t="str">
        <f t="shared" ca="1" si="53"/>
        <v/>
      </c>
    </row>
    <row r="352" spans="1:14">
      <c r="A352" s="105">
        <v>362</v>
      </c>
      <c r="B352" s="105" t="str">
        <f>VLOOKUP( $A352, Aop!$A$2:$P$453, 2, 0)</f>
        <v>Aneks</v>
      </c>
      <c r="C352" s="55">
        <v>28</v>
      </c>
      <c r="D352" s="55" t="str">
        <f t="shared" si="48"/>
        <v>01937189</v>
      </c>
      <c r="E352" s="55" t="str">
        <f t="shared" si="49"/>
        <v>4401376020001</v>
      </c>
      <c r="F352" s="55" t="b">
        <f t="shared" si="51"/>
        <v>0</v>
      </c>
      <c r="G352" s="139">
        <f t="shared" si="52"/>
        <v>45838</v>
      </c>
      <c r="H352" s="105">
        <f>VLOOKUP( $A352, Aop!$A$2:$P$453, 4, 0)</f>
        <v>611</v>
      </c>
      <c r="I352" s="55">
        <f t="shared" si="50"/>
        <v>2025</v>
      </c>
      <c r="J352" s="55"/>
      <c r="K352" s="55"/>
      <c r="L352" s="55"/>
      <c r="M352" s="55" t="str">
        <f t="shared" ca="1" si="57"/>
        <v/>
      </c>
      <c r="N352" s="55" t="str">
        <f t="shared" ca="1" si="53"/>
        <v/>
      </c>
    </row>
    <row r="353" spans="1:14">
      <c r="A353" s="105">
        <v>363</v>
      </c>
      <c r="B353" s="105" t="str">
        <f>VLOOKUP( $A353, Aop!$A$2:$P$453, 2, 0)</f>
        <v>Aneks</v>
      </c>
      <c r="C353" s="55">
        <v>28</v>
      </c>
      <c r="D353" s="55" t="str">
        <f t="shared" si="48"/>
        <v>01937189</v>
      </c>
      <c r="E353" s="55" t="str">
        <f t="shared" si="49"/>
        <v>4401376020001</v>
      </c>
      <c r="F353" s="55" t="b">
        <f t="shared" si="51"/>
        <v>0</v>
      </c>
      <c r="G353" s="139">
        <f t="shared" si="52"/>
        <v>45838</v>
      </c>
      <c r="H353" s="105">
        <f>VLOOKUP( $A353, Aop!$A$2:$P$453, 4, 0)</f>
        <v>612</v>
      </c>
      <c r="I353" s="55">
        <f t="shared" si="50"/>
        <v>2025</v>
      </c>
      <c r="J353" s="55"/>
      <c r="K353" s="55"/>
      <c r="L353" s="55"/>
      <c r="M353" s="55" t="str">
        <f t="shared" ca="1" si="57"/>
        <v/>
      </c>
      <c r="N353" s="55" t="str">
        <f t="shared" ca="1" si="53"/>
        <v/>
      </c>
    </row>
    <row r="354" spans="1:14">
      <c r="A354" s="105">
        <v>364</v>
      </c>
      <c r="B354" s="105" t="str">
        <f>VLOOKUP( $A354, Aop!$A$2:$P$453, 2, 0)</f>
        <v>Aneks</v>
      </c>
      <c r="C354" s="55">
        <v>28</v>
      </c>
      <c r="D354" s="55" t="str">
        <f t="shared" si="48"/>
        <v>01937189</v>
      </c>
      <c r="E354" s="55" t="str">
        <f t="shared" si="49"/>
        <v>4401376020001</v>
      </c>
      <c r="F354" s="55" t="b">
        <f t="shared" si="51"/>
        <v>0</v>
      </c>
      <c r="G354" s="139">
        <f t="shared" si="52"/>
        <v>45838</v>
      </c>
      <c r="H354" s="105">
        <f>VLOOKUP( $A354, Aop!$A$2:$P$453, 4, 0)</f>
        <v>613</v>
      </c>
      <c r="I354" s="55">
        <f t="shared" si="50"/>
        <v>2025</v>
      </c>
      <c r="J354" s="55"/>
      <c r="K354" s="55"/>
      <c r="L354" s="55"/>
      <c r="M354" s="55" t="str">
        <f t="shared" ca="1" si="57"/>
        <v/>
      </c>
      <c r="N354" s="55" t="str">
        <f t="shared" ca="1" si="53"/>
        <v/>
      </c>
    </row>
    <row r="355" spans="1:14">
      <c r="A355" s="105">
        <v>365</v>
      </c>
      <c r="B355" s="105" t="str">
        <f>VLOOKUP( $A355, Aop!$A$2:$P$453, 2, 0)</f>
        <v>Aneks</v>
      </c>
      <c r="C355" s="55">
        <v>28</v>
      </c>
      <c r="D355" s="55" t="str">
        <f t="shared" si="48"/>
        <v>01937189</v>
      </c>
      <c r="E355" s="55" t="str">
        <f t="shared" si="49"/>
        <v>4401376020001</v>
      </c>
      <c r="F355" s="55" t="b">
        <f t="shared" si="51"/>
        <v>0</v>
      </c>
      <c r="G355" s="139">
        <f t="shared" si="52"/>
        <v>45838</v>
      </c>
      <c r="H355" s="105">
        <f>VLOOKUP( $A355, Aop!$A$2:$P$453, 4, 0)</f>
        <v>614</v>
      </c>
      <c r="I355" s="55">
        <f t="shared" si="50"/>
        <v>2025</v>
      </c>
      <c r="J355" s="55"/>
      <c r="K355" s="55"/>
      <c r="L355" s="55"/>
      <c r="M355" s="55">
        <f t="shared" ca="1" si="57"/>
        <v>254451</v>
      </c>
      <c r="N355" s="55">
        <f t="shared" ca="1" si="53"/>
        <v>190324</v>
      </c>
    </row>
    <row r="356" spans="1:14">
      <c r="A356" s="105">
        <v>366</v>
      </c>
      <c r="B356" s="105" t="str">
        <f>VLOOKUP( $A356, Aop!$A$2:$P$453, 2, 0)</f>
        <v>Aneks</v>
      </c>
      <c r="C356" s="55">
        <v>28</v>
      </c>
      <c r="D356" s="55" t="str">
        <f t="shared" si="48"/>
        <v>01937189</v>
      </c>
      <c r="E356" s="55" t="str">
        <f t="shared" si="49"/>
        <v>4401376020001</v>
      </c>
      <c r="F356" s="55" t="b">
        <f t="shared" si="51"/>
        <v>0</v>
      </c>
      <c r="G356" s="139">
        <f t="shared" si="52"/>
        <v>45838</v>
      </c>
      <c r="H356" s="105">
        <f>VLOOKUP( $A356, Aop!$A$2:$P$453, 4, 0)</f>
        <v>615</v>
      </c>
      <c r="I356" s="55">
        <f t="shared" si="50"/>
        <v>2025</v>
      </c>
      <c r="J356" s="55"/>
      <c r="K356" s="55"/>
      <c r="L356" s="55"/>
      <c r="M356" s="55" t="str">
        <f t="shared" ca="1" si="57"/>
        <v/>
      </c>
      <c r="N356" s="55" t="str">
        <f t="shared" ca="1" si="53"/>
        <v/>
      </c>
    </row>
    <row r="357" spans="1:14">
      <c r="A357" s="105">
        <v>367</v>
      </c>
      <c r="B357" s="105" t="str">
        <f>VLOOKUP( $A357, Aop!$A$2:$P$453, 2, 0)</f>
        <v>Aneks</v>
      </c>
      <c r="C357" s="55">
        <v>28</v>
      </c>
      <c r="D357" s="55" t="str">
        <f t="shared" ref="D357:D364" si="58">Podatak_MB</f>
        <v>01937189</v>
      </c>
      <c r="E357" s="55" t="str">
        <f t="shared" ref="E357:E364" si="59">Podatak_JIB</f>
        <v>4401376020001</v>
      </c>
      <c r="F357" s="55" t="b">
        <f t="shared" ref="F357:F364" si="60">Konsolidovan_izvjestaj</f>
        <v>0</v>
      </c>
      <c r="G357" s="139">
        <f t="shared" ref="G357:G364" si="61">Datum_Broj</f>
        <v>45838</v>
      </c>
      <c r="H357" s="55">
        <f>VLOOKUP( $A357, Aop!$A$2:$P$453, 4, 0)</f>
        <v>616</v>
      </c>
      <c r="I357" s="55">
        <f t="shared" ref="I357:I364" si="62">Godina</f>
        <v>2025</v>
      </c>
      <c r="J357" s="55"/>
      <c r="K357" s="55"/>
      <c r="L357" s="55"/>
      <c r="M357" s="55" t="str">
        <f t="shared" ca="1" si="57"/>
        <v/>
      </c>
      <c r="N357" s="55" t="str">
        <f t="shared" ca="1" si="53"/>
        <v/>
      </c>
    </row>
    <row r="358" spans="1:14">
      <c r="A358" s="105">
        <v>368</v>
      </c>
      <c r="B358" s="105" t="str">
        <f>VLOOKUP( $A358, Aop!$A$2:$P$453, 2, 0)</f>
        <v>Aneks</v>
      </c>
      <c r="C358" s="55">
        <v>28</v>
      </c>
      <c r="D358" s="55" t="str">
        <f t="shared" si="58"/>
        <v>01937189</v>
      </c>
      <c r="E358" s="55" t="str">
        <f t="shared" si="59"/>
        <v>4401376020001</v>
      </c>
      <c r="F358" s="55" t="b">
        <f t="shared" si="60"/>
        <v>0</v>
      </c>
      <c r="G358" s="139">
        <f t="shared" si="61"/>
        <v>45838</v>
      </c>
      <c r="H358" s="55">
        <f>VLOOKUP( $A358, Aop!$A$2:$P$453, 4, 0)</f>
        <v>617</v>
      </c>
      <c r="I358" s="55">
        <f t="shared" si="62"/>
        <v>2025</v>
      </c>
      <c r="J358" s="55"/>
      <c r="K358" s="55"/>
      <c r="L358" s="55"/>
      <c r="M358" s="55">
        <f t="shared" ca="1" si="57"/>
        <v>0</v>
      </c>
      <c r="N358" s="55">
        <f t="shared" ca="1" si="53"/>
        <v>0</v>
      </c>
    </row>
    <row r="359" spans="1:14">
      <c r="A359" s="105">
        <v>369</v>
      </c>
      <c r="B359" s="105" t="str">
        <f>VLOOKUP( $A359, Aop!$A$2:$P$453, 2, 0)</f>
        <v>Aneks</v>
      </c>
      <c r="C359" s="55">
        <v>28</v>
      </c>
      <c r="D359" s="55" t="str">
        <f t="shared" si="58"/>
        <v>01937189</v>
      </c>
      <c r="E359" s="55" t="str">
        <f t="shared" si="59"/>
        <v>4401376020001</v>
      </c>
      <c r="F359" s="55" t="b">
        <f t="shared" si="60"/>
        <v>0</v>
      </c>
      <c r="G359" s="139">
        <f t="shared" si="61"/>
        <v>45838</v>
      </c>
      <c r="H359" s="55">
        <f>VLOOKUP( $A359, Aop!$A$2:$P$453, 4, 0)</f>
        <v>618</v>
      </c>
      <c r="I359" s="55">
        <f t="shared" si="62"/>
        <v>2025</v>
      </c>
      <c r="J359" s="55"/>
      <c r="K359" s="55"/>
      <c r="L359" s="55"/>
      <c r="M359" s="55" t="str">
        <f t="shared" ca="1" si="57"/>
        <v/>
      </c>
      <c r="N359" s="55" t="str">
        <f t="shared" ca="1" si="53"/>
        <v/>
      </c>
    </row>
    <row r="360" spans="1:14">
      <c r="A360" s="105">
        <v>370</v>
      </c>
      <c r="B360" s="105" t="str">
        <f>VLOOKUP( $A360, Aop!$A$2:$P$453, 2, 0)</f>
        <v>Aneks</v>
      </c>
      <c r="C360" s="55">
        <v>28</v>
      </c>
      <c r="D360" s="55" t="str">
        <f t="shared" si="58"/>
        <v>01937189</v>
      </c>
      <c r="E360" s="55" t="str">
        <f t="shared" si="59"/>
        <v>4401376020001</v>
      </c>
      <c r="F360" s="55" t="b">
        <f t="shared" si="60"/>
        <v>0</v>
      </c>
      <c r="G360" s="139">
        <f t="shared" si="61"/>
        <v>45838</v>
      </c>
      <c r="H360" s="55">
        <f>VLOOKUP( $A360, Aop!$A$2:$P$453, 4, 0)</f>
        <v>619</v>
      </c>
      <c r="I360" s="55">
        <f t="shared" si="62"/>
        <v>2025</v>
      </c>
      <c r="J360" s="55"/>
      <c r="K360" s="55"/>
      <c r="L360" s="55"/>
      <c r="M360" s="55" t="str">
        <f t="shared" ca="1" si="57"/>
        <v/>
      </c>
      <c r="N360" s="55" t="str">
        <f t="shared" ca="1" si="53"/>
        <v/>
      </c>
    </row>
    <row r="361" spans="1:14">
      <c r="A361" s="105">
        <v>371</v>
      </c>
      <c r="B361" s="105" t="str">
        <f>VLOOKUP( $A361, Aop!$A$2:$P$453, 2, 0)</f>
        <v>Aneks</v>
      </c>
      <c r="C361" s="55">
        <v>28</v>
      </c>
      <c r="D361" s="55" t="str">
        <f t="shared" si="58"/>
        <v>01937189</v>
      </c>
      <c r="E361" s="55" t="str">
        <f t="shared" si="59"/>
        <v>4401376020001</v>
      </c>
      <c r="F361" s="55" t="b">
        <f t="shared" si="60"/>
        <v>0</v>
      </c>
      <c r="G361" s="139">
        <f t="shared" si="61"/>
        <v>45838</v>
      </c>
      <c r="H361" s="55">
        <f>VLOOKUP( $A361, Aop!$A$2:$P$453, 4, 0)</f>
        <v>620</v>
      </c>
      <c r="I361" s="55">
        <f t="shared" si="62"/>
        <v>2025</v>
      </c>
      <c r="J361" s="55"/>
      <c r="K361" s="55"/>
      <c r="L361" s="55"/>
      <c r="M361" s="55" t="str">
        <f t="shared" ca="1" si="57"/>
        <v/>
      </c>
      <c r="N361" s="55" t="str">
        <f t="shared" ca="1" si="53"/>
        <v/>
      </c>
    </row>
    <row r="362" spans="1:14">
      <c r="A362" s="105">
        <v>372</v>
      </c>
      <c r="B362" s="105" t="str">
        <f>VLOOKUP( $A362, Aop!$A$2:$P$453, 2, 0)</f>
        <v>Aneks</v>
      </c>
      <c r="C362" s="55">
        <v>28</v>
      </c>
      <c r="D362" s="55" t="str">
        <f t="shared" si="58"/>
        <v>01937189</v>
      </c>
      <c r="E362" s="55" t="str">
        <f t="shared" si="59"/>
        <v>4401376020001</v>
      </c>
      <c r="F362" s="55" t="b">
        <f t="shared" si="60"/>
        <v>0</v>
      </c>
      <c r="G362" s="139">
        <f t="shared" si="61"/>
        <v>45838</v>
      </c>
      <c r="H362" s="55">
        <f>VLOOKUP( $A362, Aop!$A$2:$P$453, 4, 0)</f>
        <v>621</v>
      </c>
      <c r="I362" s="55">
        <f t="shared" si="62"/>
        <v>2025</v>
      </c>
      <c r="J362" s="55"/>
      <c r="K362" s="55"/>
      <c r="L362" s="55"/>
      <c r="M362" s="55" t="str">
        <f t="shared" ca="1" si="57"/>
        <v/>
      </c>
      <c r="N362" s="55" t="str">
        <f t="shared" ca="1" si="53"/>
        <v/>
      </c>
    </row>
    <row r="363" spans="1:14">
      <c r="A363" s="105">
        <v>373</v>
      </c>
      <c r="B363" s="105" t="str">
        <f>VLOOKUP( $A363, Aop!$A$2:$P$453, 2, 0)</f>
        <v>Aneks</v>
      </c>
      <c r="C363" s="55">
        <v>28</v>
      </c>
      <c r="D363" s="55" t="str">
        <f t="shared" si="58"/>
        <v>01937189</v>
      </c>
      <c r="E363" s="55" t="str">
        <f t="shared" si="59"/>
        <v>4401376020001</v>
      </c>
      <c r="F363" s="55" t="b">
        <f t="shared" si="60"/>
        <v>0</v>
      </c>
      <c r="G363" s="139">
        <f t="shared" si="61"/>
        <v>45838</v>
      </c>
      <c r="H363" s="55">
        <f>VLOOKUP( $A363, Aop!$A$2:$P$453, 4, 0)</f>
        <v>622</v>
      </c>
      <c r="I363" s="55">
        <f t="shared" si="62"/>
        <v>2025</v>
      </c>
      <c r="J363" s="55"/>
      <c r="K363" s="55"/>
      <c r="L363" s="55"/>
      <c r="M363" s="55" t="str">
        <f t="shared" ca="1" si="57"/>
        <v/>
      </c>
      <c r="N363" s="55" t="str">
        <f t="shared" ca="1" si="53"/>
        <v/>
      </c>
    </row>
    <row r="364" spans="1:14">
      <c r="A364" s="105">
        <v>374</v>
      </c>
      <c r="B364" s="105" t="str">
        <f>VLOOKUP( $A364, Aop!$A$2:$P$453, 2, 0)</f>
        <v>Aneks</v>
      </c>
      <c r="C364" s="55">
        <v>28</v>
      </c>
      <c r="D364" s="55" t="str">
        <f t="shared" si="58"/>
        <v>01937189</v>
      </c>
      <c r="E364" s="55" t="str">
        <f t="shared" si="59"/>
        <v>4401376020001</v>
      </c>
      <c r="F364" s="55" t="b">
        <f t="shared" si="60"/>
        <v>0</v>
      </c>
      <c r="G364" s="139">
        <f t="shared" si="61"/>
        <v>45838</v>
      </c>
      <c r="H364" s="55">
        <f>VLOOKUP( $A364, Aop!$A$2:$P$453, 4, 0)</f>
        <v>623</v>
      </c>
      <c r="I364" s="55">
        <f t="shared" si="62"/>
        <v>2025</v>
      </c>
      <c r="J364" s="55"/>
      <c r="K364" s="55"/>
      <c r="L364" s="55"/>
      <c r="M364" s="55" t="str">
        <f t="shared" ca="1" si="57"/>
        <v/>
      </c>
      <c r="N364" s="55" t="str">
        <f t="shared" ca="1" si="53"/>
        <v/>
      </c>
    </row>
    <row r="365" spans="1:14">
      <c r="A365" s="105">
        <v>375</v>
      </c>
      <c r="B365" s="52" t="str">
        <f>VLOOKUP( $A365, Aop!$A$2:$P$453, 2, 0)</f>
        <v>Aneks</v>
      </c>
      <c r="C365" s="55">
        <v>28</v>
      </c>
      <c r="D365" s="52" t="str">
        <f t="shared" ref="D365:D381" si="63">Podatak_MB</f>
        <v>01937189</v>
      </c>
      <c r="E365" s="52" t="str">
        <f t="shared" ref="E365:E381" si="64">Podatak_JIB</f>
        <v>4401376020001</v>
      </c>
      <c r="F365" s="52" t="b">
        <f t="shared" ref="F365:F381" si="65">Konsolidovan_izvjestaj</f>
        <v>0</v>
      </c>
      <c r="G365" s="224">
        <f t="shared" ref="G365:G408" si="66">Datum_Broj</f>
        <v>45838</v>
      </c>
      <c r="H365" s="52">
        <f>VLOOKUP( $A365, Aop!$A$2:$P$453, 4, 0)</f>
        <v>624</v>
      </c>
      <c r="I365" s="52">
        <f t="shared" ref="I365:I381" si="67">Godina</f>
        <v>2025</v>
      </c>
      <c r="J365" s="55"/>
      <c r="K365" s="52"/>
      <c r="L365" s="52"/>
      <c r="M365" s="55" t="str">
        <f t="shared" ca="1" si="57"/>
        <v/>
      </c>
      <c r="N365" s="55" t="str">
        <f t="shared" ca="1" si="53"/>
        <v/>
      </c>
    </row>
    <row r="366" spans="1:14">
      <c r="A366" s="105">
        <v>376</v>
      </c>
      <c r="B366" s="52" t="str">
        <f>VLOOKUP( $A366, Aop!$A$2:$P$453, 2, 0)</f>
        <v>Aneks</v>
      </c>
      <c r="C366" s="55">
        <v>28</v>
      </c>
      <c r="D366" s="52" t="str">
        <f t="shared" si="63"/>
        <v>01937189</v>
      </c>
      <c r="E366" s="52" t="str">
        <f t="shared" si="64"/>
        <v>4401376020001</v>
      </c>
      <c r="F366" s="52" t="b">
        <f t="shared" si="65"/>
        <v>0</v>
      </c>
      <c r="G366" s="224">
        <f t="shared" si="66"/>
        <v>45838</v>
      </c>
      <c r="H366" s="52">
        <f>VLOOKUP( $A366, Aop!$A$2:$P$453, 4, 0)</f>
        <v>625</v>
      </c>
      <c r="I366" s="52">
        <f t="shared" si="67"/>
        <v>2025</v>
      </c>
      <c r="J366" s="55"/>
      <c r="K366" s="52"/>
      <c r="L366" s="52"/>
      <c r="M366" s="55" t="str">
        <f t="shared" ca="1" si="57"/>
        <v/>
      </c>
      <c r="N366" s="55" t="str">
        <f t="shared" ca="1" si="53"/>
        <v/>
      </c>
    </row>
    <row r="367" spans="1:14">
      <c r="A367" s="105">
        <v>377</v>
      </c>
      <c r="B367" s="52" t="str">
        <f>VLOOKUP( $A367, Aop!$A$2:$P$453, 2, 0)</f>
        <v>Aneks</v>
      </c>
      <c r="C367" s="55">
        <v>28</v>
      </c>
      <c r="D367" s="52" t="str">
        <f t="shared" si="63"/>
        <v>01937189</v>
      </c>
      <c r="E367" s="52" t="str">
        <f t="shared" si="64"/>
        <v>4401376020001</v>
      </c>
      <c r="F367" s="52" t="b">
        <f t="shared" si="65"/>
        <v>0</v>
      </c>
      <c r="G367" s="224">
        <f t="shared" si="66"/>
        <v>45838</v>
      </c>
      <c r="H367" s="52">
        <f>VLOOKUP( $A367, Aop!$A$2:$P$453, 4, 0)</f>
        <v>626</v>
      </c>
      <c r="I367" s="52">
        <f t="shared" si="67"/>
        <v>2025</v>
      </c>
      <c r="J367" s="55"/>
      <c r="K367" s="52"/>
      <c r="L367" s="52"/>
      <c r="M367" s="55" t="str">
        <f t="shared" ca="1" si="57"/>
        <v/>
      </c>
      <c r="N367" s="55" t="str">
        <f t="shared" ca="1" si="53"/>
        <v/>
      </c>
    </row>
    <row r="368" spans="1:14">
      <c r="A368" s="105">
        <v>378</v>
      </c>
      <c r="B368" s="52" t="str">
        <f>VLOOKUP( $A368, Aop!$A$2:$P$453, 2, 0)</f>
        <v>Aneks</v>
      </c>
      <c r="C368" s="55">
        <v>28</v>
      </c>
      <c r="D368" s="52" t="str">
        <f t="shared" si="63"/>
        <v>01937189</v>
      </c>
      <c r="E368" s="52" t="str">
        <f t="shared" si="64"/>
        <v>4401376020001</v>
      </c>
      <c r="F368" s="52" t="b">
        <f t="shared" si="65"/>
        <v>0</v>
      </c>
      <c r="G368" s="224">
        <f t="shared" si="66"/>
        <v>45838</v>
      </c>
      <c r="H368" s="52">
        <f>VLOOKUP( $A368, Aop!$A$2:$P$453, 4, 0)</f>
        <v>627</v>
      </c>
      <c r="I368" s="52">
        <f t="shared" si="67"/>
        <v>2025</v>
      </c>
      <c r="J368" s="55"/>
      <c r="K368" s="52"/>
      <c r="L368" s="52"/>
      <c r="M368" s="55" t="str">
        <f t="shared" ca="1" si="57"/>
        <v/>
      </c>
      <c r="N368" s="55" t="str">
        <f t="shared" ca="1" si="53"/>
        <v/>
      </c>
    </row>
    <row r="369" spans="1:14">
      <c r="A369" s="105">
        <v>379</v>
      </c>
      <c r="B369" s="52" t="str">
        <f>VLOOKUP( $A369, Aop!$A$2:$P$453, 2, 0)</f>
        <v>Aneks</v>
      </c>
      <c r="C369" s="55">
        <v>28</v>
      </c>
      <c r="D369" s="52" t="str">
        <f t="shared" si="63"/>
        <v>01937189</v>
      </c>
      <c r="E369" s="52" t="str">
        <f t="shared" si="64"/>
        <v>4401376020001</v>
      </c>
      <c r="F369" s="52" t="b">
        <f t="shared" si="65"/>
        <v>0</v>
      </c>
      <c r="G369" s="224">
        <f t="shared" si="66"/>
        <v>45838</v>
      </c>
      <c r="H369" s="52">
        <f>VLOOKUP( $A369, Aop!$A$2:$P$453, 4, 0)</f>
        <v>628</v>
      </c>
      <c r="I369" s="52">
        <f t="shared" si="67"/>
        <v>2025</v>
      </c>
      <c r="J369" s="55"/>
      <c r="K369" s="52"/>
      <c r="L369" s="52"/>
      <c r="M369" s="55" t="str">
        <f t="shared" ca="1" si="57"/>
        <v/>
      </c>
      <c r="N369" s="55" t="str">
        <f t="shared" ca="1" si="53"/>
        <v/>
      </c>
    </row>
    <row r="370" spans="1:14">
      <c r="A370" s="105">
        <v>380</v>
      </c>
      <c r="B370" s="52" t="str">
        <f>VLOOKUP( $A370, Aop!$A$2:$P$453, 2, 0)</f>
        <v>Aneks</v>
      </c>
      <c r="C370" s="55">
        <v>28</v>
      </c>
      <c r="D370" s="52" t="str">
        <f t="shared" si="63"/>
        <v>01937189</v>
      </c>
      <c r="E370" s="52" t="str">
        <f t="shared" si="64"/>
        <v>4401376020001</v>
      </c>
      <c r="F370" s="52" t="b">
        <f t="shared" si="65"/>
        <v>0</v>
      </c>
      <c r="G370" s="224">
        <f t="shared" si="66"/>
        <v>45838</v>
      </c>
      <c r="H370" s="52">
        <f>VLOOKUP( $A370, Aop!$A$2:$P$453, 4, 0)</f>
        <v>629</v>
      </c>
      <c r="I370" s="52">
        <f t="shared" si="67"/>
        <v>2025</v>
      </c>
      <c r="J370" s="55"/>
      <c r="K370" s="52"/>
      <c r="L370" s="52"/>
      <c r="M370" s="55" t="str">
        <f t="shared" ca="1" si="57"/>
        <v/>
      </c>
      <c r="N370" s="55" t="str">
        <f t="shared" ca="1" si="53"/>
        <v/>
      </c>
    </row>
    <row r="371" spans="1:14">
      <c r="A371" s="105">
        <v>381</v>
      </c>
      <c r="B371" s="52" t="str">
        <f>VLOOKUP( $A371, Aop!$A$2:$P$453, 2, 0)</f>
        <v>Aneks</v>
      </c>
      <c r="C371" s="55">
        <v>28</v>
      </c>
      <c r="D371" s="52" t="str">
        <f t="shared" si="63"/>
        <v>01937189</v>
      </c>
      <c r="E371" s="52" t="str">
        <f t="shared" si="64"/>
        <v>4401376020001</v>
      </c>
      <c r="F371" s="52" t="b">
        <f t="shared" si="65"/>
        <v>0</v>
      </c>
      <c r="G371" s="224">
        <f t="shared" si="66"/>
        <v>45838</v>
      </c>
      <c r="H371" s="52">
        <f>VLOOKUP( $A371, Aop!$A$2:$P$453, 4, 0)</f>
        <v>630</v>
      </c>
      <c r="I371" s="52">
        <f t="shared" si="67"/>
        <v>2025</v>
      </c>
      <c r="J371" s="55"/>
      <c r="K371" s="52"/>
      <c r="L371" s="52"/>
      <c r="M371" s="55" t="str">
        <f t="shared" ca="1" si="57"/>
        <v/>
      </c>
      <c r="N371" s="55" t="str">
        <f t="shared" ca="1" si="53"/>
        <v/>
      </c>
    </row>
    <row r="372" spans="1:14">
      <c r="A372" s="105">
        <v>382</v>
      </c>
      <c r="B372" s="52" t="str">
        <f>VLOOKUP( $A372, Aop!$A$2:$P$453, 2, 0)</f>
        <v>Aneks</v>
      </c>
      <c r="C372" s="55">
        <v>28</v>
      </c>
      <c r="D372" s="52" t="str">
        <f t="shared" si="63"/>
        <v>01937189</v>
      </c>
      <c r="E372" s="52" t="str">
        <f t="shared" si="64"/>
        <v>4401376020001</v>
      </c>
      <c r="F372" s="52" t="b">
        <f t="shared" si="65"/>
        <v>0</v>
      </c>
      <c r="G372" s="224">
        <f t="shared" si="66"/>
        <v>45838</v>
      </c>
      <c r="H372" s="52">
        <f>VLOOKUP( $A372, Aop!$A$2:$P$453, 4, 0)</f>
        <v>631</v>
      </c>
      <c r="I372" s="52">
        <f t="shared" si="67"/>
        <v>2025</v>
      </c>
      <c r="J372" s="55"/>
      <c r="K372" s="52"/>
      <c r="L372" s="52"/>
      <c r="M372" s="55" t="str">
        <f t="shared" ca="1" si="57"/>
        <v/>
      </c>
      <c r="N372" s="55" t="str">
        <f t="shared" ca="1" si="53"/>
        <v/>
      </c>
    </row>
    <row r="373" spans="1:14">
      <c r="A373" s="105">
        <v>383</v>
      </c>
      <c r="B373" s="52" t="str">
        <f>VLOOKUP( $A373, Aop!$A$2:$P$453, 2, 0)</f>
        <v>Aneks</v>
      </c>
      <c r="C373" s="55">
        <v>28</v>
      </c>
      <c r="D373" s="52" t="str">
        <f t="shared" si="63"/>
        <v>01937189</v>
      </c>
      <c r="E373" s="52" t="str">
        <f t="shared" si="64"/>
        <v>4401376020001</v>
      </c>
      <c r="F373" s="52" t="b">
        <f t="shared" si="65"/>
        <v>0</v>
      </c>
      <c r="G373" s="224">
        <f t="shared" si="66"/>
        <v>45838</v>
      </c>
      <c r="H373" s="52">
        <f>VLOOKUP( $A373, Aop!$A$2:$P$453, 4, 0)</f>
        <v>632</v>
      </c>
      <c r="I373" s="52">
        <f t="shared" si="67"/>
        <v>2025</v>
      </c>
      <c r="J373" s="55"/>
      <c r="K373" s="52"/>
      <c r="L373" s="52"/>
      <c r="M373" s="55">
        <f t="shared" ca="1" si="57"/>
        <v>243770</v>
      </c>
      <c r="N373" s="55">
        <f t="shared" ca="1" si="53"/>
        <v>316372</v>
      </c>
    </row>
    <row r="374" spans="1:14">
      <c r="A374" s="105">
        <v>384</v>
      </c>
      <c r="B374" s="52" t="str">
        <f>VLOOKUP( $A374, Aop!$A$2:$P$453, 2, 0)</f>
        <v>Aneks</v>
      </c>
      <c r="C374" s="55">
        <v>28</v>
      </c>
      <c r="D374" s="52" t="str">
        <f t="shared" si="63"/>
        <v>01937189</v>
      </c>
      <c r="E374" s="52" t="str">
        <f t="shared" si="64"/>
        <v>4401376020001</v>
      </c>
      <c r="F374" s="52" t="b">
        <f t="shared" si="65"/>
        <v>0</v>
      </c>
      <c r="G374" s="224">
        <f t="shared" si="66"/>
        <v>45838</v>
      </c>
      <c r="H374" s="52">
        <f>VLOOKUP( $A374, Aop!$A$2:$P$453, 4, 0)</f>
        <v>633</v>
      </c>
      <c r="I374" s="52">
        <f t="shared" si="67"/>
        <v>2025</v>
      </c>
      <c r="J374" s="55"/>
      <c r="K374" s="52"/>
      <c r="L374" s="52"/>
      <c r="M374" s="55" t="str">
        <f t="shared" ca="1" si="57"/>
        <v/>
      </c>
      <c r="N374" s="55" t="str">
        <f t="shared" ca="1" si="53"/>
        <v/>
      </c>
    </row>
    <row r="375" spans="1:14">
      <c r="A375" s="105">
        <v>385</v>
      </c>
      <c r="B375" s="52" t="str">
        <f>VLOOKUP( $A375, Aop!$A$2:$P$453, 2, 0)</f>
        <v>Aneks</v>
      </c>
      <c r="C375" s="55">
        <v>28</v>
      </c>
      <c r="D375" s="52" t="str">
        <f t="shared" si="63"/>
        <v>01937189</v>
      </c>
      <c r="E375" s="52" t="str">
        <f t="shared" si="64"/>
        <v>4401376020001</v>
      </c>
      <c r="F375" s="52" t="b">
        <f t="shared" si="65"/>
        <v>0</v>
      </c>
      <c r="G375" s="224">
        <f t="shared" si="66"/>
        <v>45838</v>
      </c>
      <c r="H375" s="52">
        <f>VLOOKUP( $A375, Aop!$A$2:$P$453, 4, 0)</f>
        <v>634</v>
      </c>
      <c r="I375" s="52">
        <f t="shared" si="67"/>
        <v>2025</v>
      </c>
      <c r="J375" s="55"/>
      <c r="K375" s="52"/>
      <c r="L375" s="52"/>
      <c r="M375" s="55" t="str">
        <f t="shared" ca="1" si="57"/>
        <v/>
      </c>
      <c r="N375" s="55" t="str">
        <f t="shared" ca="1" si="53"/>
        <v/>
      </c>
    </row>
    <row r="376" spans="1:14">
      <c r="A376" s="105">
        <v>386</v>
      </c>
      <c r="B376" s="52" t="str">
        <f>VLOOKUP( $A376, Aop!$A$2:$P$453, 2, 0)</f>
        <v>Aneks</v>
      </c>
      <c r="C376" s="55">
        <v>28</v>
      </c>
      <c r="D376" s="52" t="str">
        <f t="shared" si="63"/>
        <v>01937189</v>
      </c>
      <c r="E376" s="52" t="str">
        <f t="shared" si="64"/>
        <v>4401376020001</v>
      </c>
      <c r="F376" s="52" t="b">
        <f t="shared" si="65"/>
        <v>0</v>
      </c>
      <c r="G376" s="224">
        <f t="shared" si="66"/>
        <v>45838</v>
      </c>
      <c r="H376" s="52">
        <f>VLOOKUP( $A376, Aop!$A$2:$P$453, 4, 0)</f>
        <v>635</v>
      </c>
      <c r="I376" s="52">
        <f t="shared" si="67"/>
        <v>2025</v>
      </c>
      <c r="J376" s="55"/>
      <c r="K376" s="52"/>
      <c r="L376" s="52"/>
      <c r="M376" s="55" t="str">
        <f t="shared" ca="1" si="57"/>
        <v/>
      </c>
      <c r="N376" s="55" t="str">
        <f t="shared" ca="1" si="53"/>
        <v/>
      </c>
    </row>
    <row r="377" spans="1:14">
      <c r="A377" s="105">
        <v>387</v>
      </c>
      <c r="B377" s="52" t="str">
        <f>VLOOKUP( $A377, Aop!$A$2:$P$453, 2, 0)</f>
        <v>Aneks</v>
      </c>
      <c r="C377" s="55">
        <v>28</v>
      </c>
      <c r="D377" s="52" t="str">
        <f t="shared" si="63"/>
        <v>01937189</v>
      </c>
      <c r="E377" s="52" t="str">
        <f t="shared" si="64"/>
        <v>4401376020001</v>
      </c>
      <c r="F377" s="52" t="b">
        <f t="shared" si="65"/>
        <v>0</v>
      </c>
      <c r="G377" s="224">
        <f t="shared" si="66"/>
        <v>45838</v>
      </c>
      <c r="H377" s="52">
        <f>VLOOKUP( $A377, Aop!$A$2:$P$453, 4, 0)</f>
        <v>636</v>
      </c>
      <c r="I377" s="52">
        <f t="shared" si="67"/>
        <v>2025</v>
      </c>
      <c r="J377" s="55"/>
      <c r="K377" s="52"/>
      <c r="L377" s="52"/>
      <c r="M377" s="55">
        <f t="shared" ca="1" si="57"/>
        <v>550</v>
      </c>
      <c r="N377" s="55">
        <f t="shared" ca="1" si="53"/>
        <v>2056</v>
      </c>
    </row>
    <row r="378" spans="1:14">
      <c r="A378" s="105">
        <v>388</v>
      </c>
      <c r="B378" s="52" t="str">
        <f>VLOOKUP( $A378, Aop!$A$2:$P$453, 2, 0)</f>
        <v>Aneks</v>
      </c>
      <c r="C378" s="55">
        <v>28</v>
      </c>
      <c r="D378" s="52" t="str">
        <f t="shared" si="63"/>
        <v>01937189</v>
      </c>
      <c r="E378" s="52" t="str">
        <f t="shared" si="64"/>
        <v>4401376020001</v>
      </c>
      <c r="F378" s="52" t="b">
        <f t="shared" si="65"/>
        <v>0</v>
      </c>
      <c r="G378" s="224">
        <f t="shared" si="66"/>
        <v>45838</v>
      </c>
      <c r="H378" s="52">
        <f>VLOOKUP( $A378, Aop!$A$2:$P$453, 4, 0)</f>
        <v>637</v>
      </c>
      <c r="I378" s="52">
        <f t="shared" si="67"/>
        <v>2025</v>
      </c>
      <c r="J378" s="55"/>
      <c r="K378" s="52"/>
      <c r="L378" s="52"/>
      <c r="M378" s="55" t="str">
        <f t="shared" ca="1" si="57"/>
        <v/>
      </c>
      <c r="N378" s="55" t="str">
        <f t="shared" ca="1" si="53"/>
        <v/>
      </c>
    </row>
    <row r="379" spans="1:14">
      <c r="A379" s="105">
        <v>389</v>
      </c>
      <c r="B379" s="52" t="str">
        <f>VLOOKUP( $A379, Aop!$A$2:$P$453, 2, 0)</f>
        <v>Aneks</v>
      </c>
      <c r="C379" s="55">
        <v>28</v>
      </c>
      <c r="D379" s="52" t="str">
        <f t="shared" si="63"/>
        <v>01937189</v>
      </c>
      <c r="E379" s="52" t="str">
        <f t="shared" si="64"/>
        <v>4401376020001</v>
      </c>
      <c r="F379" s="52" t="b">
        <f t="shared" si="65"/>
        <v>0</v>
      </c>
      <c r="G379" s="224">
        <f t="shared" si="66"/>
        <v>45838</v>
      </c>
      <c r="H379" s="52">
        <f>VLOOKUP( $A379, Aop!$A$2:$P$453, 4, 0)</f>
        <v>638</v>
      </c>
      <c r="I379" s="52">
        <f t="shared" si="67"/>
        <v>2025</v>
      </c>
      <c r="J379" s="55"/>
      <c r="K379" s="52"/>
      <c r="L379" s="52"/>
      <c r="M379" s="55">
        <f t="shared" ca="1" si="57"/>
        <v>450</v>
      </c>
      <c r="N379" s="55">
        <f t="shared" ca="1" si="53"/>
        <v>773</v>
      </c>
    </row>
    <row r="380" spans="1:14">
      <c r="A380" s="105">
        <v>390</v>
      </c>
      <c r="B380" s="52" t="str">
        <f>VLOOKUP( $A380, Aop!$A$2:$P$453, 2, 0)</f>
        <v>Aneks</v>
      </c>
      <c r="C380" s="55">
        <v>28</v>
      </c>
      <c r="D380" s="52" t="str">
        <f t="shared" si="63"/>
        <v>01937189</v>
      </c>
      <c r="E380" s="52" t="str">
        <f t="shared" si="64"/>
        <v>4401376020001</v>
      </c>
      <c r="F380" s="52" t="b">
        <f t="shared" si="65"/>
        <v>0</v>
      </c>
      <c r="G380" s="224">
        <f t="shared" si="66"/>
        <v>45838</v>
      </c>
      <c r="H380" s="52">
        <f>VLOOKUP( $A380, Aop!$A$2:$P$453, 4, 0)</f>
        <v>639</v>
      </c>
      <c r="I380" s="52">
        <f t="shared" si="67"/>
        <v>2025</v>
      </c>
      <c r="J380" s="55"/>
      <c r="K380" s="52"/>
      <c r="L380" s="52"/>
      <c r="M380" s="55">
        <f t="shared" ca="1" si="57"/>
        <v>100</v>
      </c>
      <c r="N380" s="55">
        <f t="shared" ca="1" si="53"/>
        <v>300</v>
      </c>
    </row>
    <row r="381" spans="1:14">
      <c r="A381" s="105">
        <v>391</v>
      </c>
      <c r="B381" s="52" t="str">
        <f>VLOOKUP( $A381, Aop!$A$2:$P$453, 2, 0)</f>
        <v>Aneks</v>
      </c>
      <c r="C381" s="55">
        <v>28</v>
      </c>
      <c r="D381" s="52" t="str">
        <f t="shared" si="63"/>
        <v>01937189</v>
      </c>
      <c r="E381" s="52" t="str">
        <f t="shared" si="64"/>
        <v>4401376020001</v>
      </c>
      <c r="F381" s="52" t="b">
        <f t="shared" si="65"/>
        <v>0</v>
      </c>
      <c r="G381" s="224">
        <f t="shared" si="66"/>
        <v>45838</v>
      </c>
      <c r="H381" s="52">
        <f>VLOOKUP( $A381, Aop!$A$2:$P$453, 4, 0)</f>
        <v>640</v>
      </c>
      <c r="I381" s="52">
        <f t="shared" si="67"/>
        <v>2025</v>
      </c>
      <c r="J381" s="55"/>
      <c r="K381" s="52"/>
      <c r="L381" s="52"/>
      <c r="M381" s="55" t="str">
        <f t="shared" ca="1" si="57"/>
        <v/>
      </c>
      <c r="N381" s="55" t="str">
        <f t="shared" ca="1" si="53"/>
        <v/>
      </c>
    </row>
    <row r="382" spans="1:14">
      <c r="A382" s="105">
        <v>392</v>
      </c>
      <c r="B382" s="52" t="str">
        <f>VLOOKUP( $A382, Aop!$A$2:$P$453, 2, 0)</f>
        <v>Aneks</v>
      </c>
      <c r="C382" s="55">
        <v>28</v>
      </c>
      <c r="D382" s="52" t="str">
        <f t="shared" ref="D382:D408" si="68">Podatak_MB</f>
        <v>01937189</v>
      </c>
      <c r="E382" s="52" t="str">
        <f t="shared" ref="E382:E408" si="69">Podatak_JIB</f>
        <v>4401376020001</v>
      </c>
      <c r="F382" s="52" t="b">
        <f t="shared" ref="F382:F408" si="70">Konsolidovan_izvjestaj</f>
        <v>0</v>
      </c>
      <c r="G382" s="224">
        <f t="shared" si="66"/>
        <v>45838</v>
      </c>
      <c r="H382" s="52">
        <f>VLOOKUP( $A382, Aop!$A$2:$P$453, 4, 0)</f>
        <v>641</v>
      </c>
      <c r="I382" s="52">
        <f t="shared" ref="I382:I408" si="71">Godina</f>
        <v>2025</v>
      </c>
      <c r="J382" s="55"/>
      <c r="K382" s="52"/>
      <c r="L382" s="52"/>
      <c r="M382" s="55" t="str">
        <f t="shared" ca="1" si="57"/>
        <v/>
      </c>
      <c r="N382" s="55" t="str">
        <f t="shared" ca="1" si="53"/>
        <v/>
      </c>
    </row>
    <row r="383" spans="1:14">
      <c r="A383" s="105">
        <v>393</v>
      </c>
      <c r="B383" s="52" t="str">
        <f>VLOOKUP( $A383, Aop!$A$2:$P$453, 2, 0)</f>
        <v>Aneks</v>
      </c>
      <c r="C383" s="55">
        <v>28</v>
      </c>
      <c r="D383" s="52" t="str">
        <f t="shared" si="68"/>
        <v>01937189</v>
      </c>
      <c r="E383" s="52" t="str">
        <f t="shared" si="69"/>
        <v>4401376020001</v>
      </c>
      <c r="F383" s="52" t="b">
        <f t="shared" si="70"/>
        <v>0</v>
      </c>
      <c r="G383" s="224">
        <f t="shared" si="66"/>
        <v>45838</v>
      </c>
      <c r="H383" s="52">
        <f>VLOOKUP( $A383, Aop!$A$2:$P$453, 4, 0)</f>
        <v>642</v>
      </c>
      <c r="I383" s="52">
        <f t="shared" si="71"/>
        <v>2025</v>
      </c>
      <c r="J383" s="55"/>
      <c r="K383" s="52"/>
      <c r="L383" s="52"/>
      <c r="M383" s="55" t="str">
        <f t="shared" ca="1" si="57"/>
        <v/>
      </c>
      <c r="N383" s="55" t="str">
        <f t="shared" ca="1" si="53"/>
        <v/>
      </c>
    </row>
    <row r="384" spans="1:14">
      <c r="A384" s="105">
        <v>394</v>
      </c>
      <c r="B384" s="52" t="str">
        <f>VLOOKUP( $A384, Aop!$A$2:$P$453, 2, 0)</f>
        <v>Aneks</v>
      </c>
      <c r="C384" s="55">
        <v>28</v>
      </c>
      <c r="D384" s="52" t="str">
        <f t="shared" si="68"/>
        <v>01937189</v>
      </c>
      <c r="E384" s="52" t="str">
        <f t="shared" si="69"/>
        <v>4401376020001</v>
      </c>
      <c r="F384" s="52" t="b">
        <f t="shared" si="70"/>
        <v>0</v>
      </c>
      <c r="G384" s="224">
        <f t="shared" si="66"/>
        <v>45838</v>
      </c>
      <c r="H384" s="52">
        <f>VLOOKUP( $A384, Aop!$A$2:$P$453, 4, 0)</f>
        <v>643</v>
      </c>
      <c r="I384" s="52">
        <f t="shared" si="71"/>
        <v>2025</v>
      </c>
      <c r="J384" s="55"/>
      <c r="K384" s="52"/>
      <c r="L384" s="52"/>
      <c r="M384" s="55" t="str">
        <f t="shared" ca="1" si="57"/>
        <v/>
      </c>
      <c r="N384" s="55" t="str">
        <f t="shared" ca="1" si="53"/>
        <v/>
      </c>
    </row>
    <row r="385" spans="1:14">
      <c r="A385" s="105">
        <v>395</v>
      </c>
      <c r="B385" s="52" t="str">
        <f>VLOOKUP( $A385, Aop!$A$2:$P$453, 2, 0)</f>
        <v>Aneks</v>
      </c>
      <c r="C385" s="55">
        <v>28</v>
      </c>
      <c r="D385" s="52" t="str">
        <f t="shared" si="68"/>
        <v>01937189</v>
      </c>
      <c r="E385" s="52" t="str">
        <f t="shared" si="69"/>
        <v>4401376020001</v>
      </c>
      <c r="F385" s="52" t="b">
        <f t="shared" si="70"/>
        <v>0</v>
      </c>
      <c r="G385" s="224">
        <f t="shared" si="66"/>
        <v>45838</v>
      </c>
      <c r="H385" s="52">
        <f>VLOOKUP( $A385, Aop!$A$2:$P$453, 4, 0)</f>
        <v>644</v>
      </c>
      <c r="I385" s="52">
        <f t="shared" si="71"/>
        <v>2025</v>
      </c>
      <c r="J385" s="55"/>
      <c r="K385" s="52"/>
      <c r="L385" s="52"/>
      <c r="M385" s="55" t="str">
        <f t="shared" ca="1" si="57"/>
        <v/>
      </c>
      <c r="N385" s="55">
        <f t="shared" ca="1" si="53"/>
        <v>983</v>
      </c>
    </row>
    <row r="386" spans="1:14">
      <c r="A386" s="105">
        <v>396</v>
      </c>
      <c r="B386" s="52" t="str">
        <f>VLOOKUP( $A386, Aop!$A$2:$P$453, 2, 0)</f>
        <v>Aneks</v>
      </c>
      <c r="C386" s="55">
        <v>28</v>
      </c>
      <c r="D386" s="52" t="str">
        <f t="shared" si="68"/>
        <v>01937189</v>
      </c>
      <c r="E386" s="52" t="str">
        <f t="shared" si="69"/>
        <v>4401376020001</v>
      </c>
      <c r="F386" s="52" t="b">
        <f t="shared" si="70"/>
        <v>0</v>
      </c>
      <c r="G386" s="224">
        <f t="shared" si="66"/>
        <v>45838</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c r="A387" s="105">
        <v>397</v>
      </c>
      <c r="B387" s="52" t="str">
        <f>VLOOKUP( $A387, Aop!$A$2:$P$453, 2, 0)</f>
        <v>Aneks</v>
      </c>
      <c r="C387" s="55">
        <v>28</v>
      </c>
      <c r="D387" s="52" t="str">
        <f t="shared" si="68"/>
        <v>01937189</v>
      </c>
      <c r="E387" s="52" t="str">
        <f t="shared" si="69"/>
        <v>4401376020001</v>
      </c>
      <c r="F387" s="52" t="b">
        <f t="shared" si="70"/>
        <v>0</v>
      </c>
      <c r="G387" s="224">
        <f t="shared" si="66"/>
        <v>45838</v>
      </c>
      <c r="H387" s="52">
        <f>VLOOKUP( $A387, Aop!$A$2:$P$453, 4, 0)</f>
        <v>646</v>
      </c>
      <c r="I387" s="52">
        <f t="shared" si="71"/>
        <v>2025</v>
      </c>
      <c r="J387" s="55"/>
      <c r="K387" s="52"/>
      <c r="L387" s="52"/>
      <c r="M387" s="55">
        <f t="shared" ca="1" si="57"/>
        <v>13175</v>
      </c>
      <c r="N387" s="55">
        <f t="shared" ca="1" si="72"/>
        <v>5685</v>
      </c>
    </row>
    <row r="388" spans="1:14">
      <c r="A388" s="105">
        <v>398</v>
      </c>
      <c r="B388" s="52" t="str">
        <f>VLOOKUP( $A388, Aop!$A$2:$P$453, 2, 0)</f>
        <v>Aneks</v>
      </c>
      <c r="C388" s="55">
        <v>28</v>
      </c>
      <c r="D388" s="52" t="str">
        <f t="shared" si="68"/>
        <v>01937189</v>
      </c>
      <c r="E388" s="52" t="str">
        <f t="shared" si="69"/>
        <v>4401376020001</v>
      </c>
      <c r="F388" s="52" t="b">
        <f t="shared" si="70"/>
        <v>0</v>
      </c>
      <c r="G388" s="224">
        <f t="shared" si="66"/>
        <v>45838</v>
      </c>
      <c r="H388" s="52">
        <f>VLOOKUP( $A388, Aop!$A$2:$P$453, 4, 0)</f>
        <v>647</v>
      </c>
      <c r="I388" s="52">
        <f t="shared" si="71"/>
        <v>2025</v>
      </c>
      <c r="J388" s="55"/>
      <c r="K388" s="52"/>
      <c r="L388" s="52"/>
      <c r="M388" s="55">
        <f t="shared" ca="1" si="57"/>
        <v>3866</v>
      </c>
      <c r="N388" s="55">
        <f t="shared" ca="1" si="72"/>
        <v>363</v>
      </c>
    </row>
    <row r="389" spans="1:14">
      <c r="A389" s="105">
        <v>399</v>
      </c>
      <c r="B389" s="52" t="str">
        <f>VLOOKUP( $A389, Aop!$A$2:$P$453, 2, 0)</f>
        <v>Aneks</v>
      </c>
      <c r="C389" s="55">
        <v>28</v>
      </c>
      <c r="D389" s="52" t="str">
        <f t="shared" si="68"/>
        <v>01937189</v>
      </c>
      <c r="E389" s="52" t="str">
        <f t="shared" si="69"/>
        <v>4401376020001</v>
      </c>
      <c r="F389" s="52" t="b">
        <f t="shared" si="70"/>
        <v>0</v>
      </c>
      <c r="G389" s="224">
        <f t="shared" si="66"/>
        <v>45838</v>
      </c>
      <c r="H389" s="52">
        <f>VLOOKUP( $A389, Aop!$A$2:$P$453, 4, 0)</f>
        <v>648</v>
      </c>
      <c r="I389" s="52">
        <f t="shared" si="71"/>
        <v>2025</v>
      </c>
      <c r="J389" s="55"/>
      <c r="K389" s="52"/>
      <c r="L389" s="52"/>
      <c r="M389" s="55" t="str">
        <f t="shared" ca="1" si="57"/>
        <v/>
      </c>
      <c r="N389" s="55" t="str">
        <f t="shared" ca="1" si="72"/>
        <v/>
      </c>
    </row>
    <row r="390" spans="1:14">
      <c r="A390" s="105">
        <v>400</v>
      </c>
      <c r="B390" s="52" t="str">
        <f>VLOOKUP( $A390, Aop!$A$2:$P$453, 2, 0)</f>
        <v>Aneks</v>
      </c>
      <c r="C390" s="55">
        <v>28</v>
      </c>
      <c r="D390" s="52" t="str">
        <f t="shared" si="68"/>
        <v>01937189</v>
      </c>
      <c r="E390" s="52" t="str">
        <f t="shared" si="69"/>
        <v>4401376020001</v>
      </c>
      <c r="F390" s="52" t="b">
        <f t="shared" si="70"/>
        <v>0</v>
      </c>
      <c r="G390" s="224">
        <f t="shared" si="66"/>
        <v>45838</v>
      </c>
      <c r="H390" s="52">
        <f>VLOOKUP( $A390, Aop!$A$2:$P$453, 4, 0)</f>
        <v>649</v>
      </c>
      <c r="I390" s="52">
        <f t="shared" si="71"/>
        <v>2025</v>
      </c>
      <c r="J390" s="55"/>
      <c r="K390" s="52"/>
      <c r="L390" s="52"/>
      <c r="M390" s="55" t="str">
        <f t="shared" ca="1" si="57"/>
        <v/>
      </c>
      <c r="N390" s="55" t="str">
        <f t="shared" ca="1" si="72"/>
        <v/>
      </c>
    </row>
    <row r="391" spans="1:14">
      <c r="A391" s="105">
        <v>401</v>
      </c>
      <c r="B391" s="52" t="str">
        <f>VLOOKUP( $A391, Aop!$A$2:$P$453, 2, 0)</f>
        <v>Aneks</v>
      </c>
      <c r="C391" s="55">
        <v>28</v>
      </c>
      <c r="D391" s="52" t="str">
        <f t="shared" si="68"/>
        <v>01937189</v>
      </c>
      <c r="E391" s="52" t="str">
        <f t="shared" si="69"/>
        <v>4401376020001</v>
      </c>
      <c r="F391" s="52" t="b">
        <f t="shared" si="70"/>
        <v>0</v>
      </c>
      <c r="G391" s="224">
        <f t="shared" si="66"/>
        <v>45838</v>
      </c>
      <c r="H391" s="52">
        <f>VLOOKUP( $A391, Aop!$A$2:$P$453, 4, 0)</f>
        <v>650</v>
      </c>
      <c r="I391" s="52">
        <f t="shared" si="71"/>
        <v>2025</v>
      </c>
      <c r="J391" s="55"/>
      <c r="K391" s="52"/>
      <c r="L391" s="52"/>
      <c r="M391" s="55" t="str">
        <f t="shared" ca="1" si="57"/>
        <v/>
      </c>
      <c r="N391" s="55" t="str">
        <f t="shared" ca="1" si="72"/>
        <v/>
      </c>
    </row>
    <row r="392" spans="1:14">
      <c r="A392" s="105">
        <v>402</v>
      </c>
      <c r="B392" s="52" t="str">
        <f>VLOOKUP( $A392, Aop!$A$2:$P$453, 2, 0)</f>
        <v>Aneks</v>
      </c>
      <c r="C392" s="55">
        <v>28</v>
      </c>
      <c r="D392" s="52" t="str">
        <f t="shared" si="68"/>
        <v>01937189</v>
      </c>
      <c r="E392" s="52" t="str">
        <f t="shared" si="69"/>
        <v>4401376020001</v>
      </c>
      <c r="F392" s="52" t="b">
        <f t="shared" si="70"/>
        <v>0</v>
      </c>
      <c r="G392" s="224">
        <f t="shared" si="66"/>
        <v>45838</v>
      </c>
      <c r="H392" s="52">
        <f>VLOOKUP( $A392, Aop!$A$2:$P$453, 4, 0)</f>
        <v>651</v>
      </c>
      <c r="I392" s="52">
        <f t="shared" si="71"/>
        <v>2025</v>
      </c>
      <c r="J392" s="55"/>
      <c r="K392" s="52"/>
      <c r="L392" s="52"/>
      <c r="M392" s="55" t="str">
        <f t="shared" ca="1" si="57"/>
        <v/>
      </c>
      <c r="N392" s="55" t="str">
        <f t="shared" ca="1" si="72"/>
        <v/>
      </c>
    </row>
    <row r="393" spans="1:14">
      <c r="A393" s="105">
        <v>403</v>
      </c>
      <c r="B393" s="52" t="str">
        <f>VLOOKUP( $A393, Aop!$A$2:$P$453, 2, 0)</f>
        <v>Aneks</v>
      </c>
      <c r="C393" s="55">
        <v>28</v>
      </c>
      <c r="D393" s="52" t="str">
        <f t="shared" si="68"/>
        <v>01937189</v>
      </c>
      <c r="E393" s="52" t="str">
        <f t="shared" si="69"/>
        <v>4401376020001</v>
      </c>
      <c r="F393" s="52" t="b">
        <f t="shared" si="70"/>
        <v>0</v>
      </c>
      <c r="G393" s="224">
        <f t="shared" si="66"/>
        <v>45838</v>
      </c>
      <c r="H393" s="52">
        <f>VLOOKUP( $A393, Aop!$A$2:$P$453, 4, 0)</f>
        <v>652</v>
      </c>
      <c r="I393" s="52">
        <f t="shared" si="71"/>
        <v>2025</v>
      </c>
      <c r="J393" s="55"/>
      <c r="K393" s="52"/>
      <c r="L393" s="52"/>
      <c r="M393" s="55">
        <f t="shared" ca="1" si="57"/>
        <v>6498</v>
      </c>
      <c r="N393" s="55">
        <f t="shared" ca="1" si="72"/>
        <v>4781</v>
      </c>
    </row>
    <row r="394" spans="1:14">
      <c r="A394" s="105">
        <v>404</v>
      </c>
      <c r="B394" s="52" t="str">
        <f>VLOOKUP( $A394, Aop!$A$2:$P$453, 2, 0)</f>
        <v>Aneks</v>
      </c>
      <c r="C394" s="55">
        <v>28</v>
      </c>
      <c r="D394" s="52" t="str">
        <f t="shared" si="68"/>
        <v>01937189</v>
      </c>
      <c r="E394" s="52" t="str">
        <f t="shared" si="69"/>
        <v>4401376020001</v>
      </c>
      <c r="F394" s="52" t="b">
        <f t="shared" si="70"/>
        <v>0</v>
      </c>
      <c r="G394" s="224">
        <f t="shared" si="66"/>
        <v>45838</v>
      </c>
      <c r="H394" s="52">
        <f>VLOOKUP( $A394, Aop!$A$2:$P$453, 4, 0)</f>
        <v>653</v>
      </c>
      <c r="I394" s="52">
        <f t="shared" si="71"/>
        <v>2025</v>
      </c>
      <c r="J394" s="55"/>
      <c r="K394" s="52"/>
      <c r="L394" s="52"/>
      <c r="M394" s="55" t="str">
        <f t="shared" ca="1" si="57"/>
        <v/>
      </c>
      <c r="N394" s="55" t="str">
        <f t="shared" ca="1" si="72"/>
        <v/>
      </c>
    </row>
    <row r="395" spans="1:14">
      <c r="A395" s="105">
        <v>405</v>
      </c>
      <c r="B395" s="52" t="str">
        <f>VLOOKUP( $A395, Aop!$A$2:$P$453, 2, 0)</f>
        <v>Aneks</v>
      </c>
      <c r="C395" s="55">
        <v>28</v>
      </c>
      <c r="D395" s="52" t="str">
        <f t="shared" si="68"/>
        <v>01937189</v>
      </c>
      <c r="E395" s="52" t="str">
        <f t="shared" si="69"/>
        <v>4401376020001</v>
      </c>
      <c r="F395" s="52" t="b">
        <f t="shared" si="70"/>
        <v>0</v>
      </c>
      <c r="G395" s="224">
        <f t="shared" si="66"/>
        <v>45838</v>
      </c>
      <c r="H395" s="52">
        <f>VLOOKUP( $A395, Aop!$A$2:$P$453, 4, 0)</f>
        <v>654</v>
      </c>
      <c r="I395" s="52">
        <f t="shared" si="71"/>
        <v>2025</v>
      </c>
      <c r="J395" s="55"/>
      <c r="K395" s="52"/>
      <c r="L395" s="52"/>
      <c r="M395" s="55" t="str">
        <f t="shared" ca="1" si="57"/>
        <v/>
      </c>
      <c r="N395" s="55" t="str">
        <f t="shared" ca="1" si="72"/>
        <v/>
      </c>
    </row>
    <row r="396" spans="1:14">
      <c r="A396" s="105">
        <v>406</v>
      </c>
      <c r="B396" s="52" t="str">
        <f>VLOOKUP( $A396, Aop!$A$2:$P$453, 2, 0)</f>
        <v>Aneks</v>
      </c>
      <c r="C396" s="55">
        <v>28</v>
      </c>
      <c r="D396" s="52" t="str">
        <f t="shared" si="68"/>
        <v>01937189</v>
      </c>
      <c r="E396" s="52" t="str">
        <f t="shared" si="69"/>
        <v>4401376020001</v>
      </c>
      <c r="F396" s="52" t="b">
        <f t="shared" si="70"/>
        <v>0</v>
      </c>
      <c r="G396" s="224">
        <f t="shared" si="66"/>
        <v>45838</v>
      </c>
      <c r="H396" s="52">
        <f>VLOOKUP( $A396, Aop!$A$2:$P$453, 4, 0)</f>
        <v>655</v>
      </c>
      <c r="I396" s="52">
        <f t="shared" si="71"/>
        <v>2025</v>
      </c>
      <c r="J396" s="55"/>
      <c r="K396" s="52"/>
      <c r="L396" s="52"/>
      <c r="M396" s="55" t="str">
        <f t="shared" ca="1" si="57"/>
        <v/>
      </c>
      <c r="N396" s="55" t="str">
        <f t="shared" ca="1" si="72"/>
        <v/>
      </c>
    </row>
    <row r="397" spans="1:14">
      <c r="A397" s="105">
        <v>407</v>
      </c>
      <c r="B397" s="52" t="str">
        <f>VLOOKUP( $A397, Aop!$A$2:$P$453, 2, 0)</f>
        <v>Aneks</v>
      </c>
      <c r="C397" s="55">
        <v>28</v>
      </c>
      <c r="D397" s="52" t="str">
        <f t="shared" si="68"/>
        <v>01937189</v>
      </c>
      <c r="E397" s="52" t="str">
        <f t="shared" si="69"/>
        <v>4401376020001</v>
      </c>
      <c r="F397" s="52" t="b">
        <f t="shared" si="70"/>
        <v>0</v>
      </c>
      <c r="G397" s="224">
        <f t="shared" si="66"/>
        <v>45838</v>
      </c>
      <c r="H397" s="52">
        <f>VLOOKUP( $A397, Aop!$A$2:$P$453, 4, 0)</f>
        <v>656</v>
      </c>
      <c r="I397" s="52">
        <f t="shared" si="71"/>
        <v>2025</v>
      </c>
      <c r="J397" s="55"/>
      <c r="K397" s="52"/>
      <c r="L397" s="52"/>
      <c r="M397" s="55">
        <f t="shared" ca="1" si="57"/>
        <v>2811</v>
      </c>
      <c r="N397" s="55">
        <f t="shared" ca="1" si="72"/>
        <v>541</v>
      </c>
    </row>
    <row r="398" spans="1:14">
      <c r="A398" s="105">
        <v>408</v>
      </c>
      <c r="B398" s="52" t="str">
        <f>VLOOKUP( $A398, Aop!$A$2:$P$453, 2, 0)</f>
        <v>Aneks</v>
      </c>
      <c r="C398" s="55">
        <v>28</v>
      </c>
      <c r="D398" s="52" t="str">
        <f t="shared" si="68"/>
        <v>01937189</v>
      </c>
      <c r="E398" s="52" t="str">
        <f t="shared" si="69"/>
        <v>4401376020001</v>
      </c>
      <c r="F398" s="52" t="b">
        <f t="shared" si="70"/>
        <v>0</v>
      </c>
      <c r="G398" s="224">
        <f t="shared" si="66"/>
        <v>45838</v>
      </c>
      <c r="H398" s="52">
        <f>VLOOKUP( $A398, Aop!$A$2:$P$453, 4, 0)</f>
        <v>657</v>
      </c>
      <c r="I398" s="52">
        <f t="shared" si="71"/>
        <v>2025</v>
      </c>
      <c r="J398" s="55"/>
      <c r="K398" s="52"/>
      <c r="L398" s="52"/>
      <c r="M398" s="55" t="str">
        <f t="shared" ca="1" si="57"/>
        <v/>
      </c>
      <c r="N398" s="55" t="str">
        <f t="shared" ca="1" si="72"/>
        <v/>
      </c>
    </row>
    <row r="399" spans="1:14">
      <c r="A399" s="105">
        <v>409</v>
      </c>
      <c r="B399" s="52" t="str">
        <f>VLOOKUP( $A399, Aop!$A$2:$P$453, 2, 0)</f>
        <v>Aneks</v>
      </c>
      <c r="C399" s="55">
        <v>28</v>
      </c>
      <c r="D399" s="52" t="str">
        <f t="shared" si="68"/>
        <v>01937189</v>
      </c>
      <c r="E399" s="52" t="str">
        <f t="shared" si="69"/>
        <v>4401376020001</v>
      </c>
      <c r="F399" s="52" t="b">
        <f t="shared" si="70"/>
        <v>0</v>
      </c>
      <c r="G399" s="224">
        <f t="shared" si="66"/>
        <v>45838</v>
      </c>
      <c r="H399" s="52">
        <f>VLOOKUP( $A399, Aop!$A$2:$P$453, 4, 0)</f>
        <v>658</v>
      </c>
      <c r="I399" s="52">
        <f t="shared" si="71"/>
        <v>2025</v>
      </c>
      <c r="J399" s="55"/>
      <c r="K399" s="52"/>
      <c r="L399" s="52"/>
      <c r="M399" s="55">
        <f t="shared" ca="1" si="57"/>
        <v>43751</v>
      </c>
      <c r="N399" s="55">
        <f t="shared" ca="1" si="72"/>
        <v>32353</v>
      </c>
    </row>
    <row r="400" spans="1:14">
      <c r="A400" s="105">
        <v>410</v>
      </c>
      <c r="B400" s="52" t="str">
        <f>VLOOKUP( $A400, Aop!$A$2:$P$453, 2, 0)</f>
        <v>Aneks</v>
      </c>
      <c r="C400" s="55">
        <v>28</v>
      </c>
      <c r="D400" s="52" t="str">
        <f t="shared" si="68"/>
        <v>01937189</v>
      </c>
      <c r="E400" s="52" t="str">
        <f t="shared" si="69"/>
        <v>4401376020001</v>
      </c>
      <c r="F400" s="52" t="b">
        <f t="shared" si="70"/>
        <v>0</v>
      </c>
      <c r="G400" s="224">
        <f t="shared" si="66"/>
        <v>45838</v>
      </c>
      <c r="H400" s="52">
        <f>VLOOKUP( $A400, Aop!$A$2:$P$453, 4, 0)</f>
        <v>659</v>
      </c>
      <c r="I400" s="52">
        <f t="shared" si="71"/>
        <v>2025</v>
      </c>
      <c r="J400" s="55"/>
      <c r="K400" s="52"/>
      <c r="L400" s="52"/>
      <c r="M400" s="55">
        <f t="shared" ca="1" si="57"/>
        <v>44691</v>
      </c>
      <c r="N400" s="55">
        <f t="shared" ca="1" si="72"/>
        <v>2913</v>
      </c>
    </row>
    <row r="401" spans="1:14">
      <c r="A401" s="105">
        <v>411</v>
      </c>
      <c r="B401" s="52" t="str">
        <f>VLOOKUP( $A401, Aop!$A$2:$P$453, 2, 0)</f>
        <v>Aneks</v>
      </c>
      <c r="C401" s="55">
        <v>28</v>
      </c>
      <c r="D401" s="52" t="str">
        <f t="shared" si="68"/>
        <v>01937189</v>
      </c>
      <c r="E401" s="52" t="str">
        <f t="shared" si="69"/>
        <v>4401376020001</v>
      </c>
      <c r="F401" s="52" t="b">
        <f t="shared" si="70"/>
        <v>0</v>
      </c>
      <c r="G401" s="224">
        <f t="shared" si="66"/>
        <v>45838</v>
      </c>
      <c r="H401" s="52">
        <f>VLOOKUP( $A401, Aop!$A$2:$P$453, 4, 0)</f>
        <v>660</v>
      </c>
      <c r="I401" s="52">
        <f t="shared" si="71"/>
        <v>2025</v>
      </c>
      <c r="J401" s="55"/>
      <c r="K401" s="52"/>
      <c r="L401" s="52"/>
      <c r="M401" s="55">
        <f t="shared" ca="1" si="57"/>
        <v>0</v>
      </c>
      <c r="N401" s="55">
        <f t="shared" ca="1" si="72"/>
        <v>2492</v>
      </c>
    </row>
    <row r="402" spans="1:14">
      <c r="A402" s="105">
        <v>412</v>
      </c>
      <c r="B402" s="52" t="str">
        <f>VLOOKUP( $A402, Aop!$A$2:$P$453, 2, 0)</f>
        <v>Aneks</v>
      </c>
      <c r="C402" s="55">
        <v>28</v>
      </c>
      <c r="D402" s="52" t="str">
        <f t="shared" si="68"/>
        <v>01937189</v>
      </c>
      <c r="E402" s="52" t="str">
        <f t="shared" si="69"/>
        <v>4401376020001</v>
      </c>
      <c r="F402" s="52" t="b">
        <f t="shared" si="70"/>
        <v>0</v>
      </c>
      <c r="G402" s="224">
        <f t="shared" si="66"/>
        <v>45838</v>
      </c>
      <c r="H402" s="52">
        <f>VLOOKUP( $A402, Aop!$A$2:$P$453, 4, 0)</f>
        <v>661</v>
      </c>
      <c r="I402" s="52">
        <f t="shared" si="71"/>
        <v>2025</v>
      </c>
      <c r="J402" s="55"/>
      <c r="K402" s="52"/>
      <c r="L402" s="52"/>
      <c r="M402" s="55" t="str">
        <f t="shared" ca="1" si="57"/>
        <v/>
      </c>
      <c r="N402" s="55" t="str">
        <f t="shared" ca="1" si="72"/>
        <v/>
      </c>
    </row>
    <row r="403" spans="1:14">
      <c r="A403" s="105">
        <v>413</v>
      </c>
      <c r="B403" s="52" t="str">
        <f>VLOOKUP( $A403, Aop!$A$2:$P$453, 2, 0)</f>
        <v>Aneks</v>
      </c>
      <c r="C403" s="55">
        <v>28</v>
      </c>
      <c r="D403" s="52" t="str">
        <f t="shared" si="68"/>
        <v>01937189</v>
      </c>
      <c r="E403" s="52" t="str">
        <f t="shared" si="69"/>
        <v>4401376020001</v>
      </c>
      <c r="F403" s="52" t="b">
        <f t="shared" si="70"/>
        <v>0</v>
      </c>
      <c r="G403" s="224">
        <f t="shared" si="66"/>
        <v>45838</v>
      </c>
      <c r="H403" s="52">
        <f>VLOOKUP( $A403, Aop!$A$2:$P$453, 4, 0)</f>
        <v>662</v>
      </c>
      <c r="I403" s="52">
        <f t="shared" si="71"/>
        <v>2025</v>
      </c>
      <c r="J403" s="55"/>
      <c r="K403" s="52"/>
      <c r="L403" s="52"/>
      <c r="M403" s="55" t="str">
        <f t="shared" ca="1" si="57"/>
        <v/>
      </c>
      <c r="N403" s="55" t="str">
        <f t="shared" ca="1" si="72"/>
        <v/>
      </c>
    </row>
    <row r="404" spans="1:14">
      <c r="A404" s="105">
        <v>414</v>
      </c>
      <c r="B404" s="52" t="str">
        <f>VLOOKUP( $A404, Aop!$A$2:$P$453, 2, 0)</f>
        <v>Aneks</v>
      </c>
      <c r="C404" s="55">
        <v>28</v>
      </c>
      <c r="D404" s="52" t="str">
        <f t="shared" si="68"/>
        <v>01937189</v>
      </c>
      <c r="E404" s="52" t="str">
        <f t="shared" si="69"/>
        <v>4401376020001</v>
      </c>
      <c r="F404" s="52" t="b">
        <f t="shared" si="70"/>
        <v>0</v>
      </c>
      <c r="G404" s="224">
        <f t="shared" si="66"/>
        <v>45838</v>
      </c>
      <c r="H404" s="52">
        <f>VLOOKUP( $A404, Aop!$A$2:$P$453, 4, 0)</f>
        <v>663</v>
      </c>
      <c r="I404" s="52">
        <f t="shared" si="71"/>
        <v>2025</v>
      </c>
      <c r="J404" s="55"/>
      <c r="K404" s="52"/>
      <c r="L404" s="52"/>
      <c r="M404" s="55" t="str">
        <f t="shared" ca="1" si="57"/>
        <v/>
      </c>
      <c r="N404" s="55" t="str">
        <f t="shared" ca="1" si="72"/>
        <v/>
      </c>
    </row>
    <row r="405" spans="1:14">
      <c r="A405" s="105">
        <v>415</v>
      </c>
      <c r="B405" s="52" t="str">
        <f>VLOOKUP( $A405, Aop!$A$2:$P$453, 2, 0)</f>
        <v>Aneks</v>
      </c>
      <c r="C405" s="55">
        <v>28</v>
      </c>
      <c r="D405" s="52" t="str">
        <f t="shared" si="68"/>
        <v>01937189</v>
      </c>
      <c r="E405" s="52" t="str">
        <f t="shared" si="69"/>
        <v>4401376020001</v>
      </c>
      <c r="F405" s="52" t="b">
        <f t="shared" si="70"/>
        <v>0</v>
      </c>
      <c r="G405" s="224">
        <f t="shared" si="66"/>
        <v>45838</v>
      </c>
      <c r="H405" s="52">
        <f>VLOOKUP( $A405, Aop!$A$2:$P$453, 4, 0)</f>
        <v>664</v>
      </c>
      <c r="I405" s="52">
        <f t="shared" si="71"/>
        <v>2025</v>
      </c>
      <c r="J405" s="55"/>
      <c r="K405" s="52"/>
      <c r="L405" s="52"/>
      <c r="M405" s="55" t="str">
        <f t="shared" ca="1" si="57"/>
        <v/>
      </c>
      <c r="N405" s="55" t="str">
        <f t="shared" ca="1" si="72"/>
        <v/>
      </c>
    </row>
    <row r="406" spans="1:14">
      <c r="A406" s="105">
        <v>416</v>
      </c>
      <c r="B406" s="52" t="str">
        <f>VLOOKUP( $A406, Aop!$A$2:$P$453, 2, 0)</f>
        <v>Aneks</v>
      </c>
      <c r="C406" s="55">
        <v>28</v>
      </c>
      <c r="D406" s="52" t="str">
        <f t="shared" si="68"/>
        <v>01937189</v>
      </c>
      <c r="E406" s="52" t="str">
        <f t="shared" si="69"/>
        <v>4401376020001</v>
      </c>
      <c r="F406" s="52" t="b">
        <f t="shared" si="70"/>
        <v>0</v>
      </c>
      <c r="G406" s="224">
        <f t="shared" si="66"/>
        <v>45838</v>
      </c>
      <c r="H406" s="52">
        <f>VLOOKUP( $A406, Aop!$A$2:$P$453, 4, 0)</f>
        <v>665</v>
      </c>
      <c r="I406" s="52">
        <f t="shared" si="71"/>
        <v>2025</v>
      </c>
      <c r="J406" s="55"/>
      <c r="K406" s="52"/>
      <c r="L406" s="52"/>
      <c r="M406" s="55" t="str">
        <f t="shared" ca="1" si="57"/>
        <v/>
      </c>
      <c r="N406" s="55" t="str">
        <f t="shared" ca="1" si="72"/>
        <v/>
      </c>
    </row>
    <row r="407" spans="1:14">
      <c r="A407" s="105">
        <v>417</v>
      </c>
      <c r="B407" s="52" t="str">
        <f>VLOOKUP( $A407, Aop!$A$2:$P$453, 2, 0)</f>
        <v>Aneks</v>
      </c>
      <c r="C407" s="55">
        <v>28</v>
      </c>
      <c r="D407" s="52" t="str">
        <f t="shared" si="68"/>
        <v>01937189</v>
      </c>
      <c r="E407" s="52" t="str">
        <f t="shared" si="69"/>
        <v>4401376020001</v>
      </c>
      <c r="F407" s="52" t="b">
        <f t="shared" si="70"/>
        <v>0</v>
      </c>
      <c r="G407" s="224">
        <f t="shared" si="66"/>
        <v>45838</v>
      </c>
      <c r="H407" s="52">
        <f>VLOOKUP( $A407, Aop!$A$2:$P$453, 4, 0)</f>
        <v>666</v>
      </c>
      <c r="I407" s="52">
        <f t="shared" si="71"/>
        <v>2025</v>
      </c>
      <c r="J407" s="55"/>
      <c r="K407" s="52"/>
      <c r="L407" s="52"/>
      <c r="M407" s="55" t="str">
        <f t="shared" ca="1" si="57"/>
        <v/>
      </c>
      <c r="N407" s="55" t="str">
        <f t="shared" ca="1" si="72"/>
        <v/>
      </c>
    </row>
    <row r="408" spans="1:14">
      <c r="A408" s="105">
        <v>418</v>
      </c>
      <c r="B408" s="52" t="str">
        <f>VLOOKUP( $A408, Aop!$A$2:$P$453, 2, 0)</f>
        <v>Aneks</v>
      </c>
      <c r="C408" s="55">
        <v>28</v>
      </c>
      <c r="D408" s="52" t="str">
        <f t="shared" si="68"/>
        <v>01937189</v>
      </c>
      <c r="E408" s="52" t="str">
        <f t="shared" si="69"/>
        <v>4401376020001</v>
      </c>
      <c r="F408" s="52" t="b">
        <f t="shared" si="70"/>
        <v>0</v>
      </c>
      <c r="G408" s="224">
        <f t="shared" si="66"/>
        <v>45838</v>
      </c>
      <c r="H408" s="52">
        <f>VLOOKUP( $A408, Aop!$A$2:$P$453, 4, 0)</f>
        <v>667</v>
      </c>
      <c r="I408" s="52">
        <f t="shared" si="71"/>
        <v>2025</v>
      </c>
      <c r="J408" s="55"/>
      <c r="K408" s="52"/>
      <c r="L408" s="52"/>
      <c r="M408" s="55">
        <f t="shared" ref="M408" ca="1" si="73">IF( VLOOKUP( $H408, INDIRECT( "Lookup_" &amp; $B408), IF( LEFT( $B408, 2) = "BS", R$2, R$1), 0) = "", "", VLOOKUP( $H408, INDIRECT( "Lookup_" &amp; $B408), IF( LEFT( $B408, 2) = "BS", R$2, R$1), 0))</f>
        <v>20640</v>
      </c>
      <c r="N408" s="55">
        <f t="shared" ca="1" si="72"/>
        <v>20800</v>
      </c>
    </row>
  </sheetData>
  <sheetProtection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sheetPr codeName="Sheet21"/>
  <dimension ref="A1:S35"/>
  <sheetViews>
    <sheetView showGridLines="0" showRowColHeaders="0" workbookViewId="0">
      <selection activeCell="I2" sqref="I2"/>
    </sheetView>
  </sheetViews>
  <sheetFormatPr defaultRowHeight="12.75"/>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c r="A2" s="106">
        <v>419</v>
      </c>
      <c r="B2" s="107" t="str">
        <f>VLOOKUP( $A2, Aop!$A$2:$P$453, 2, 0)</f>
        <v>BPK</v>
      </c>
      <c r="C2" s="55" t="str">
        <f t="shared" ref="C2:C20" si="0">Podatak_MB</f>
        <v>01937189</v>
      </c>
      <c r="D2" s="55" t="str">
        <f t="shared" ref="D2:D20" si="1">Podatak_JIB</f>
        <v>4401376020001</v>
      </c>
      <c r="E2" s="55" t="b">
        <f t="shared" ref="E2:E20" si="2">Konsolidovan_izvjestaj</f>
        <v>0</v>
      </c>
      <c r="F2" s="11">
        <f>VLOOKUP( $A2, Aop!$A$2:$P$453, 4, 0)</f>
        <v>0</v>
      </c>
      <c r="G2" s="55">
        <f t="shared" ref="G2:G20" si="3">Godina</f>
        <v>2025</v>
      </c>
      <c r="H2" s="139">
        <f t="shared" ref="H2:H20" si="4">Datum_Broj</f>
        <v>45838</v>
      </c>
      <c r="I2" s="55">
        <v>30</v>
      </c>
      <c r="J2" s="52" t="s">
        <v>786</v>
      </c>
      <c r="K2" s="52" t="s">
        <v>786</v>
      </c>
      <c r="L2" s="52" t="s">
        <v>786</v>
      </c>
      <c r="M2" s="52" t="s">
        <v>786</v>
      </c>
      <c r="N2" s="52" t="s">
        <v>786</v>
      </c>
      <c r="O2" s="52" t="s">
        <v>786</v>
      </c>
      <c r="P2" s="52" t="s">
        <v>786</v>
      </c>
      <c r="Q2" s="52" t="s">
        <v>786</v>
      </c>
      <c r="R2" s="52" t="s">
        <v>786</v>
      </c>
      <c r="S2" s="52" t="s">
        <v>786</v>
      </c>
    </row>
    <row r="3" spans="1:19">
      <c r="A3" s="106">
        <v>420</v>
      </c>
      <c r="B3" s="107" t="str">
        <f>VLOOKUP( $A3, Aop!$A$2:$P$453, 2, 0)</f>
        <v>BPK</v>
      </c>
      <c r="C3" s="55" t="str">
        <f t="shared" si="0"/>
        <v>01937189</v>
      </c>
      <c r="D3" s="55" t="str">
        <f t="shared" si="1"/>
        <v>4401376020001</v>
      </c>
      <c r="E3" s="55" t="b">
        <f t="shared" si="2"/>
        <v>0</v>
      </c>
      <c r="F3" s="11">
        <f>VLOOKUP( $A3, Aop!$A$2:$P$453, 4, 0)</f>
        <v>901</v>
      </c>
      <c r="G3" s="55">
        <f t="shared" si="3"/>
        <v>2025</v>
      </c>
      <c r="H3" s="139">
        <f t="shared" si="4"/>
        <v>45838</v>
      </c>
      <c r="I3" s="55">
        <v>30</v>
      </c>
      <c r="J3" s="52">
        <f t="shared" ref="J3:S19" ca="1" si="5">IF(VLOOKUP($F3,INDIRECT("Lookup_"&amp;$B3),J$1-1,0)="","",VLOOKUP($F3,INDIRECT("Lookup_"&amp;$B3),J$1-1,0))</f>
        <v>87859</v>
      </c>
      <c r="K3" s="52" t="str">
        <f t="shared" ca="1" si="5"/>
        <v/>
      </c>
      <c r="L3" s="52">
        <f t="shared" ca="1" si="5"/>
        <v>528</v>
      </c>
      <c r="M3" s="52" t="str">
        <f t="shared" ca="1" si="5"/>
        <v/>
      </c>
      <c r="N3" s="52" t="str">
        <f t="shared" ca="1" si="5"/>
        <v/>
      </c>
      <c r="O3" s="52" t="str">
        <f t="shared" ca="1" si="5"/>
        <v/>
      </c>
      <c r="P3" s="52">
        <f t="shared" ca="1" si="5"/>
        <v>-250206</v>
      </c>
      <c r="Q3" s="52">
        <f t="shared" ca="1" si="5"/>
        <v>-161819</v>
      </c>
      <c r="R3" s="52" t="str">
        <f t="shared" ca="1" si="5"/>
        <v/>
      </c>
      <c r="S3" s="52">
        <f t="shared" ca="1" si="5"/>
        <v>-161819</v>
      </c>
    </row>
    <row r="4" spans="1:19">
      <c r="A4" s="106">
        <v>421</v>
      </c>
      <c r="B4" s="107" t="str">
        <f>VLOOKUP( $A4, Aop!$A$2:$P$453, 2, 0)</f>
        <v>BPK</v>
      </c>
      <c r="C4" s="55" t="str">
        <f t="shared" si="0"/>
        <v>01937189</v>
      </c>
      <c r="D4" s="55" t="str">
        <f t="shared" si="1"/>
        <v>4401376020001</v>
      </c>
      <c r="E4" s="55" t="b">
        <f t="shared" si="2"/>
        <v>0</v>
      </c>
      <c r="F4" s="11">
        <f>VLOOKUP( $A4, Aop!$A$2:$P$453, 4, 0)</f>
        <v>0</v>
      </c>
      <c r="G4" s="55">
        <f t="shared" si="3"/>
        <v>2025</v>
      </c>
      <c r="H4" s="139">
        <f t="shared" si="4"/>
        <v>45838</v>
      </c>
      <c r="I4" s="55">
        <v>30</v>
      </c>
      <c r="J4" s="52" t="s">
        <v>786</v>
      </c>
      <c r="K4" s="52" t="s">
        <v>786</v>
      </c>
      <c r="L4" s="52" t="s">
        <v>786</v>
      </c>
      <c r="M4" s="52" t="s">
        <v>786</v>
      </c>
      <c r="N4" s="52" t="s">
        <v>786</v>
      </c>
      <c r="O4" s="52" t="s">
        <v>786</v>
      </c>
      <c r="P4" s="52" t="s">
        <v>786</v>
      </c>
      <c r="Q4" s="52" t="s">
        <v>786</v>
      </c>
      <c r="R4" s="52" t="s">
        <v>786</v>
      </c>
      <c r="S4" s="52" t="s">
        <v>786</v>
      </c>
    </row>
    <row r="5" spans="1:19">
      <c r="A5" s="106">
        <v>422</v>
      </c>
      <c r="B5" s="107" t="str">
        <f>VLOOKUP( $A5, Aop!$A$2:$P$453, 2, 0)</f>
        <v>BPK</v>
      </c>
      <c r="C5" s="55" t="str">
        <f t="shared" si="0"/>
        <v>01937189</v>
      </c>
      <c r="D5" s="55" t="str">
        <f t="shared" si="1"/>
        <v>4401376020001</v>
      </c>
      <c r="E5" s="55" t="b">
        <f t="shared" si="2"/>
        <v>0</v>
      </c>
      <c r="F5" s="11">
        <f>VLOOKUP( $A5, Aop!$A$2:$P$453, 4, 0)</f>
        <v>902</v>
      </c>
      <c r="G5" s="55">
        <f t="shared" si="3"/>
        <v>2025</v>
      </c>
      <c r="H5" s="139">
        <f t="shared" si="4"/>
        <v>45838</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c r="A6" s="106">
        <v>423</v>
      </c>
      <c r="B6" s="107" t="str">
        <f>VLOOKUP( $A6, Aop!$A$2:$P$453, 2, 0)</f>
        <v>BPK</v>
      </c>
      <c r="C6" s="55" t="str">
        <f t="shared" si="0"/>
        <v>01937189</v>
      </c>
      <c r="D6" s="55" t="str">
        <f t="shared" si="1"/>
        <v>4401376020001</v>
      </c>
      <c r="E6" s="55" t="b">
        <f t="shared" si="2"/>
        <v>0</v>
      </c>
      <c r="F6" s="11">
        <f>VLOOKUP( $A6, Aop!$A$2:$P$453, 4, 0)</f>
        <v>903</v>
      </c>
      <c r="G6" s="55">
        <f t="shared" si="3"/>
        <v>2025</v>
      </c>
      <c r="H6" s="139">
        <f t="shared" si="4"/>
        <v>45838</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c r="A7" s="106">
        <v>424</v>
      </c>
      <c r="B7" s="107" t="str">
        <f>VLOOKUP( $A7, Aop!$A$2:$P$453, 2, 0)</f>
        <v>BPK</v>
      </c>
      <c r="C7" s="55" t="str">
        <f t="shared" si="0"/>
        <v>01937189</v>
      </c>
      <c r="D7" s="55" t="str">
        <f t="shared" si="1"/>
        <v>4401376020001</v>
      </c>
      <c r="E7" s="55" t="b">
        <f t="shared" si="2"/>
        <v>0</v>
      </c>
      <c r="F7" s="11">
        <f>VLOOKUP( $A7, Aop!$A$2:$P$453, 4, 0)</f>
        <v>904</v>
      </c>
      <c r="G7" s="55">
        <f t="shared" si="3"/>
        <v>2025</v>
      </c>
      <c r="H7" s="139">
        <f t="shared" si="4"/>
        <v>45838</v>
      </c>
      <c r="I7" s="55">
        <v>30</v>
      </c>
      <c r="J7" s="52">
        <f t="shared" ca="1" si="5"/>
        <v>87859</v>
      </c>
      <c r="K7" s="52">
        <f t="shared" ca="1" si="5"/>
        <v>0</v>
      </c>
      <c r="L7" s="52">
        <f t="shared" ca="1" si="5"/>
        <v>528</v>
      </c>
      <c r="M7" s="52">
        <f t="shared" ca="1" si="5"/>
        <v>0</v>
      </c>
      <c r="N7" s="52">
        <f t="shared" ca="1" si="5"/>
        <v>0</v>
      </c>
      <c r="O7" s="52">
        <f t="shared" ca="1" si="5"/>
        <v>0</v>
      </c>
      <c r="P7" s="52">
        <f t="shared" ca="1" si="5"/>
        <v>-250206</v>
      </c>
      <c r="Q7" s="52">
        <f t="shared" ca="1" si="5"/>
        <v>-161819</v>
      </c>
      <c r="R7" s="52">
        <f t="shared" ca="1" si="5"/>
        <v>0</v>
      </c>
      <c r="S7" s="52">
        <f t="shared" ca="1" si="5"/>
        <v>-161819</v>
      </c>
    </row>
    <row r="8" spans="1:19">
      <c r="A8" s="106">
        <v>425</v>
      </c>
      <c r="B8" s="107" t="str">
        <f>VLOOKUP( $A8, Aop!$A$2:$P$453, 2, 0)</f>
        <v>BPK</v>
      </c>
      <c r="C8" s="55" t="str">
        <f t="shared" si="0"/>
        <v>01937189</v>
      </c>
      <c r="D8" s="55" t="str">
        <f t="shared" si="1"/>
        <v>4401376020001</v>
      </c>
      <c r="E8" s="55" t="b">
        <f t="shared" si="2"/>
        <v>0</v>
      </c>
      <c r="F8" s="11">
        <f>VLOOKUP( $A8, Aop!$A$2:$P$453, 4, 0)</f>
        <v>0</v>
      </c>
      <c r="G8" s="55">
        <f t="shared" si="3"/>
        <v>2025</v>
      </c>
      <c r="H8" s="139">
        <f t="shared" si="4"/>
        <v>45838</v>
      </c>
      <c r="I8" s="55">
        <v>30</v>
      </c>
      <c r="J8" s="52" t="s">
        <v>786</v>
      </c>
      <c r="K8" s="52" t="s">
        <v>786</v>
      </c>
      <c r="L8" s="52" t="s">
        <v>786</v>
      </c>
      <c r="M8" s="52" t="s">
        <v>786</v>
      </c>
      <c r="N8" s="52" t="s">
        <v>786</v>
      </c>
      <c r="O8" s="52" t="s">
        <v>786</v>
      </c>
      <c r="P8" s="52" t="s">
        <v>786</v>
      </c>
      <c r="Q8" s="52" t="s">
        <v>786</v>
      </c>
      <c r="R8" s="52" t="s">
        <v>786</v>
      </c>
      <c r="S8" s="52" t="s">
        <v>786</v>
      </c>
    </row>
    <row r="9" spans="1:19">
      <c r="A9" s="106">
        <v>426</v>
      </c>
      <c r="B9" s="107" t="str">
        <f>VLOOKUP( $A9, Aop!$A$2:$P$453, 2, 0)</f>
        <v>BPK</v>
      </c>
      <c r="C9" s="55" t="str">
        <f t="shared" si="0"/>
        <v>01937189</v>
      </c>
      <c r="D9" s="55" t="str">
        <f t="shared" si="1"/>
        <v>4401376020001</v>
      </c>
      <c r="E9" s="55" t="b">
        <f t="shared" si="2"/>
        <v>0</v>
      </c>
      <c r="F9" s="11">
        <f>VLOOKUP( $A9, Aop!$A$2:$P$453, 4, 0)</f>
        <v>905</v>
      </c>
      <c r="G9" s="55">
        <f t="shared" si="3"/>
        <v>2025</v>
      </c>
      <c r="H9" s="139">
        <f t="shared" si="4"/>
        <v>45838</v>
      </c>
      <c r="I9" s="55">
        <v>30</v>
      </c>
      <c r="J9" s="52" t="str">
        <f t="shared" ca="1" si="5"/>
        <v/>
      </c>
      <c r="K9" s="52" t="str">
        <f t="shared" ca="1" si="5"/>
        <v/>
      </c>
      <c r="L9" s="52" t="str">
        <f t="shared" ca="1" si="5"/>
        <v/>
      </c>
      <c r="M9" s="52" t="str">
        <f t="shared" ca="1" si="5"/>
        <v/>
      </c>
      <c r="N9" s="52" t="str">
        <f t="shared" ca="1" si="5"/>
        <v/>
      </c>
      <c r="O9" s="52" t="str">
        <f t="shared" ca="1" si="5"/>
        <v/>
      </c>
      <c r="P9" s="52" t="str">
        <f t="shared" ca="1" si="5"/>
        <v/>
      </c>
      <c r="Q9" s="52">
        <f t="shared" ca="1" si="5"/>
        <v>0</v>
      </c>
      <c r="R9" s="52" t="str">
        <f t="shared" ca="1" si="5"/>
        <v/>
      </c>
      <c r="S9" s="52">
        <f t="shared" ca="1" si="5"/>
        <v>0</v>
      </c>
    </row>
    <row r="10" spans="1:19">
      <c r="A10" s="106">
        <v>427</v>
      </c>
      <c r="B10" s="107" t="str">
        <f>VLOOKUP( $A10, Aop!$A$2:$P$453, 2, 0)</f>
        <v>BPK</v>
      </c>
      <c r="C10" s="55" t="str">
        <f t="shared" si="0"/>
        <v>01937189</v>
      </c>
      <c r="D10" s="55" t="str">
        <f t="shared" si="1"/>
        <v>4401376020001</v>
      </c>
      <c r="E10" s="55" t="b">
        <f t="shared" si="2"/>
        <v>0</v>
      </c>
      <c r="F10" s="11">
        <f>VLOOKUP( $A10, Aop!$A$2:$P$453, 4, 0)</f>
        <v>906</v>
      </c>
      <c r="G10" s="55">
        <f t="shared" si="3"/>
        <v>2025</v>
      </c>
      <c r="H10" s="139">
        <f t="shared" si="4"/>
        <v>45838</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c r="A11" s="106">
        <v>428</v>
      </c>
      <c r="B11" s="107" t="str">
        <f>VLOOKUP( $A11, Aop!$A$2:$P$453, 2, 0)</f>
        <v>BPK</v>
      </c>
      <c r="C11" s="55" t="str">
        <f t="shared" si="0"/>
        <v>01937189</v>
      </c>
      <c r="D11" s="55" t="str">
        <f t="shared" si="1"/>
        <v>4401376020001</v>
      </c>
      <c r="E11" s="55" t="b">
        <f t="shared" si="2"/>
        <v>0</v>
      </c>
      <c r="F11" s="11">
        <f>VLOOKUP( $A11, Aop!$A$2:$P$453, 4, 0)</f>
        <v>907</v>
      </c>
      <c r="G11" s="55">
        <f t="shared" si="3"/>
        <v>2025</v>
      </c>
      <c r="H11" s="139">
        <f t="shared" si="4"/>
        <v>45838</v>
      </c>
      <c r="I11" s="55">
        <v>30</v>
      </c>
      <c r="J11" s="52">
        <f t="shared" ca="1" si="5"/>
        <v>0</v>
      </c>
      <c r="K11" s="52">
        <f t="shared" ca="1" si="5"/>
        <v>0</v>
      </c>
      <c r="L11" s="52">
        <f t="shared" ca="1" si="5"/>
        <v>0</v>
      </c>
      <c r="M11" s="52">
        <f t="shared" ca="1" si="5"/>
        <v>0</v>
      </c>
      <c r="N11" s="52">
        <f t="shared" ca="1" si="5"/>
        <v>0</v>
      </c>
      <c r="O11" s="52">
        <f t="shared" ca="1" si="5"/>
        <v>0</v>
      </c>
      <c r="P11" s="52">
        <f t="shared" ca="1" si="5"/>
        <v>0</v>
      </c>
      <c r="Q11" s="52">
        <f t="shared" ca="1" si="5"/>
        <v>0</v>
      </c>
      <c r="R11" s="52">
        <f t="shared" ca="1" si="5"/>
        <v>0</v>
      </c>
      <c r="S11" s="52">
        <f t="shared" ca="1" si="5"/>
        <v>0</v>
      </c>
    </row>
    <row r="12" spans="1:19">
      <c r="A12" s="106">
        <v>429</v>
      </c>
      <c r="B12" s="107" t="str">
        <f>VLOOKUP( $A12, Aop!$A$2:$P$453, 2, 0)</f>
        <v>BPK</v>
      </c>
      <c r="C12" s="55" t="str">
        <f t="shared" si="0"/>
        <v>01937189</v>
      </c>
      <c r="D12" s="55" t="str">
        <f t="shared" si="1"/>
        <v>4401376020001</v>
      </c>
      <c r="E12" s="55" t="b">
        <f t="shared" si="2"/>
        <v>0</v>
      </c>
      <c r="F12" s="11">
        <f>VLOOKUP( $A12, Aop!$A$2:$P$453, 4, 0)</f>
        <v>0</v>
      </c>
      <c r="G12" s="55">
        <f t="shared" si="3"/>
        <v>2025</v>
      </c>
      <c r="H12" s="139">
        <f t="shared" si="4"/>
        <v>45838</v>
      </c>
      <c r="I12" s="55">
        <v>30</v>
      </c>
      <c r="J12" s="52" t="s">
        <v>786</v>
      </c>
      <c r="K12" s="52" t="s">
        <v>786</v>
      </c>
      <c r="L12" s="52" t="s">
        <v>786</v>
      </c>
      <c r="M12" s="52" t="s">
        <v>786</v>
      </c>
      <c r="N12" s="52" t="s">
        <v>786</v>
      </c>
      <c r="O12" s="52" t="s">
        <v>786</v>
      </c>
      <c r="P12" s="52" t="s">
        <v>786</v>
      </c>
      <c r="Q12" s="52" t="s">
        <v>786</v>
      </c>
      <c r="R12" s="52" t="s">
        <v>786</v>
      </c>
      <c r="S12" s="52" t="s">
        <v>786</v>
      </c>
    </row>
    <row r="13" spans="1:19">
      <c r="A13" s="106">
        <v>430</v>
      </c>
      <c r="B13" s="107" t="str">
        <f>VLOOKUP( $A13, Aop!$A$2:$P$453, 2, 0)</f>
        <v>BPK</v>
      </c>
      <c r="C13" s="55" t="str">
        <f t="shared" si="0"/>
        <v>01937189</v>
      </c>
      <c r="D13" s="55" t="str">
        <f t="shared" si="1"/>
        <v>4401376020001</v>
      </c>
      <c r="E13" s="55" t="b">
        <f t="shared" si="2"/>
        <v>0</v>
      </c>
      <c r="F13" s="11">
        <f>VLOOKUP( $A13, Aop!$A$2:$P$453, 4, 0)</f>
        <v>908</v>
      </c>
      <c r="G13" s="55">
        <f t="shared" si="3"/>
        <v>2025</v>
      </c>
      <c r="H13" s="139">
        <f t="shared" si="4"/>
        <v>45838</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c r="A14" s="106">
        <v>431</v>
      </c>
      <c r="B14" s="107" t="str">
        <f>VLOOKUP( $A14, Aop!$A$2:$P$453, 2, 0)</f>
        <v>BPK</v>
      </c>
      <c r="C14" s="55" t="str">
        <f t="shared" si="0"/>
        <v>01937189</v>
      </c>
      <c r="D14" s="55" t="str">
        <f t="shared" si="1"/>
        <v>4401376020001</v>
      </c>
      <c r="E14" s="55" t="b">
        <f t="shared" si="2"/>
        <v>0</v>
      </c>
      <c r="F14" s="11">
        <f>VLOOKUP( $A14, Aop!$A$2:$P$453, 4, 0)</f>
        <v>909</v>
      </c>
      <c r="G14" s="55">
        <f t="shared" si="3"/>
        <v>2025</v>
      </c>
      <c r="H14" s="139">
        <f t="shared" si="4"/>
        <v>45838</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c r="A15" s="106">
        <v>432</v>
      </c>
      <c r="B15" s="107" t="str">
        <f>VLOOKUP( $A15, Aop!$A$2:$P$453, 2, 0)</f>
        <v>BPK</v>
      </c>
      <c r="C15" s="55" t="str">
        <f t="shared" si="0"/>
        <v>01937189</v>
      </c>
      <c r="D15" s="55" t="str">
        <f t="shared" si="1"/>
        <v>4401376020001</v>
      </c>
      <c r="E15" s="55" t="b">
        <f t="shared" si="2"/>
        <v>0</v>
      </c>
      <c r="F15" s="11">
        <f>VLOOKUP( $A15, Aop!$A$2:$P$453, 4, 0)</f>
        <v>910</v>
      </c>
      <c r="G15" s="55">
        <f t="shared" si="3"/>
        <v>2025</v>
      </c>
      <c r="H15" s="139">
        <f t="shared" si="4"/>
        <v>45838</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c r="A16" s="106">
        <v>433</v>
      </c>
      <c r="B16" s="107" t="str">
        <f>VLOOKUP( $A16, Aop!$A$2:$P$453, 2, 0)</f>
        <v>BPK</v>
      </c>
      <c r="C16" s="55" t="str">
        <f t="shared" si="0"/>
        <v>01937189</v>
      </c>
      <c r="D16" s="55" t="str">
        <f t="shared" si="1"/>
        <v>4401376020001</v>
      </c>
      <c r="E16" s="55" t="b">
        <f t="shared" si="2"/>
        <v>0</v>
      </c>
      <c r="F16" s="11">
        <f>VLOOKUP( $A16, Aop!$A$2:$P$453, 4, 0)</f>
        <v>911</v>
      </c>
      <c r="G16" s="55">
        <f t="shared" si="3"/>
        <v>2025</v>
      </c>
      <c r="H16" s="139">
        <f t="shared" si="4"/>
        <v>45838</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c r="A17" s="106">
        <v>434</v>
      </c>
      <c r="B17" s="107" t="str">
        <f>VLOOKUP( $A17, Aop!$A$2:$P$453, 2, 0)</f>
        <v>BPK</v>
      </c>
      <c r="C17" s="55" t="str">
        <f t="shared" si="0"/>
        <v>01937189</v>
      </c>
      <c r="D17" s="55" t="str">
        <f t="shared" si="1"/>
        <v>4401376020001</v>
      </c>
      <c r="E17" s="55" t="b">
        <f t="shared" si="2"/>
        <v>0</v>
      </c>
      <c r="F17" s="11">
        <f>VLOOKUP( $A17, Aop!$A$2:$P$453, 4, 0)</f>
        <v>912</v>
      </c>
      <c r="G17" s="55">
        <f t="shared" si="3"/>
        <v>2025</v>
      </c>
      <c r="H17" s="139">
        <f t="shared" si="4"/>
        <v>45838</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c r="A18" s="106">
        <v>435</v>
      </c>
      <c r="B18" s="107" t="str">
        <f>VLOOKUP( $A18, Aop!$A$2:$P$453, 2, 0)</f>
        <v>BPK</v>
      </c>
      <c r="C18" s="55" t="str">
        <f t="shared" si="0"/>
        <v>01937189</v>
      </c>
      <c r="D18" s="55" t="str">
        <f t="shared" si="1"/>
        <v>4401376020001</v>
      </c>
      <c r="E18" s="55" t="b">
        <f t="shared" si="2"/>
        <v>0</v>
      </c>
      <c r="F18" s="11">
        <f>VLOOKUP( $A18, Aop!$A$2:$P$453, 4, 0)</f>
        <v>0</v>
      </c>
      <c r="G18" s="55">
        <f t="shared" si="3"/>
        <v>2025</v>
      </c>
      <c r="H18" s="139">
        <f t="shared" si="4"/>
        <v>45838</v>
      </c>
      <c r="I18" s="55">
        <v>30</v>
      </c>
      <c r="J18" s="52" t="s">
        <v>786</v>
      </c>
      <c r="K18" s="52" t="s">
        <v>786</v>
      </c>
      <c r="L18" s="52" t="s">
        <v>786</v>
      </c>
      <c r="M18" s="52" t="s">
        <v>786</v>
      </c>
      <c r="N18" s="52" t="s">
        <v>786</v>
      </c>
      <c r="O18" s="52" t="s">
        <v>786</v>
      </c>
      <c r="P18" s="52" t="s">
        <v>786</v>
      </c>
      <c r="Q18" s="52" t="s">
        <v>786</v>
      </c>
      <c r="R18" s="52" t="s">
        <v>786</v>
      </c>
      <c r="S18" s="52" t="s">
        <v>786</v>
      </c>
    </row>
    <row r="19" spans="1:19">
      <c r="A19" s="106">
        <v>436</v>
      </c>
      <c r="B19" s="107" t="str">
        <f>VLOOKUP( $A19, Aop!$A$2:$P$453, 2, 0)</f>
        <v>BPK</v>
      </c>
      <c r="C19" s="55" t="str">
        <f t="shared" si="0"/>
        <v>01937189</v>
      </c>
      <c r="D19" s="55" t="str">
        <f t="shared" si="1"/>
        <v>4401376020001</v>
      </c>
      <c r="E19" s="55" t="b">
        <f t="shared" si="2"/>
        <v>0</v>
      </c>
      <c r="F19" s="11">
        <f>VLOOKUP( $A19, Aop!$A$2:$P$453, 4, 0)</f>
        <v>913</v>
      </c>
      <c r="G19" s="55">
        <f t="shared" si="3"/>
        <v>2025</v>
      </c>
      <c r="H19" s="139">
        <f t="shared" si="4"/>
        <v>45838</v>
      </c>
      <c r="I19" s="55">
        <v>30</v>
      </c>
      <c r="J19" s="52">
        <f t="shared" ca="1" si="5"/>
        <v>87859</v>
      </c>
      <c r="K19" s="52">
        <f t="shared" ca="1" si="5"/>
        <v>0</v>
      </c>
      <c r="L19" s="52">
        <f t="shared" ca="1" si="5"/>
        <v>528</v>
      </c>
      <c r="M19" s="52">
        <f t="shared" ca="1" si="5"/>
        <v>0</v>
      </c>
      <c r="N19" s="52">
        <f t="shared" ca="1" si="5"/>
        <v>0</v>
      </c>
      <c r="O19" s="52">
        <f t="shared" ca="1" si="5"/>
        <v>0</v>
      </c>
      <c r="P19" s="52">
        <f t="shared" ca="1" si="5"/>
        <v>-250206</v>
      </c>
      <c r="Q19" s="52">
        <f t="shared" ca="1" si="5"/>
        <v>-161819</v>
      </c>
      <c r="R19" s="52">
        <f t="shared" ca="1" si="5"/>
        <v>0</v>
      </c>
      <c r="S19" s="52">
        <f t="shared" ca="1" si="5"/>
        <v>-161819</v>
      </c>
    </row>
    <row r="20" spans="1:19">
      <c r="A20" s="106">
        <v>437</v>
      </c>
      <c r="B20" s="112" t="str">
        <f>VLOOKUP( $A20, Aop!$A$2:$P$453, 2, 0)</f>
        <v>BPK</v>
      </c>
      <c r="C20" s="55" t="str">
        <f t="shared" si="0"/>
        <v>01937189</v>
      </c>
      <c r="D20" s="55" t="str">
        <f t="shared" si="1"/>
        <v>4401376020001</v>
      </c>
      <c r="E20" s="55" t="b">
        <f t="shared" si="2"/>
        <v>0</v>
      </c>
      <c r="F20" s="11">
        <f>VLOOKUP( $A20, Aop!$A$2:$P$453, 4, 0)</f>
        <v>0</v>
      </c>
      <c r="G20" s="55">
        <f t="shared" si="3"/>
        <v>2025</v>
      </c>
      <c r="H20" s="139">
        <f t="shared" si="4"/>
        <v>45838</v>
      </c>
      <c r="I20" s="55">
        <v>30</v>
      </c>
      <c r="J20" s="52" t="s">
        <v>786</v>
      </c>
      <c r="K20" s="52" t="s">
        <v>786</v>
      </c>
      <c r="L20" s="52" t="s">
        <v>786</v>
      </c>
      <c r="M20" s="52" t="s">
        <v>786</v>
      </c>
      <c r="N20" s="52" t="s">
        <v>786</v>
      </c>
      <c r="O20" s="52" t="s">
        <v>786</v>
      </c>
      <c r="P20" s="52" t="s">
        <v>786</v>
      </c>
      <c r="Q20" s="52" t="s">
        <v>786</v>
      </c>
      <c r="R20" s="52" t="s">
        <v>786</v>
      </c>
      <c r="S20" s="52" t="s">
        <v>786</v>
      </c>
    </row>
    <row r="21" spans="1:19">
      <c r="A21" s="106">
        <v>438</v>
      </c>
      <c r="B21" s="225" t="str">
        <f>VLOOKUP( $A21, Aop!$A$2:$P$453, 2, 0)</f>
        <v>BPK</v>
      </c>
      <c r="C21" s="52" t="str">
        <f t="shared" ref="C21:C35" si="6">Podatak_MB</f>
        <v>01937189</v>
      </c>
      <c r="D21" s="52" t="str">
        <f t="shared" ref="D21:D35" si="7">Podatak_JIB</f>
        <v>4401376020001</v>
      </c>
      <c r="E21" s="52" t="b">
        <f t="shared" ref="E21:E35" si="8">Konsolidovan_izvjestaj</f>
        <v>0</v>
      </c>
      <c r="F21" s="11">
        <f>VLOOKUP( $A21, Aop!$A$2:$P$453, 4, 0)</f>
        <v>914</v>
      </c>
      <c r="G21" s="52">
        <f t="shared" ref="G21:G35" si="9">Godina</f>
        <v>2025</v>
      </c>
      <c r="H21" s="224">
        <f t="shared" ref="H21:H35" si="10">Datum_Broj</f>
        <v>45838</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c r="A22" s="106">
        <v>439</v>
      </c>
      <c r="B22" s="225" t="str">
        <f>VLOOKUP( $A22, Aop!$A$2:$P$453, 2, 0)</f>
        <v>BPK</v>
      </c>
      <c r="C22" s="52" t="str">
        <f t="shared" si="6"/>
        <v>01937189</v>
      </c>
      <c r="D22" s="52" t="str">
        <f t="shared" si="7"/>
        <v>4401376020001</v>
      </c>
      <c r="E22" s="52" t="b">
        <f t="shared" si="8"/>
        <v>0</v>
      </c>
      <c r="F22" s="11">
        <f>VLOOKUP( $A22, Aop!$A$2:$P$453, 4, 0)</f>
        <v>915</v>
      </c>
      <c r="G22" s="52">
        <f t="shared" si="9"/>
        <v>2025</v>
      </c>
      <c r="H22" s="224">
        <f t="shared" si="10"/>
        <v>45838</v>
      </c>
      <c r="I22" s="55">
        <v>30</v>
      </c>
      <c r="J22" s="52" t="s">
        <v>786</v>
      </c>
      <c r="K22" s="52" t="s">
        <v>786</v>
      </c>
      <c r="L22" s="52" t="s">
        <v>786</v>
      </c>
      <c r="M22" s="52" t="s">
        <v>786</v>
      </c>
      <c r="N22" s="52" t="s">
        <v>786</v>
      </c>
      <c r="O22" s="52" t="s">
        <v>786</v>
      </c>
      <c r="P22" s="52" t="s">
        <v>786</v>
      </c>
      <c r="Q22" s="52" t="s">
        <v>786</v>
      </c>
      <c r="R22" s="52" t="s">
        <v>786</v>
      </c>
      <c r="S22" s="52" t="s">
        <v>786</v>
      </c>
    </row>
    <row r="23" spans="1:19">
      <c r="A23" s="106">
        <v>440</v>
      </c>
      <c r="B23" s="225" t="str">
        <f>VLOOKUP( $A23, Aop!$A$2:$P$453, 2, 0)</f>
        <v>BPK</v>
      </c>
      <c r="C23" s="52" t="str">
        <f t="shared" si="6"/>
        <v>01937189</v>
      </c>
      <c r="D23" s="52" t="str">
        <f t="shared" si="7"/>
        <v>4401376020001</v>
      </c>
      <c r="E23" s="52" t="b">
        <f t="shared" si="8"/>
        <v>0</v>
      </c>
      <c r="F23" s="11">
        <f>VLOOKUP( $A23, Aop!$A$2:$P$453, 4, 0)</f>
        <v>916</v>
      </c>
      <c r="G23" s="52">
        <f t="shared" si="9"/>
        <v>2025</v>
      </c>
      <c r="H23" s="224">
        <f t="shared" si="10"/>
        <v>45838</v>
      </c>
      <c r="I23" s="55">
        <v>30</v>
      </c>
      <c r="J23" s="52">
        <f t="shared" ca="1" si="11"/>
        <v>87859</v>
      </c>
      <c r="K23" s="52">
        <f t="shared" ca="1" si="11"/>
        <v>0</v>
      </c>
      <c r="L23" s="52">
        <f t="shared" ca="1" si="11"/>
        <v>528</v>
      </c>
      <c r="M23" s="52">
        <f t="shared" ca="1" si="11"/>
        <v>0</v>
      </c>
      <c r="N23" s="52">
        <f t="shared" ca="1" si="11"/>
        <v>0</v>
      </c>
      <c r="O23" s="52">
        <f t="shared" ca="1" si="11"/>
        <v>0</v>
      </c>
      <c r="P23" s="52">
        <f t="shared" ca="1" si="11"/>
        <v>-250206</v>
      </c>
      <c r="Q23" s="52">
        <f t="shared" ca="1" si="11"/>
        <v>-161819</v>
      </c>
      <c r="R23" s="52">
        <f t="shared" ca="1" si="11"/>
        <v>0</v>
      </c>
      <c r="S23" s="52">
        <f t="shared" ca="1" si="11"/>
        <v>-161819</v>
      </c>
    </row>
    <row r="24" spans="1:19">
      <c r="A24" s="106">
        <v>441</v>
      </c>
      <c r="B24" s="225" t="str">
        <f>VLOOKUP( $A24, Aop!$A$2:$P$453, 2, 0)</f>
        <v>BPK</v>
      </c>
      <c r="C24" s="52" t="str">
        <f t="shared" si="6"/>
        <v>01937189</v>
      </c>
      <c r="D24" s="52" t="str">
        <f t="shared" si="7"/>
        <v>4401376020001</v>
      </c>
      <c r="E24" s="52" t="b">
        <f t="shared" si="8"/>
        <v>0</v>
      </c>
      <c r="F24" s="11">
        <f>VLOOKUP( $A24, Aop!$A$2:$P$453, 4, 0)</f>
        <v>0</v>
      </c>
      <c r="G24" s="52">
        <f t="shared" si="9"/>
        <v>2025</v>
      </c>
      <c r="H24" s="224">
        <f t="shared" si="10"/>
        <v>45838</v>
      </c>
      <c r="I24" s="55">
        <v>30</v>
      </c>
      <c r="J24" s="52" t="s">
        <v>786</v>
      </c>
      <c r="K24" s="52" t="s">
        <v>786</v>
      </c>
      <c r="L24" s="52" t="s">
        <v>786</v>
      </c>
      <c r="M24" s="52" t="s">
        <v>786</v>
      </c>
      <c r="N24" s="52" t="s">
        <v>786</v>
      </c>
      <c r="O24" s="52" t="s">
        <v>786</v>
      </c>
      <c r="P24" s="52" t="s">
        <v>786</v>
      </c>
      <c r="Q24" s="52" t="s">
        <v>786</v>
      </c>
      <c r="R24" s="52" t="s">
        <v>786</v>
      </c>
      <c r="S24" s="52" t="s">
        <v>786</v>
      </c>
    </row>
    <row r="25" spans="1:19">
      <c r="A25" s="106">
        <v>442</v>
      </c>
      <c r="B25" s="225" t="str">
        <f>VLOOKUP( $A25, Aop!$A$2:$P$453, 2, 0)</f>
        <v>BPK</v>
      </c>
      <c r="C25" s="52" t="str">
        <f t="shared" ref="C25:C34" si="12">Podatak_MB</f>
        <v>01937189</v>
      </c>
      <c r="D25" s="52" t="str">
        <f t="shared" ref="D25:D34" si="13">Podatak_JIB</f>
        <v>4401376020001</v>
      </c>
      <c r="E25" s="52" t="b">
        <f t="shared" ref="E25:E34" si="14">Konsolidovan_izvjestaj</f>
        <v>0</v>
      </c>
      <c r="F25" s="11">
        <f>VLOOKUP( $A25, Aop!$A$2:$P$453, 4, 0)</f>
        <v>917</v>
      </c>
      <c r="G25" s="52">
        <f t="shared" ref="G25:G34" si="15">Godina</f>
        <v>2025</v>
      </c>
      <c r="H25" s="224">
        <f t="shared" ref="H25:H34" si="16">Datum_Broj</f>
        <v>45838</v>
      </c>
      <c r="I25" s="55">
        <v>30</v>
      </c>
      <c r="J25" s="52" t="str">
        <f t="shared" ref="J25:J34" ca="1" si="17">IF(VLOOKUP($F25,INDIRECT("Lookup_"&amp;$B25),J$1-1,0)="","",VLOOKUP($F25,INDIRECT("Lookup_"&amp;$B25),J$1-1,0))</f>
        <v/>
      </c>
      <c r="K25" s="52"/>
      <c r="L25" s="52"/>
      <c r="M25" s="52"/>
      <c r="N25" s="52"/>
      <c r="O25" s="52"/>
      <c r="P25" s="52"/>
      <c r="Q25" s="52"/>
      <c r="R25" s="52"/>
      <c r="S25" s="52"/>
    </row>
    <row r="26" spans="1:19">
      <c r="A26" s="106">
        <v>443</v>
      </c>
      <c r="B26" s="225" t="str">
        <f>VLOOKUP( $A26, Aop!$A$2:$P$453, 2, 0)</f>
        <v>BPK</v>
      </c>
      <c r="C26" s="52" t="str">
        <f t="shared" si="12"/>
        <v>01937189</v>
      </c>
      <c r="D26" s="52" t="str">
        <f t="shared" si="13"/>
        <v>4401376020001</v>
      </c>
      <c r="E26" s="52" t="b">
        <f t="shared" si="14"/>
        <v>0</v>
      </c>
      <c r="F26" s="11">
        <f>VLOOKUP( $A26, Aop!$A$2:$P$453, 4, 0)</f>
        <v>918</v>
      </c>
      <c r="G26" s="52">
        <f t="shared" si="15"/>
        <v>2025</v>
      </c>
      <c r="H26" s="224">
        <f t="shared" si="16"/>
        <v>45838</v>
      </c>
      <c r="I26" s="55">
        <v>30</v>
      </c>
      <c r="J26" s="52" t="str">
        <f t="shared" ca="1" si="17"/>
        <v/>
      </c>
      <c r="K26" s="52"/>
      <c r="L26" s="52"/>
      <c r="M26" s="52"/>
      <c r="N26" s="52"/>
      <c r="O26" s="52"/>
      <c r="P26" s="52"/>
      <c r="Q26" s="52"/>
      <c r="R26" s="52"/>
      <c r="S26" s="52"/>
    </row>
    <row r="27" spans="1:19">
      <c r="A27" s="106">
        <v>444</v>
      </c>
      <c r="B27" s="225" t="str">
        <f>VLOOKUP( $A27, Aop!$A$2:$P$453, 2, 0)</f>
        <v>BPK</v>
      </c>
      <c r="C27" s="52" t="str">
        <f t="shared" si="12"/>
        <v>01937189</v>
      </c>
      <c r="D27" s="52" t="str">
        <f t="shared" si="13"/>
        <v>4401376020001</v>
      </c>
      <c r="E27" s="52" t="b">
        <f t="shared" si="14"/>
        <v>0</v>
      </c>
      <c r="F27" s="11">
        <f>VLOOKUP( $A27, Aop!$A$2:$P$453, 4, 0)</f>
        <v>919</v>
      </c>
      <c r="G27" s="52">
        <f t="shared" si="15"/>
        <v>2025</v>
      </c>
      <c r="H27" s="224">
        <f t="shared" si="16"/>
        <v>45838</v>
      </c>
      <c r="I27" s="55">
        <v>30</v>
      </c>
      <c r="J27" s="52">
        <f t="shared" ca="1" si="17"/>
        <v>0</v>
      </c>
      <c r="K27" s="52"/>
      <c r="L27" s="52"/>
      <c r="M27" s="52"/>
      <c r="N27" s="52"/>
      <c r="O27" s="52"/>
      <c r="P27" s="52"/>
      <c r="Q27" s="52"/>
      <c r="R27" s="52"/>
      <c r="S27" s="52"/>
    </row>
    <row r="28" spans="1:19">
      <c r="A28" s="106">
        <v>445</v>
      </c>
      <c r="B28" s="225" t="str">
        <f>VLOOKUP( $A28, Aop!$A$2:$P$453, 2, 0)</f>
        <v>BPK</v>
      </c>
      <c r="C28" s="52" t="str">
        <f t="shared" si="12"/>
        <v>01937189</v>
      </c>
      <c r="D28" s="52" t="str">
        <f t="shared" si="13"/>
        <v>4401376020001</v>
      </c>
      <c r="E28" s="52" t="b">
        <f t="shared" si="14"/>
        <v>0</v>
      </c>
      <c r="F28" s="11">
        <f>VLOOKUP( $A28, Aop!$A$2:$P$453, 4, 0)</f>
        <v>0</v>
      </c>
      <c r="G28" s="52">
        <f t="shared" si="15"/>
        <v>2025</v>
      </c>
      <c r="H28" s="224">
        <f t="shared" si="16"/>
        <v>45838</v>
      </c>
      <c r="I28" s="55">
        <v>30</v>
      </c>
      <c r="J28" s="52" t="str">
        <f t="shared" ca="1" si="17"/>
        <v/>
      </c>
      <c r="K28" s="52"/>
      <c r="L28" s="52"/>
      <c r="M28" s="52"/>
      <c r="N28" s="52"/>
      <c r="O28" s="52"/>
      <c r="P28" s="52"/>
      <c r="Q28" s="52"/>
      <c r="R28" s="52"/>
      <c r="S28" s="52"/>
    </row>
    <row r="29" spans="1:19">
      <c r="A29" s="106">
        <v>446</v>
      </c>
      <c r="B29" s="225" t="str">
        <f>VLOOKUP( $A29, Aop!$A$2:$P$453, 2, 0)</f>
        <v>BPK</v>
      </c>
      <c r="C29" s="52" t="str">
        <f t="shared" si="12"/>
        <v>01937189</v>
      </c>
      <c r="D29" s="52" t="str">
        <f t="shared" si="13"/>
        <v>4401376020001</v>
      </c>
      <c r="E29" s="52" t="b">
        <f t="shared" si="14"/>
        <v>0</v>
      </c>
      <c r="F29" s="11">
        <f>VLOOKUP( $A29, Aop!$A$2:$P$453, 4, 0)</f>
        <v>920</v>
      </c>
      <c r="G29" s="52">
        <f t="shared" si="15"/>
        <v>2025</v>
      </c>
      <c r="H29" s="224">
        <f t="shared" si="16"/>
        <v>45838</v>
      </c>
      <c r="I29" s="55">
        <v>30</v>
      </c>
      <c r="J29" s="52" t="str">
        <f t="shared" ca="1" si="17"/>
        <v/>
      </c>
      <c r="K29" s="52"/>
      <c r="L29" s="52"/>
      <c r="M29" s="52"/>
      <c r="N29" s="52"/>
      <c r="O29" s="52"/>
      <c r="P29" s="52"/>
      <c r="Q29" s="52"/>
      <c r="R29" s="52"/>
      <c r="S29" s="52"/>
    </row>
    <row r="30" spans="1:19">
      <c r="A30" s="106">
        <v>447</v>
      </c>
      <c r="B30" s="225" t="str">
        <f>VLOOKUP( $A30, Aop!$A$2:$P$453, 2, 0)</f>
        <v>BPK</v>
      </c>
      <c r="C30" s="52" t="str">
        <f t="shared" si="12"/>
        <v>01937189</v>
      </c>
      <c r="D30" s="52" t="str">
        <f t="shared" si="13"/>
        <v>4401376020001</v>
      </c>
      <c r="E30" s="52" t="b">
        <f t="shared" si="14"/>
        <v>0</v>
      </c>
      <c r="F30" s="11">
        <f>VLOOKUP( $A30, Aop!$A$2:$P$453, 4, 0)</f>
        <v>921</v>
      </c>
      <c r="G30" s="52">
        <f t="shared" si="15"/>
        <v>2025</v>
      </c>
      <c r="H30" s="224">
        <f t="shared" si="16"/>
        <v>45838</v>
      </c>
      <c r="I30" s="55">
        <v>30</v>
      </c>
      <c r="J30" s="52" t="str">
        <f t="shared" ca="1" si="17"/>
        <v/>
      </c>
      <c r="K30" s="52"/>
      <c r="L30" s="52"/>
      <c r="M30" s="52"/>
      <c r="N30" s="52"/>
      <c r="O30" s="52"/>
      <c r="P30" s="52"/>
      <c r="Q30" s="52"/>
      <c r="R30" s="52"/>
      <c r="S30" s="52"/>
    </row>
    <row r="31" spans="1:19">
      <c r="A31" s="106">
        <v>448</v>
      </c>
      <c r="B31" s="225" t="str">
        <f>VLOOKUP( $A31, Aop!$A$2:$P$453, 2, 0)</f>
        <v>BPK</v>
      </c>
      <c r="C31" s="52" t="str">
        <f t="shared" si="12"/>
        <v>01937189</v>
      </c>
      <c r="D31" s="52" t="str">
        <f t="shared" si="13"/>
        <v>4401376020001</v>
      </c>
      <c r="E31" s="52" t="b">
        <f t="shared" si="14"/>
        <v>0</v>
      </c>
      <c r="F31" s="11">
        <f>VLOOKUP( $A31, Aop!$A$2:$P$453, 4, 0)</f>
        <v>922</v>
      </c>
      <c r="G31" s="52">
        <f t="shared" si="15"/>
        <v>2025</v>
      </c>
      <c r="H31" s="224">
        <f t="shared" si="16"/>
        <v>45838</v>
      </c>
      <c r="I31" s="55">
        <v>30</v>
      </c>
      <c r="J31" s="52" t="str">
        <f t="shared" ca="1" si="17"/>
        <v/>
      </c>
      <c r="K31" s="52"/>
      <c r="L31" s="52"/>
      <c r="M31" s="52"/>
      <c r="N31" s="52"/>
      <c r="O31" s="52"/>
      <c r="P31" s="52"/>
      <c r="Q31" s="52"/>
      <c r="R31" s="52"/>
      <c r="S31" s="52"/>
    </row>
    <row r="32" spans="1:19">
      <c r="A32" s="106">
        <v>449</v>
      </c>
      <c r="B32" s="225" t="str">
        <f>VLOOKUP( $A32, Aop!$A$2:$P$453, 2, 0)</f>
        <v>BPK</v>
      </c>
      <c r="C32" s="52" t="str">
        <f t="shared" si="12"/>
        <v>01937189</v>
      </c>
      <c r="D32" s="52" t="str">
        <f t="shared" si="13"/>
        <v>4401376020001</v>
      </c>
      <c r="E32" s="52" t="b">
        <f t="shared" si="14"/>
        <v>0</v>
      </c>
      <c r="F32" s="11">
        <f>VLOOKUP( $A32, Aop!$A$2:$P$453, 4, 0)</f>
        <v>923</v>
      </c>
      <c r="G32" s="52">
        <f t="shared" si="15"/>
        <v>2025</v>
      </c>
      <c r="H32" s="224">
        <f t="shared" si="16"/>
        <v>45838</v>
      </c>
      <c r="I32" s="55">
        <v>30</v>
      </c>
      <c r="J32" s="52" t="str">
        <f t="shared" ca="1" si="17"/>
        <v/>
      </c>
      <c r="K32" s="52"/>
      <c r="L32" s="52"/>
      <c r="M32" s="52"/>
      <c r="N32" s="52"/>
      <c r="O32" s="52"/>
      <c r="P32" s="52"/>
      <c r="Q32" s="52"/>
      <c r="R32" s="52"/>
      <c r="S32" s="52"/>
    </row>
    <row r="33" spans="1:19">
      <c r="A33" s="106">
        <v>450</v>
      </c>
      <c r="B33" s="225" t="str">
        <f>VLOOKUP( $A33, Aop!$A$2:$P$453, 2, 0)</f>
        <v>BPK</v>
      </c>
      <c r="C33" s="52" t="str">
        <f t="shared" si="12"/>
        <v>01937189</v>
      </c>
      <c r="D33" s="52" t="str">
        <f t="shared" si="13"/>
        <v>4401376020001</v>
      </c>
      <c r="E33" s="52" t="b">
        <f t="shared" si="14"/>
        <v>0</v>
      </c>
      <c r="F33" s="11">
        <f>VLOOKUP( $A33, Aop!$A$2:$P$453, 4, 0)</f>
        <v>924</v>
      </c>
      <c r="G33" s="52">
        <f t="shared" si="15"/>
        <v>2025</v>
      </c>
      <c r="H33" s="224">
        <f t="shared" si="16"/>
        <v>45838</v>
      </c>
      <c r="I33" s="55">
        <v>30</v>
      </c>
      <c r="J33" s="52" t="str">
        <f t="shared" ca="1" si="17"/>
        <v/>
      </c>
      <c r="K33" s="52"/>
      <c r="L33" s="52"/>
      <c r="M33" s="52"/>
      <c r="N33" s="52"/>
      <c r="O33" s="52"/>
      <c r="P33" s="52"/>
      <c r="Q33" s="52"/>
      <c r="R33" s="52"/>
      <c r="S33" s="52"/>
    </row>
    <row r="34" spans="1:19">
      <c r="A34" s="106">
        <v>451</v>
      </c>
      <c r="B34" s="225" t="str">
        <f>VLOOKUP( $A34, Aop!$A$2:$P$453, 2, 0)</f>
        <v>BPK</v>
      </c>
      <c r="C34" s="52" t="str">
        <f t="shared" si="12"/>
        <v>01937189</v>
      </c>
      <c r="D34" s="52" t="str">
        <f t="shared" si="13"/>
        <v>4401376020001</v>
      </c>
      <c r="E34" s="52" t="b">
        <f t="shared" si="14"/>
        <v>0</v>
      </c>
      <c r="F34" s="11">
        <f>VLOOKUP( $A34, Aop!$A$2:$P$453, 4, 0)</f>
        <v>0</v>
      </c>
      <c r="G34" s="52">
        <f t="shared" si="15"/>
        <v>2025</v>
      </c>
      <c r="H34" s="224">
        <f t="shared" si="16"/>
        <v>45838</v>
      </c>
      <c r="I34" s="55">
        <v>30</v>
      </c>
      <c r="J34" s="52" t="str">
        <f t="shared" ca="1" si="17"/>
        <v/>
      </c>
      <c r="K34" s="52"/>
      <c r="L34" s="52"/>
      <c r="M34" s="52"/>
      <c r="N34" s="52"/>
      <c r="O34" s="52"/>
      <c r="P34" s="52"/>
      <c r="Q34" s="52"/>
      <c r="R34" s="52"/>
      <c r="S34" s="52"/>
    </row>
    <row r="35" spans="1:19">
      <c r="A35" s="106">
        <v>452</v>
      </c>
      <c r="B35" s="225" t="str">
        <f>VLOOKUP( $A35, Aop!$A$2:$P$453, 2, 0)</f>
        <v>BPK</v>
      </c>
      <c r="C35" s="52" t="str">
        <f t="shared" si="6"/>
        <v>01937189</v>
      </c>
      <c r="D35" s="52" t="str">
        <f t="shared" si="7"/>
        <v>4401376020001</v>
      </c>
      <c r="E35" s="52" t="b">
        <f t="shared" si="8"/>
        <v>0</v>
      </c>
      <c r="F35" s="11">
        <f>VLOOKUP( $A35, Aop!$A$2:$P$453, 4, 0)</f>
        <v>925</v>
      </c>
      <c r="G35" s="52">
        <f t="shared" si="9"/>
        <v>2025</v>
      </c>
      <c r="H35" s="224">
        <f t="shared" si="10"/>
        <v>45838</v>
      </c>
      <c r="I35" s="55">
        <v>30</v>
      </c>
      <c r="J35" s="52">
        <f t="shared" ref="J35:S35" ca="1" si="18">IF(VLOOKUP($F35,INDIRECT("Lookup_"&amp;$B35),J$1-1,0)="","",VLOOKUP($F35,INDIRECT("Lookup_"&amp;$B35),J$1-1,0))</f>
        <v>87859</v>
      </c>
      <c r="K35" s="52">
        <f t="shared" ca="1" si="18"/>
        <v>0</v>
      </c>
      <c r="L35" s="52">
        <f t="shared" ca="1" si="18"/>
        <v>528</v>
      </c>
      <c r="M35" s="52">
        <f t="shared" ca="1" si="18"/>
        <v>0</v>
      </c>
      <c r="N35" s="52">
        <f t="shared" ca="1" si="18"/>
        <v>0</v>
      </c>
      <c r="O35" s="52">
        <f t="shared" ca="1" si="18"/>
        <v>0</v>
      </c>
      <c r="P35" s="52">
        <f t="shared" ca="1" si="18"/>
        <v>2418</v>
      </c>
      <c r="Q35" s="52">
        <f t="shared" ca="1" si="18"/>
        <v>90805</v>
      </c>
      <c r="R35" s="52">
        <f t="shared" ca="1" si="18"/>
        <v>0</v>
      </c>
      <c r="S35" s="52">
        <f t="shared" ca="1" si="18"/>
        <v>90805</v>
      </c>
    </row>
  </sheetData>
  <sheetProtection sheet="1" objects="1" scenarios="1"/>
  <phoneticPr fontId="26"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G25" sqref="G25"/>
    </sheetView>
  </sheetViews>
  <sheetFormatPr defaultColWidth="9.140625" defaultRowHeight="12.75"/>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868508</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600509</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267999</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49165</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868508</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600509</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267999</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49165</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88362</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88142</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220</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1988</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780146</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512367</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267779</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47177</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c r="B21" s="84">
        <f>IF(AND([0]!Godina=2025,MID(Osnovni_podaci!D20,3,1)="v",Osnovni_podaci!L24=2,Osnovni_podaci!G24=1,MID(Osnovni_podaci!D20,3,1)="v",MID(Osnovni_podaci!D20,8,1)="r"),VLOOKUP( T_ApifImport[[#This Row],[Bilans]], T_Bilansi[], 4, 0),A1)</f>
        <v>25</v>
      </c>
      <c r="C21" s="229">
        <f>VLOOKUP( T_ApifImport[[#This Row],[ld]], T_Aop[], 4, 0)</f>
        <v>20</v>
      </c>
      <c r="D21" s="229"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c r="B22" s="84">
        <f>IF(AND([0]!Godina=2025,MID(Osnovni_podaci!D20,3,1)="v",Osnovni_podaci!L24=2,Osnovni_podaci!G24=1,MID(Osnovni_podaci!D20,3,1)="v",MID(Osnovni_podaci!D20,8,1)="r"),VLOOKUP( T_ApifImport[[#This Row],[Bilans]], T_Bilansi[], 4, 0),A1)</f>
        <v>25</v>
      </c>
      <c r="C22" s="229">
        <f>VLOOKUP( T_ApifImport[[#This Row],[ld]], T_Aop[], 4, 0)</f>
        <v>21</v>
      </c>
      <c r="D22" s="229"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c r="B23" s="84">
        <f>IF(AND([0]!Godina=2025,MID(Osnovni_podaci!D20,3,1)="v",Osnovni_podaci!L24=2,Osnovni_podaci!G24=1,MID(Osnovni_podaci!D20,3,1)="v",MID(Osnovni_podaci!D20,8,1)="r"),VLOOKUP( T_ApifImport[[#This Row],[Bilans]], T_Bilansi[], 4, 0),A1)</f>
        <v>25</v>
      </c>
      <c r="C23" s="229">
        <f>VLOOKUP( T_ApifImport[[#This Row],[ld]], T_Aop[], 4, 0)</f>
        <v>22</v>
      </c>
      <c r="D23" s="229"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c r="B24" s="84">
        <f>IF(AND([0]!Godina=2025,MID(Osnovni_podaci!D20,3,1)="v",Osnovni_podaci!L24=2,Osnovni_podaci!G24=1,MID(Osnovni_podaci!D20,3,1)="v",MID(Osnovni_podaci!D20,8,1)="r"),VLOOKUP( T_ApifImport[[#This Row],[Bilans]], T_Bilansi[], 4, 0),A1)</f>
        <v>25</v>
      </c>
      <c r="C24" s="229">
        <f>VLOOKUP( T_ApifImport[[#This Row],[ld]], T_Aop[], 4, 0)</f>
        <v>23</v>
      </c>
      <c r="D24" s="229"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c r="B25" s="84">
        <f>IF(AND([0]!Godina=2025,MID(Osnovni_podaci!D20,3,1)="v",Osnovni_podaci!L24=2,Osnovni_podaci!G24=1,MID(Osnovni_podaci!D20,3,1)="v",MID(Osnovni_podaci!D20,8,1)="r"),VLOOKUP( T_ApifImport[[#This Row],[Bilans]], T_Bilansi[], 4, 0),A1)</f>
        <v>25</v>
      </c>
      <c r="C25" s="229">
        <f>VLOOKUP( T_ApifImport[[#This Row],[ld]], T_Aop[], 4, 0)</f>
        <v>24</v>
      </c>
      <c r="D25" s="229"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c r="B26" s="84">
        <f>IF(AND([0]!Godina=2025,MID(Osnovni_podaci!D20,3,1)="v",Osnovni_podaci!L24=2,Osnovni_podaci!G24=1,MID(Osnovni_podaci!D20,3,1)="v",MID(Osnovni_podaci!D20,8,1)="r"),VLOOKUP( T_ApifImport[[#This Row],[Bilans]], T_Bilansi[], 4, 0),A1)</f>
        <v>25</v>
      </c>
      <c r="C26" s="229">
        <f>VLOOKUP( T_ApifImport[[#This Row],[ld]], T_Aop[], 4, 0)</f>
        <v>25</v>
      </c>
      <c r="D26" s="229"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c r="B27" s="84">
        <f>IF(AND([0]!Godina=2025,MID(Osnovni_podaci!D20,3,1)="v",Osnovni_podaci!L24=2,Osnovni_podaci!G24=1,MID(Osnovni_podaci!D20,3,1)="v",MID(Osnovni_podaci!D20,8,1)="r"),VLOOKUP( T_ApifImport[[#This Row],[Bilans]], T_Bilansi[], 4, 0),A1)</f>
        <v>25</v>
      </c>
      <c r="C27" s="229">
        <f>VLOOKUP( T_ApifImport[[#This Row],[ld]], T_Aop[], 4, 0)</f>
        <v>26</v>
      </c>
      <c r="D27" s="229"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c r="B28" s="84">
        <f>IF(AND([0]!Godina=2025,MID(Osnovni_podaci!D20,3,1)="v",Osnovni_podaci!L24=2,Osnovni_podaci!G24=1,MID(Osnovni_podaci!D20,3,1)="v",MID(Osnovni_podaci!D20,8,1)="r"),VLOOKUP( T_ApifImport[[#This Row],[Bilans]], T_Bilansi[], 4, 0),A1)</f>
        <v>25</v>
      </c>
      <c r="C28" s="229">
        <f>VLOOKUP( T_ApifImport[[#This Row],[ld]], T_Aop[], 4, 0)</f>
        <v>27</v>
      </c>
      <c r="D28" s="229"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c r="B29" s="44">
        <f>IF(AND([0]!Godina=2025,MID(Osnovni_podaci!D20,3,1)="v",Osnovni_podaci!L24=2,Osnovni_podaci!G24=1,MID(Osnovni_podaci!D20,3,1)="v",MID(Osnovni_podaci!D20,8,1)="r"),VLOOKUP( T_ApifImport[[#This Row],[Bilans]], T_Bilansi[], 4, 0),A1)</f>
        <v>25</v>
      </c>
      <c r="C29" s="227">
        <f>VLOOKUP( T_ApifImport[[#This Row],[ld]], T_Aop[], 4, 0)</f>
        <v>28</v>
      </c>
      <c r="D29"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c r="B30" s="44">
        <f>IF(AND([0]!Godina=2025,MID(Osnovni_podaci!D20,3,1)="v",Osnovni_podaci!L24=2,Osnovni_podaci!G24=1,MID(Osnovni_podaci!D20,3,1)="v",MID(Osnovni_podaci!D20,8,1)="r"),VLOOKUP( T_ApifImport[[#This Row],[Bilans]], T_Bilansi[], 4, 0),A1)</f>
        <v>25</v>
      </c>
      <c r="C30" s="227">
        <f>VLOOKUP( T_ApifImport[[#This Row],[ld]], T_Aop[], 4, 0)</f>
        <v>29</v>
      </c>
      <c r="D30"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c r="B31" s="44">
        <f>IF(AND([0]!Godina=2025,MID(Osnovni_podaci!D20,3,1)="v",Osnovni_podaci!L24=2,Osnovni_podaci!G24=1,MID(Osnovni_podaci!D20,3,1)="v",MID(Osnovni_podaci!D20,8,1)="r"),VLOOKUP( T_ApifImport[[#This Row],[Bilans]], T_Bilansi[], 4, 0),A1)</f>
        <v>25</v>
      </c>
      <c r="C31" s="227">
        <f>VLOOKUP( T_ApifImport[[#This Row],[ld]], T_Aop[], 4, 0)</f>
        <v>30</v>
      </c>
      <c r="D31"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c r="B32" s="44">
        <f>IF(AND([0]!Godina=2025,MID(Osnovni_podaci!D20,3,1)="v",Osnovni_podaci!L24=2,Osnovni_podaci!G24=1,MID(Osnovni_podaci!D20,3,1)="v",MID(Osnovni_podaci!D20,8,1)="r"),VLOOKUP( T_ApifImport[[#This Row],[Bilans]], T_Bilansi[], 4, 0),A1)</f>
        <v>25</v>
      </c>
      <c r="C32" s="227">
        <f>VLOOKUP( T_ApifImport[[#This Row],[ld]], T_Aop[], 4, 0)</f>
        <v>31</v>
      </c>
      <c r="D32"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c r="B33" s="44">
        <f>IF(AND([0]!Godina=2025,MID(Osnovni_podaci!D20,3,1)="v",Osnovni_podaci!L24=2,Osnovni_podaci!G24=1,MID(Osnovni_podaci!D20,3,1)="v",MID(Osnovni_podaci!D20,8,1)="r"),VLOOKUP( T_ApifImport[[#This Row],[Bilans]], T_Bilansi[], 4, 0),A1)</f>
        <v>25</v>
      </c>
      <c r="C33" s="227">
        <f>VLOOKUP( T_ApifImport[[#This Row],[ld]], T_Aop[], 4, 0)</f>
        <v>32</v>
      </c>
      <c r="D33"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c r="B34" s="44">
        <f>IF(AND([0]!Godina=2025,MID(Osnovni_podaci!D20,3,1)="v",Osnovni_podaci!L24=2,Osnovni_podaci!G24=1,MID(Osnovni_podaci!D20,3,1)="v",MID(Osnovni_podaci!D20,8,1)="r"),VLOOKUP( T_ApifImport[[#This Row],[Bilans]], T_Bilansi[], 4, 0),A1)</f>
        <v>25</v>
      </c>
      <c r="C34" s="227">
        <f>VLOOKUP( T_ApifImport[[#This Row],[ld]], T_Aop[], 4, 0)</f>
        <v>33</v>
      </c>
      <c r="D34"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c r="B35" s="44">
        <f>IF(AND([0]!Godina=2025,MID(Osnovni_podaci!D20,3,1)="v",Osnovni_podaci!L24=2,Osnovni_podaci!G24=1,MID(Osnovni_podaci!D20,3,1)="v",MID(Osnovni_podaci!D20,8,1)="r"),VLOOKUP( T_ApifImport[[#This Row],[Bilans]], T_Bilansi[], 4, 0),A1)</f>
        <v>25</v>
      </c>
      <c r="C35" s="227">
        <f>VLOOKUP( T_ApifImport[[#This Row],[ld]], T_Aop[], 4, 0)</f>
        <v>34</v>
      </c>
      <c r="D35"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c r="B36" s="44">
        <f>IF(AND([0]!Godina=2025,MID(Osnovni_podaci!D20,3,1)="v",Osnovni_podaci!L24=2,Osnovni_podaci!G24=1,MID(Osnovni_podaci!D20,3,1)="v",MID(Osnovni_podaci!D20,8,1)="r"),VLOOKUP( T_ApifImport[[#This Row],[Bilans]], T_Bilansi[], 4, 0),A1)</f>
        <v>25</v>
      </c>
      <c r="C36" s="227">
        <f>VLOOKUP( T_ApifImport[[#This Row],[ld]], T_Aop[], 4, 0)</f>
        <v>35</v>
      </c>
      <c r="D36"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c r="B37" s="44">
        <f>IF(AND([0]!Godina=2025,MID(Osnovni_podaci!D20,3,1)="v",Osnovni_podaci!L24=2,Osnovni_podaci!G24=1,MID(Osnovni_podaci!D20,3,1)="v",MID(Osnovni_podaci!D20,8,1)="r"),VLOOKUP( T_ApifImport[[#This Row],[Bilans]], T_Bilansi[], 4, 0),A1)</f>
        <v>25</v>
      </c>
      <c r="C37" s="227">
        <f>VLOOKUP( T_ApifImport[[#This Row],[ld]], T_Aop[], 4, 0)</f>
        <v>36</v>
      </c>
      <c r="D37"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158386</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158386</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126007</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c r="B38" s="44">
        <f>IF(AND([0]!Godina=2025,MID(Osnovni_podaci!D20,3,1)="v",Osnovni_podaci!L24=2,Osnovni_podaci!G24=1,MID(Osnovni_podaci!D20,3,1)="v",MID(Osnovni_podaci!D20,8,1)="r"),VLOOKUP( T_ApifImport[[#This Row],[Bilans]], T_Bilansi[], 4, 0),A1)</f>
        <v>25</v>
      </c>
      <c r="C38" s="227">
        <f>VLOOKUP( T_ApifImport[[#This Row],[ld]], T_Aop[], 4, 0)</f>
        <v>37</v>
      </c>
      <c r="D38"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13950</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13950</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13950</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c r="B39" s="44">
        <f>IF(AND([0]!Godina=2025,MID(Osnovni_podaci!D20,3,1)="v",Osnovni_podaci!L24=2,Osnovni_podaci!G24=1,MID(Osnovni_podaci!D20,3,1)="v",MID(Osnovni_podaci!D20,8,1)="r"),VLOOKUP( T_ApifImport[[#This Row],[Bilans]], T_Bilansi[], 4, 0),A1)</f>
        <v>25</v>
      </c>
      <c r="C39" s="227">
        <f>VLOOKUP( T_ApifImport[[#This Row],[ld]], T_Aop[], 4, 0)</f>
        <v>38</v>
      </c>
      <c r="D39"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c r="B40" s="44">
        <f>IF(AND([0]!Godina=2025,MID(Osnovni_podaci!D20,3,1)="v",Osnovni_podaci!L24=2,Osnovni_podaci!G24=1,MID(Osnovni_podaci!D20,3,1)="v",MID(Osnovni_podaci!D20,8,1)="r"),VLOOKUP( T_ApifImport[[#This Row],[Bilans]], T_Bilansi[], 4, 0),A1)</f>
        <v>25</v>
      </c>
      <c r="C40" s="227">
        <f>VLOOKUP( T_ApifImport[[#This Row],[ld]], T_Aop[], 4, 0)</f>
        <v>39</v>
      </c>
      <c r="D40"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c r="B41" s="44">
        <f>IF(AND([0]!Godina=2025,MID(Osnovni_podaci!D20,3,1)="v",Osnovni_podaci!L24=2,Osnovni_podaci!G24=1,MID(Osnovni_podaci!D20,3,1)="v",MID(Osnovni_podaci!D20,8,1)="r"),VLOOKUP( T_ApifImport[[#This Row],[Bilans]], T_Bilansi[], 4, 0),A1)</f>
        <v>25</v>
      </c>
      <c r="C41" s="227">
        <f>VLOOKUP( T_ApifImport[[#This Row],[ld]], T_Aop[], 4, 0)</f>
        <v>40</v>
      </c>
      <c r="D41"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13950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13950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13950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c r="B42" s="44">
        <f>IF(AND([0]!Godina=2025,MID(Osnovni_podaci!D20,3,1)="v",Osnovni_podaci!L24=2,Osnovni_podaci!G24=1,MID(Osnovni_podaci!D20,3,1)="v",MID(Osnovni_podaci!D20,8,1)="r"),VLOOKUP( T_ApifImport[[#This Row],[Bilans]], T_Bilansi[], 4, 0),A1)</f>
        <v>25</v>
      </c>
      <c r="C42" s="227">
        <f>VLOOKUP( T_ApifImport[[#This Row],[ld]], T_Aop[], 4, 0)</f>
        <v>41</v>
      </c>
      <c r="D42"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c r="B43" s="44">
        <f>IF(AND([0]!Godina=2025,MID(Osnovni_podaci!D20,3,1)="v",Osnovni_podaci!L24=2,Osnovni_podaci!G24=1,MID(Osnovni_podaci!D20,3,1)="v",MID(Osnovni_podaci!D20,8,1)="r"),VLOOKUP( T_ApifImport[[#This Row],[Bilans]], T_Bilansi[], 4, 0),A1)</f>
        <v>25</v>
      </c>
      <c r="C43" s="227">
        <f>VLOOKUP( T_ApifImport[[#This Row],[ld]], T_Aop[], 4, 0)</f>
        <v>42</v>
      </c>
      <c r="D43"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c r="B44" s="44">
        <f>IF(AND([0]!Godina=2025,MID(Osnovni_podaci!D20,3,1)="v",Osnovni_podaci!L24=2,Osnovni_podaci!G24=1,MID(Osnovni_podaci!D20,3,1)="v",MID(Osnovni_podaci!D20,8,1)="r"),VLOOKUP( T_ApifImport[[#This Row],[Bilans]], T_Bilansi[], 4, 0),A1)</f>
        <v>25</v>
      </c>
      <c r="C44" s="227">
        <f>VLOOKUP( T_ApifImport[[#This Row],[ld]], T_Aop[], 4, 0)</f>
        <v>43</v>
      </c>
      <c r="D44"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c r="B45" s="44">
        <f>IF(AND([0]!Godina=2025,MID(Osnovni_podaci!D20,3,1)="v",Osnovni_podaci!L24=2,Osnovni_podaci!G24=1,MID(Osnovni_podaci!D20,3,1)="v",MID(Osnovni_podaci!D20,8,1)="r"),VLOOKUP( T_ApifImport[[#This Row],[Bilans]], T_Bilansi[], 4, 0),A1)</f>
        <v>25</v>
      </c>
      <c r="C45" s="227">
        <f>VLOOKUP( T_ApifImport[[#This Row],[ld]], T_Aop[], 4, 0)</f>
        <v>44</v>
      </c>
      <c r="D45"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144436</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144436</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112057</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c r="B46" s="44">
        <f>IF(AND([0]!Godina=2025,MID(Osnovni_podaci!D20,3,1)="v",Osnovni_podaci!L24=2,Osnovni_podaci!G24=1,MID(Osnovni_podaci!D20,3,1)="v",MID(Osnovni_podaci!D20,8,1)="r"),VLOOKUP( T_ApifImport[[#This Row],[Bilans]], T_Bilansi[], 4, 0),A1)</f>
        <v>25</v>
      </c>
      <c r="C46" s="227">
        <f>VLOOKUP( T_ApifImport[[#This Row],[ld]], T_Aop[], 4, 0)</f>
        <v>45</v>
      </c>
      <c r="D46"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129710</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129710</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101587</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c r="B47" s="44">
        <f>IF(AND([0]!Godina=2025,MID(Osnovni_podaci!D20,3,1)="v",Osnovni_podaci!L24=2,Osnovni_podaci!G24=1,MID(Osnovni_podaci!D20,3,1)="v",MID(Osnovni_podaci!D20,8,1)="r"),VLOOKUP( T_ApifImport[[#This Row],[Bilans]], T_Bilansi[], 4, 0),A1)</f>
        <v>25</v>
      </c>
      <c r="C47" s="227">
        <f>VLOOKUP( T_ApifImport[[#This Row],[ld]], T_Aop[], 4, 0)</f>
        <v>46</v>
      </c>
      <c r="D47"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7020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7020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50602</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c r="B48" s="44">
        <f>IF(AND([0]!Godina=2025,MID(Osnovni_podaci!D20,3,1)="v",Osnovni_podaci!L24=2,Osnovni_podaci!G24=1,MID(Osnovni_podaci!D20,3,1)="v",MID(Osnovni_podaci!D20,8,1)="r"),VLOOKUP( T_ApifImport[[#This Row],[Bilans]], T_Bilansi[], 4, 0),A1)</f>
        <v>25</v>
      </c>
      <c r="C48" s="227">
        <f>VLOOKUP( T_ApifImport[[#This Row],[ld]], T_Aop[], 4, 0)</f>
        <v>47</v>
      </c>
      <c r="D48"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91115</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91115</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50638</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c r="B49" s="44">
        <f>IF(AND([0]!Godina=2025,MID(Osnovni_podaci!D20,3,1)="v",Osnovni_podaci!L24=2,Osnovni_podaci!G24=1,MID(Osnovni_podaci!D20,3,1)="v",MID(Osnovni_podaci!D20,8,1)="r"),VLOOKUP( T_ApifImport[[#This Row],[Bilans]], T_Bilansi[], 4, 0),A1)</f>
        <v>25</v>
      </c>
      <c r="C49" s="227">
        <f>VLOOKUP( T_ApifImport[[#This Row],[ld]], T_Aop[], 4, 0)</f>
        <v>48</v>
      </c>
      <c r="D49"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c r="B50" s="44">
        <f>IF(AND([0]!Godina=2025,MID(Osnovni_podaci!D20,3,1)="v",Osnovni_podaci!L24=2,Osnovni_podaci!G24=1,MID(Osnovni_podaci!D20,3,1)="v",MID(Osnovni_podaci!D20,8,1)="r"),VLOOKUP( T_ApifImport[[#This Row],[Bilans]], T_Bilansi[], 4, 0),A1)</f>
        <v>25</v>
      </c>
      <c r="C50" s="227">
        <f>IF(AND([0]!Godina=2025,MID(Osnovni_podaci!D20,3,1)="v",Osnovni_podaci!L24=2,Osnovni_podaci!G24=1,MID(Osnovni_podaci!D20,3,1)="v",MID(Osnovni_podaci!D20,8,1)="r"),VLOOKUP( T_ApifImport[[#This Row],[ld]], T_Aop[], 4, 0),A1)</f>
        <v>49</v>
      </c>
      <c r="D50"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c r="B51" s="44">
        <f>IF(AND([0]!Godina=2025,MID(Osnovni_podaci!D20,3,1)="v",Osnovni_podaci!L24=2,Osnovni_podaci!G24=1,MID(Osnovni_podaci!D20,3,1)="v",MID(Osnovni_podaci!D20,8,1)="r"),VLOOKUP( T_ApifImport[[#This Row],[Bilans]], T_Bilansi[], 4, 0),A1)</f>
        <v>25</v>
      </c>
      <c r="C51" s="227">
        <f>IF(AND([0]!Godina=2025,MID(Osnovni_podaci!D20,3,1)="v",Osnovni_podaci!L24=2,Osnovni_podaci!G24=1,MID(Osnovni_podaci!D20,3,1)="v",MID(Osnovni_podaci!D20,8,1)="r"),VLOOKUP( T_ApifImport[[#This Row],[ld]], T_Aop[], 4, 0),A1)</f>
        <v>50</v>
      </c>
      <c r="D51"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31575</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31575</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347</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c r="B52" s="44">
        <f>IF(AND([0]!Godina=2025,MID(Osnovni_podaci!D20,3,1)="v",Osnovni_podaci!L24=2,Osnovni_podaci!G24=1,MID(Osnovni_podaci!D20,3,1)="v",MID(Osnovni_podaci!D20,8,1)="r"),VLOOKUP( T_ApifImport[[#This Row],[Bilans]], T_Bilansi[], 4, 0),A1)</f>
        <v>25</v>
      </c>
      <c r="C52" s="227">
        <f>IF(AND([0]!Godina=2025,MID(Osnovni_podaci!D20,3,1)="v",Osnovni_podaci!L24=2,Osnovni_podaci!G24=1,MID(Osnovni_podaci!D20,3,1)="v",MID(Osnovni_podaci!D20,8,1)="r"),VLOOKUP( T_ApifImport[[#This Row],[ld]], T_Aop[], 4, 0),A1)</f>
        <v>51</v>
      </c>
      <c r="D52"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c r="B53" s="44">
        <f>IF(AND([0]!Godina=2025,MID(Osnovni_podaci!D20,3,1)="v",Osnovni_podaci!L24=2,Osnovni_podaci!G24=1,MID(Osnovni_podaci!D20,3,1)="v",MID(Osnovni_podaci!D20,8,1)="r"),VLOOKUP( T_ApifImport[[#This Row],[Bilans]], T_Bilansi[], 4, 0),A1)</f>
        <v>25</v>
      </c>
      <c r="C53" s="227">
        <f>IF(AND([0]!Godina=2025,MID(Osnovni_podaci!D20,3,1)="v",Osnovni_podaci!L24=2,Osnovni_podaci!G24=1,MID(Osnovni_podaci!D20,3,1)="v",MID(Osnovni_podaci!D20,8,1)="r"),VLOOKUP( T_ApifImport[[#This Row],[ld]], T_Aop[], 4, 0),A1)</f>
        <v>52</v>
      </c>
      <c r="D53"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c r="B54" s="44">
        <f>IF(AND([0]!Godina=2025,MID(Osnovni_podaci!D20,3,1)="v",Osnovni_podaci!L24=2,Osnovni_podaci!G24=1,MID(Osnovni_podaci!D20,3,1)="v",MID(Osnovni_podaci!D20,8,1)="r"),VLOOKUP( T_ApifImport[[#This Row],[Bilans]], T_Bilansi[], 4, 0),A1)</f>
        <v>25</v>
      </c>
      <c r="C54" s="227">
        <f>IF(AND([0]!Godina=2025,MID(Osnovni_podaci!D20,3,1)="v",Osnovni_podaci!L24=2,Osnovni_podaci!G24=1,MID(Osnovni_podaci!D20,3,1)="v",MID(Osnovni_podaci!D20,8,1)="r"),VLOOKUP( T_ApifImport[[#This Row],[ld]], T_Aop[], 4, 0),A1)</f>
        <v>53</v>
      </c>
      <c r="D54"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c r="B55" s="44">
        <f>IF(AND([0]!Godina=2025,MID(Osnovni_podaci!D20,3,1)="v",Osnovni_podaci!L24=2,Osnovni_podaci!G24=1,MID(Osnovni_podaci!D20,3,1)="v",MID(Osnovni_podaci!D20,8,1)="r"),VLOOKUP( T_ApifImport[[#This Row],[Bilans]], T_Bilansi[], 4, 0),A1)</f>
        <v>25</v>
      </c>
      <c r="C55" s="227">
        <f>IF(AND([0]!Godina=2025,MID(Osnovni_podaci!D20,3,1)="v",Osnovni_podaci!L24=2,Osnovni_podaci!G24=1,MID(Osnovni_podaci!D20,3,1)="v",MID(Osnovni_podaci!D20,8,1)="r"),VLOOKUP( T_ApifImport[[#This Row],[ld]], T_Aop[], 4, 0),A1)</f>
        <v>54</v>
      </c>
      <c r="D55"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c r="B56" s="44">
        <f>IF(AND([0]!Godina=2025,MID(Osnovni_podaci!D20,3,1)="v",Osnovni_podaci!L24=2,Osnovni_podaci!G24=1,MID(Osnovni_podaci!D20,3,1)="v",MID(Osnovni_podaci!D20,8,1)="r"),VLOOKUP( T_ApifImport[[#This Row],[Bilans]], T_Bilansi[], 4, 0),A1)</f>
        <v>25</v>
      </c>
      <c r="C56" s="227">
        <f>IF(AND([0]!Godina=2025,MID(Osnovni_podaci!D20,3,1)="v",Osnovni_podaci!L24=2,Osnovni_podaci!G24=1,MID(Osnovni_podaci!D20,3,1)="v",MID(Osnovni_podaci!D20,8,1)="r"),VLOOKUP( T_ApifImport[[#This Row],[ld]], T_Aop[], 4, 0),A1)</f>
        <v>55</v>
      </c>
      <c r="D56"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c r="B57" s="44">
        <f>IF(AND([0]!Godina=2025,MID(Osnovni_podaci!D20,3,1)="v",Osnovni_podaci!L24=2,Osnovni_podaci!G24=1,MID(Osnovni_podaci!D20,3,1)="v",MID(Osnovni_podaci!D20,8,1)="r"),VLOOKUP( T_ApifImport[[#This Row],[Bilans]], T_Bilansi[], 4, 0),A1)</f>
        <v>25</v>
      </c>
      <c r="C57" s="227">
        <f>IF(AND([0]!Godina=2025,MID(Osnovni_podaci!D20,3,1)="v",Osnovni_podaci!L24=2,Osnovni_podaci!G24=1,MID(Osnovni_podaci!D20,3,1)="v",MID(Osnovni_podaci!D20,8,1)="r"),VLOOKUP( T_ApifImport[[#This Row],[ld]], T_Aop[], 4, 0),A1)</f>
        <v>56</v>
      </c>
      <c r="D57"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c r="B58" s="44">
        <f>IF(AND([0]!Godina=2025,MID(Osnovni_podaci!D20,3,1)="v",Osnovni_podaci!L24=2,Osnovni_podaci!G24=1,MID(Osnovni_podaci!D20,3,1)="v",MID(Osnovni_podaci!D20,8,1)="r"),VLOOKUP( T_ApifImport[[#This Row],[Bilans]], T_Bilansi[], 4, 0),A1)</f>
        <v>25</v>
      </c>
      <c r="C58" s="227">
        <f>IF(AND([0]!Godina=2025,MID(Osnovni_podaci!D20,3,1)="v",Osnovni_podaci!L24=2,Osnovni_podaci!G24=1,MID(Osnovni_podaci!D20,3,1)="v",MID(Osnovni_podaci!D20,8,1)="r"),VLOOKUP( T_ApifImport[[#This Row],[ld]], T_Aop[], 4, 0),A1)</f>
        <v>57</v>
      </c>
      <c r="D58"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c r="B59" s="44">
        <f>IF(AND([0]!Godina=2025,MID(Osnovni_podaci!D20,3,1)="v",Osnovni_podaci!L24=2,Osnovni_podaci!G24=1,MID(Osnovni_podaci!D20,3,1)="v",MID(Osnovni_podaci!D20,8,1)="r"),VLOOKUP( T_ApifImport[[#This Row],[Bilans]], T_Bilansi[], 4, 0),A1)</f>
        <v>25</v>
      </c>
      <c r="C59" s="227">
        <f>IF(AND([0]!Godina=2025,MID(Osnovni_podaci!D20,3,1)="v",Osnovni_podaci!L24=2,Osnovni_podaci!G24=1,MID(Osnovni_podaci!D20,3,1)="v",MID(Osnovni_podaci!D20,8,1)="r"),VLOOKUP( T_ApifImport[[#This Row],[ld]], T_Aop[], 4, 0),A1)</f>
        <v>58</v>
      </c>
      <c r="D59"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c r="B60" s="44">
        <f>IF(AND([0]!Godina=2025,MID(Osnovni_podaci!D20,3,1)="v",Osnovni_podaci!L24=2,Osnovni_podaci!G24=1,MID(Osnovni_podaci!D20,3,1)="v",MID(Osnovni_podaci!D20,8,1)="r"),VLOOKUP( T_ApifImport[[#This Row],[Bilans]], T_Bilansi[], 4, 0),A1)</f>
        <v>25</v>
      </c>
      <c r="C60" s="227">
        <f>IF(AND([0]!Godina=2025,MID(Osnovni_podaci!D20,3,1)="v",Osnovni_podaci!L24=2,Osnovni_podaci!G24=1,MID(Osnovni_podaci!D20,3,1)="v",MID(Osnovni_podaci!D20,8,1)="r"),VLOOKUP( T_ApifImport[[#This Row],[ld]], T_Aop[], 4, 0),A1)</f>
        <v>59</v>
      </c>
      <c r="D60"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c r="B61" s="44">
        <f>IF(AND([0]!Godina=2025,MID(Osnovni_podaci!D20,3,1)="v",Osnovni_podaci!L24=2,Osnovni_podaci!G24=1,MID(Osnovni_podaci!D20,3,1)="v",MID(Osnovni_podaci!D20,8,1)="r"),VLOOKUP( T_ApifImport[[#This Row],[Bilans]], T_Bilansi[], 4, 0),A1)</f>
        <v>25</v>
      </c>
      <c r="C61" s="227">
        <f>IF(AND([0]!Godina=2025,MID(Osnovni_podaci!D20,3,1)="v",Osnovni_podaci!L24=2,Osnovni_podaci!G24=1,MID(Osnovni_podaci!D20,3,1)="v",MID(Osnovni_podaci!D20,8,1)="r"),VLOOKUP( T_ApifImport[[#This Row],[ld]], T_Aop[], 4, 0),A1)</f>
        <v>60</v>
      </c>
      <c r="D61"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c r="B62" s="44">
        <f>IF(AND([0]!Godina=2025,MID(Osnovni_podaci!D20,3,1)="v",Osnovni_podaci!L24=2,Osnovni_podaci!G24=1,MID(Osnovni_podaci!D20,3,1)="v",MID(Osnovni_podaci!D20,8,1)="r"),VLOOKUP( T_ApifImport[[#This Row],[Bilans]], T_Bilansi[], 4, 0),A1)</f>
        <v>25</v>
      </c>
      <c r="C62" s="227">
        <f>IF(AND([0]!Godina=2025,MID(Osnovni_podaci!D20,3,1)="v",Osnovni_podaci!L24=2,Osnovni_podaci!G24=1,MID(Osnovni_podaci!D20,3,1)="v",MID(Osnovni_podaci!D20,8,1)="r"),VLOOKUP( T_ApifImport[[#This Row],[ld]], T_Aop[], 4, 0),A1)</f>
        <v>61</v>
      </c>
      <c r="D62"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14726</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14726</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10470</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c r="B63" s="44">
        <f>IF(AND([0]!Godina=2025,MID(Osnovni_podaci!D20,3,1)="v",Osnovni_podaci!L24=2,Osnovni_podaci!G24=1,MID(Osnovni_podaci!D20,3,1)="v",MID(Osnovni_podaci!D20,8,1)="r"),VLOOKUP( T_ApifImport[[#This Row],[Bilans]], T_Bilansi[], 4, 0),A1)</f>
        <v>25</v>
      </c>
      <c r="C63" s="227">
        <f>IF(AND([0]!Godina=2025,MID(Osnovni_podaci!D20,3,1)="v",Osnovni_podaci!L24=2,Osnovni_podaci!G24=1,MID(Osnovni_podaci!D20,3,1)="v",MID(Osnovni_podaci!D20,8,1)="r"),VLOOKUP( T_ApifImport[[#This Row],[ld]], T_Aop[], 4, 0),A1)</f>
        <v>62</v>
      </c>
      <c r="D63"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c r="B64" s="44">
        <f>IF(AND([0]!Godina=2025,MID(Osnovni_podaci!D20,3,1)="v",Osnovni_podaci!L24=2,Osnovni_podaci!G24=1,MID(Osnovni_podaci!D20,3,1)="v",MID(Osnovni_podaci!D20,8,1)="r"),VLOOKUP( T_ApifImport[[#This Row],[Bilans]], T_Bilansi[], 4, 0),A1)</f>
        <v>25</v>
      </c>
      <c r="C64" s="227">
        <f>IF(AND([0]!Godina=2025,MID(Osnovni_podaci!D20,3,1)="v",Osnovni_podaci!L24=2,Osnovni_podaci!G24=1,MID(Osnovni_podaci!D20,3,1)="v",MID(Osnovni_podaci!D20,8,1)="r"),VLOOKUP( T_ApifImport[[#This Row],[ld]], T_Aop[], 4, 0),A1)</f>
        <v>63</v>
      </c>
      <c r="D64"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14726</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14726</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10470</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c r="B65" s="44">
        <f>IF(AND([0]!Godina=2025,MID(Osnovni_podaci!D20,3,1)="v",Osnovni_podaci!L24=2,Osnovni_podaci!G24=1,MID(Osnovni_podaci!D20,3,1)="v",MID(Osnovni_podaci!D20,8,1)="r"),VLOOKUP( T_ApifImport[[#This Row],[Bilans]], T_Bilansi[], 4, 0),A1)</f>
        <v>25</v>
      </c>
      <c r="C65" s="227">
        <f>IF(AND([0]!Godina=2025,MID(Osnovni_podaci!D20,3,1)="v",Osnovni_podaci!L24=2,Osnovni_podaci!G24=1,MID(Osnovni_podaci!D20,3,1)="v",MID(Osnovni_podaci!D20,8,1)="r"),VLOOKUP( T_ApifImport[[#This Row],[ld]], T_Aop[], 4, 0),A1)</f>
        <v>64</v>
      </c>
      <c r="D65"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c r="B66" s="44">
        <f>IF(AND([0]!Godina=2025,MID(Osnovni_podaci!D20,3,1)="v",Osnovni_podaci!L24=2,Osnovni_podaci!G24=1,MID(Osnovni_podaci!D20,3,1)="v",MID(Osnovni_podaci!D20,8,1)="r"),VLOOKUP( T_ApifImport[[#This Row],[Bilans]], T_Bilansi[], 4, 0),A1)</f>
        <v>25</v>
      </c>
      <c r="C66" s="227">
        <f>IF(AND([0]!Godina=2025,MID(Osnovni_podaci!D20,3,1)="v",Osnovni_podaci!L24=2,Osnovni_podaci!G24=1,MID(Osnovni_podaci!D20,3,1)="v",MID(Osnovni_podaci!D20,8,1)="r"),VLOOKUP( T_ApifImport[[#This Row],[ld]], T_Aop[], 4, 0),A1)</f>
        <v>65</v>
      </c>
      <c r="D66"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c r="B67" s="44">
        <f>IF(AND([0]!Godina=2025,MID(Osnovni_podaci!D20,3,1)="v",Osnovni_podaci!L24=2,Osnovni_podaci!G24=1,MID(Osnovni_podaci!D20,3,1)="v",MID(Osnovni_podaci!D20,8,1)="r"),VLOOKUP( T_ApifImport[[#This Row],[Bilans]], T_Bilansi[], 4, 0),A1)</f>
        <v>25</v>
      </c>
      <c r="C67" s="229">
        <f>IF(AND([0]!Godina=2025,MID(Osnovni_podaci!D20,3,1)="v",Osnovni_podaci!L24=2,Osnovni_podaci!G24=1,MID(Osnovni_podaci!D20,3,1)="v",MID(Osnovni_podaci!D20,8,1)="r"),VLOOKUP( T_ApifImport[[#This Row],[ld]], T_Aop[], 4, 0),A1)</f>
        <v>66</v>
      </c>
      <c r="D67"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1026894</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600509</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426385</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175172</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c r="B68" s="506">
        <f>IF(AND([0]!Godina=2025,MID(Osnovni_podaci!D20,3,1)="v",Osnovni_podaci!L24=2,Osnovni_podaci!G24=1,MID(Osnovni_podaci!D20,3,1)="v",MID(Osnovni_podaci!D20,8,1)="r"),VLOOKUP( T_ApifImport[[#This Row],[Bilans]], T_Bilansi[], 4, 0),A1)</f>
        <v>25</v>
      </c>
      <c r="C68" s="229">
        <f>IF(AND([0]!Godina=2025,MID(Osnovni_podaci!D20,3,1)="v",Osnovni_podaci!L24=2,Osnovni_podaci!G24=1,MID(Osnovni_podaci!D20,3,1)="v",MID(Osnovni_podaci!D20,8,1)="r"),VLOOKUP( T_ApifImport[[#This Row],[ld]], T_Aop[], 4, 0),A1)</f>
        <v>67</v>
      </c>
      <c r="D68"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c r="B69" s="44">
        <f>IF(AND([0]!Godina=2025,MID(Osnovni_podaci!D20,3,1)="v",Osnovni_podaci!L24=2,Osnovni_podaci!G24=1,MID(Osnovni_podaci!D20,3,1)="v",MID(Osnovni_podaci!D20,8,1)="r"),VLOOKUP( T_ApifImport[[#This Row],[Bilans]], T_Bilansi[], 4, 0),A1)</f>
        <v>26</v>
      </c>
      <c r="C69" s="227">
        <f>IF(AND([0]!Godina=2025,MID(Osnovni_podaci!D20,3,1)="v",Osnovni_podaci!L24=2,Osnovni_podaci!G24=1,MID(Osnovni_podaci!D20,3,1)="v",MID(Osnovni_podaci!D20,8,1)="r"),VLOOKUP( T_ApifImport[[#This Row],[ld]], T_Aop[], 4, 0),A1)</f>
        <v>101</v>
      </c>
      <c r="D69"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90805</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-185948</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c r="B70" s="44">
        <f>IF(AND([0]!Godina=2025,MID(Osnovni_podaci!D20,3,1)="v",Osnovni_podaci!L24=2,Osnovni_podaci!G24=1,MID(Osnovni_podaci!D20,3,1)="v",MID(Osnovni_podaci!D20,8,1)="r"),VLOOKUP( T_ApifImport[[#This Row],[Bilans]], T_Bilansi[], 4, 0),A1)</f>
        <v>26</v>
      </c>
      <c r="C70" s="227">
        <f>IF(AND([0]!Godina=2025,MID(Osnovni_podaci!D20,3,1)="v",Osnovni_podaci!L24=2,Osnovni_podaci!G24=1,MID(Osnovni_podaci!D20,3,1)="v",MID(Osnovni_podaci!D20,8,1)="r"),VLOOKUP( T_ApifImport[[#This Row],[ld]], T_Aop[], 4, 0),A1)</f>
        <v>102</v>
      </c>
      <c r="D70"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87589</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c r="B71" s="44">
        <f>IF(AND([0]!Godina=2025,MID(Osnovni_podaci!D20,3,1)="v",Osnovni_podaci!L24=2,Osnovni_podaci!G24=1,MID(Osnovni_podaci!D20,3,1)="v",MID(Osnovni_podaci!D20,8,1)="r"),VLOOKUP( T_ApifImport[[#This Row],[Bilans]], T_Bilansi[], 4, 0),A1)</f>
        <v>26</v>
      </c>
      <c r="C71" s="227">
        <f>IF(AND([0]!Godina=2025,MID(Osnovni_podaci!D20,3,1)="v",Osnovni_podaci!L24=2,Osnovni_podaci!G24=1,MID(Osnovni_podaci!D20,3,1)="v",MID(Osnovni_podaci!D20,8,1)="r"),VLOOKUP( T_ApifImport[[#This Row],[ld]], T_Aop[], 4, 0),A1)</f>
        <v>103</v>
      </c>
      <c r="D71"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87589</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c r="B72" s="44">
        <f>IF(AND([0]!Godina=2025,MID(Osnovni_podaci!D20,3,1)="v",Osnovni_podaci!L24=2,Osnovni_podaci!G24=1,MID(Osnovni_podaci!D20,3,1)="v",MID(Osnovni_podaci!D20,8,1)="r"),VLOOKUP( T_ApifImport[[#This Row],[Bilans]], T_Bilansi[], 4, 0),A1)</f>
        <v>26</v>
      </c>
      <c r="C72" s="227">
        <f>IF(AND([0]!Godina=2025,MID(Osnovni_podaci!D20,3,1)="v",Osnovni_podaci!L24=2,Osnovni_podaci!G24=1,MID(Osnovni_podaci!D20,3,1)="v",MID(Osnovni_podaci!D20,8,1)="r"),VLOOKUP( T_ApifImport[[#This Row],[ld]], T_Aop[], 4, 0),A1)</f>
        <v>104</v>
      </c>
      <c r="D72"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87589</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c r="B73" s="44">
        <f>IF(AND([0]!Godina=2025,MID(Osnovni_podaci!D20,3,1)="v",Osnovni_podaci!L24=2,Osnovni_podaci!G24=1,MID(Osnovni_podaci!D20,3,1)="v",MID(Osnovni_podaci!D20,8,1)="r"),VLOOKUP( T_ApifImport[[#This Row],[Bilans]], T_Bilansi[], 4, 0),A1)</f>
        <v>26</v>
      </c>
      <c r="C73" s="227">
        <f>IF(AND([0]!Godina=2025,MID(Osnovni_podaci!D20,3,1)="v",Osnovni_podaci!L24=2,Osnovni_podaci!G24=1,MID(Osnovni_podaci!D20,3,1)="v",MID(Osnovni_podaci!D20,8,1)="r"),VLOOKUP( T_ApifImport[[#This Row],[ld]], T_Aop[], 4, 0),A1)</f>
        <v>105</v>
      </c>
      <c r="D73"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c r="B74" s="44">
        <f>IF(AND([0]!Godina=2025,MID(Osnovni_podaci!D20,3,1)="v",Osnovni_podaci!L24=2,Osnovni_podaci!G24=1,MID(Osnovni_podaci!D20,3,1)="v",MID(Osnovni_podaci!D20,8,1)="r"),VLOOKUP( T_ApifImport[[#This Row],[Bilans]], T_Bilansi[], 4, 0),A1)</f>
        <v>26</v>
      </c>
      <c r="C74" s="227">
        <f>IF(AND([0]!Godina=2025,MID(Osnovni_podaci!D20,3,1)="v",Osnovni_podaci!L24=2,Osnovni_podaci!G24=1,MID(Osnovni_podaci!D20,3,1)="v",MID(Osnovni_podaci!D20,8,1)="r"),VLOOKUP( T_ApifImport[[#This Row],[ld]], T_Aop[], 4, 0),A1)</f>
        <v>106</v>
      </c>
      <c r="D74"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c r="B75" s="44">
        <f>IF(AND([0]!Godina=2025,MID(Osnovni_podaci!D20,3,1)="v",Osnovni_podaci!L24=2,Osnovni_podaci!G24=1,MID(Osnovni_podaci!D20,3,1)="v",MID(Osnovni_podaci!D20,8,1)="r"),VLOOKUP( T_ApifImport[[#This Row],[Bilans]], T_Bilansi[], 4, 0),A1)</f>
        <v>26</v>
      </c>
      <c r="C75" s="227">
        <f>IF(AND([0]!Godina=2025,MID(Osnovni_podaci!D20,3,1)="v",Osnovni_podaci!L24=2,Osnovni_podaci!G24=1,MID(Osnovni_podaci!D20,3,1)="v",MID(Osnovni_podaci!D20,8,1)="r"),VLOOKUP( T_ApifImport[[#This Row],[ld]], T_Aop[], 4, 0),A1)</f>
        <v>107</v>
      </c>
      <c r="D75"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c r="B76" s="44">
        <f>IF(AND([0]!Godina=2025,MID(Osnovni_podaci!D20,3,1)="v",Osnovni_podaci!L24=2,Osnovni_podaci!G24=1,MID(Osnovni_podaci!D20,3,1)="v",MID(Osnovni_podaci!D20,8,1)="r"),VLOOKUP( T_ApifImport[[#This Row],[Bilans]], T_Bilansi[], 4, 0),A1)</f>
        <v>26</v>
      </c>
      <c r="C76" s="227">
        <f>IF(AND([0]!Godina=2025,MID(Osnovni_podaci!D20,3,1)="v",Osnovni_podaci!L24=2,Osnovni_podaci!G24=1,MID(Osnovni_podaci!D20,3,1)="v",MID(Osnovni_podaci!D20,8,1)="r"),VLOOKUP( T_ApifImport[[#This Row],[ld]], T_Aop[], 4, 0),A1)</f>
        <v>108</v>
      </c>
      <c r="D76"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c r="B77" s="44">
        <f>IF(AND([0]!Godina=2025,MID(Osnovni_podaci!D20,3,1)="v",Osnovni_podaci!L24=2,Osnovni_podaci!G24=1,MID(Osnovni_podaci!D20,3,1)="v",MID(Osnovni_podaci!D20,8,1)="r"),VLOOKUP( T_ApifImport[[#This Row],[Bilans]], T_Bilansi[], 4, 0),A1)</f>
        <v>26</v>
      </c>
      <c r="C77" s="227">
        <f>IF(AND([0]!Godina=2025,MID(Osnovni_podaci!D20,3,1)="v",Osnovni_podaci!L24=2,Osnovni_podaci!G24=1,MID(Osnovni_podaci!D20,3,1)="v",MID(Osnovni_podaci!D20,8,1)="r"),VLOOKUP( T_ApifImport[[#This Row],[ld]], T_Aop[], 4, 0),A1)</f>
        <v>109</v>
      </c>
      <c r="D77"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c r="B78" s="44">
        <f>IF(AND([0]!Godina=2025,MID(Osnovni_podaci!D20,3,1)="v",Osnovni_podaci!L24=2,Osnovni_podaci!G24=1,MID(Osnovni_podaci!D20,3,1)="v",MID(Osnovni_podaci!D20,8,1)="r"),VLOOKUP( T_ApifImport[[#This Row],[Bilans]], T_Bilansi[], 4, 0),A1)</f>
        <v>26</v>
      </c>
      <c r="C78" s="227">
        <f>IF(AND([0]!Godina=2025,MID(Osnovni_podaci!D20,3,1)="v",Osnovni_podaci!L24=2,Osnovni_podaci!G24=1,MID(Osnovni_podaci!D20,3,1)="v",MID(Osnovni_podaci!D20,8,1)="r"),VLOOKUP( T_ApifImport[[#This Row],[ld]], T_Aop[], 4, 0),A1)</f>
        <v>110</v>
      </c>
      <c r="D78"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c r="B79" s="44">
        <f>IF(AND([0]!Godina=2025,MID(Osnovni_podaci!D20,3,1)="v",Osnovni_podaci!L24=2,Osnovni_podaci!G24=1,MID(Osnovni_podaci!D20,3,1)="v",MID(Osnovni_podaci!D20,8,1)="r"),VLOOKUP( T_ApifImport[[#This Row],[Bilans]], T_Bilansi[], 4, 0),A1)</f>
        <v>26</v>
      </c>
      <c r="C79" s="227">
        <f>IF(AND([0]!Godina=2025,MID(Osnovni_podaci!D20,3,1)="v",Osnovni_podaci!L24=2,Osnovni_podaci!G24=1,MID(Osnovni_podaci!D20,3,1)="v",MID(Osnovni_podaci!D20,8,1)="r"),VLOOKUP( T_ApifImport[[#This Row],[ld]], T_Aop[], 4, 0),A1)</f>
        <v>111</v>
      </c>
      <c r="D79"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c r="B80" s="44">
        <f>IF(AND([0]!Godina=2025,MID(Osnovni_podaci!D20,3,1)="v",Osnovni_podaci!L24=2,Osnovni_podaci!G24=1,MID(Osnovni_podaci!D20,3,1)="v",MID(Osnovni_podaci!D20,8,1)="r"),VLOOKUP( T_ApifImport[[#This Row],[Bilans]], T_Bilansi[], 4, 0),A1)</f>
        <v>26</v>
      </c>
      <c r="C80" s="227">
        <f>IF(AND([0]!Godina=2025,MID(Osnovni_podaci!D20,3,1)="v",Osnovni_podaci!L24=2,Osnovni_podaci!G24=1,MID(Osnovni_podaci!D20,3,1)="v",MID(Osnovni_podaci!D20,8,1)="r"),VLOOKUP( T_ApifImport[[#This Row],[ld]], T_Aop[], 4, 0),A1)</f>
        <v>112</v>
      </c>
      <c r="D80"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c r="B81" s="44">
        <f>IF(AND([0]!Godina=2025,MID(Osnovni_podaci!D20,3,1)="v",Osnovni_podaci!L24=2,Osnovni_podaci!G24=1,MID(Osnovni_podaci!D20,3,1)="v",MID(Osnovni_podaci!D20,8,1)="r"),VLOOKUP( T_ApifImport[[#This Row],[Bilans]], T_Bilansi[], 4, 0),A1)</f>
        <v>26</v>
      </c>
      <c r="C81" s="227">
        <f>IF(AND([0]!Godina=2025,MID(Osnovni_podaci!D20,3,1)="v",Osnovni_podaci!L24=2,Osnovni_podaci!G24=1,MID(Osnovni_podaci!D20,3,1)="v",MID(Osnovni_podaci!D20,8,1)="r"),VLOOKUP( T_ApifImport[[#This Row],[ld]], T_Aop[], 4, 0),A1)</f>
        <v>113</v>
      </c>
      <c r="D81"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c r="B82" s="44">
        <f>IF(AND([0]!Godina=2025,MID(Osnovni_podaci!D20,3,1)="v",Osnovni_podaci!L24=2,Osnovni_podaci!G24=1,MID(Osnovni_podaci!D20,3,1)="v",MID(Osnovni_podaci!D20,8,1)="r"),VLOOKUP( T_ApifImport[[#This Row],[Bilans]], T_Bilansi[], 4, 0),A1)</f>
        <v>26</v>
      </c>
      <c r="C82" s="227">
        <f>IF(AND([0]!Godina=2025,MID(Osnovni_podaci!D20,3,1)="v",Osnovni_podaci!L24=2,Osnovni_podaci!G24=1,MID(Osnovni_podaci!D20,3,1)="v",MID(Osnovni_podaci!D20,8,1)="r"),VLOOKUP( T_ApifImport[[#This Row],[ld]], T_Aop[], 4, 0),A1)</f>
        <v>114</v>
      </c>
      <c r="D82"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c r="B83" s="44">
        <f>IF(AND([0]!Godina=2025,MID(Osnovni_podaci!D20,3,1)="v",Osnovni_podaci!L24=2,Osnovni_podaci!G24=1,MID(Osnovni_podaci!D20,3,1)="v",MID(Osnovni_podaci!D20,8,1)="r"),VLOOKUP( T_ApifImport[[#This Row],[Bilans]], T_Bilansi[], 4, 0),A1)</f>
        <v>26</v>
      </c>
      <c r="C83" s="227">
        <f>IF(AND([0]!Godina=2025,MID(Osnovni_podaci!D20,3,1)="v",Osnovni_podaci!L24=2,Osnovni_podaci!G24=1,MID(Osnovni_podaci!D20,3,1)="v",MID(Osnovni_podaci!D20,8,1)="r"),VLOOKUP( T_ApifImport[[#This Row],[ld]], T_Aop[], 4, 0),A1)</f>
        <v>115</v>
      </c>
      <c r="D83"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528</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c r="B84" s="44">
        <f>IF(AND([0]!Godina=2025,MID(Osnovni_podaci!D20,3,1)="v",Osnovni_podaci!L24=2,Osnovni_podaci!G24=1,MID(Osnovni_podaci!D20,3,1)="v",MID(Osnovni_podaci!D20,8,1)="r"),VLOOKUP( T_ApifImport[[#This Row],[Bilans]], T_Bilansi[], 4, 0),A1)</f>
        <v>26</v>
      </c>
      <c r="C84" s="227">
        <f>IF(AND([0]!Godina=2025,MID(Osnovni_podaci!D20,3,1)="v",Osnovni_podaci!L24=2,Osnovni_podaci!G24=1,MID(Osnovni_podaci!D20,3,1)="v",MID(Osnovni_podaci!D20,8,1)="r"),VLOOKUP( T_ApifImport[[#This Row],[ld]], T_Aop[], 4, 0),A1)</f>
        <v>116</v>
      </c>
      <c r="D84"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528</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c r="B85" s="44">
        <f>IF(AND([0]!Godina=2025,MID(Osnovni_podaci!D20,3,1)="v",Osnovni_podaci!L24=2,Osnovni_podaci!G24=1,MID(Osnovni_podaci!D20,3,1)="v",MID(Osnovni_podaci!D20,8,1)="r"),VLOOKUP( T_ApifImport[[#This Row],[Bilans]], T_Bilansi[], 4, 0),A1)</f>
        <v>26</v>
      </c>
      <c r="C85" s="227">
        <f>IF(AND([0]!Godina=2025,MID(Osnovni_podaci!D20,3,1)="v",Osnovni_podaci!L24=2,Osnovni_podaci!G24=1,MID(Osnovni_podaci!D20,3,1)="v",MID(Osnovni_podaci!D20,8,1)="r"),VLOOKUP( T_ApifImport[[#This Row],[ld]], T_Aop[], 4, 0),A1)</f>
        <v>117</v>
      </c>
      <c r="D85"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c r="B86" s="44">
        <f>IF(AND([0]!Godina=2025,MID(Osnovni_podaci!D20,3,1)="v",Osnovni_podaci!L24=2,Osnovni_podaci!G24=1,MID(Osnovni_podaci!D20,3,1)="v",MID(Osnovni_podaci!D20,8,1)="r"),VLOOKUP( T_ApifImport[[#This Row],[Bilans]], T_Bilansi[], 4, 0),A1)</f>
        <v>26</v>
      </c>
      <c r="C86" s="227">
        <f>IF(AND([0]!Godina=2025,MID(Osnovni_podaci!D20,3,1)="v",Osnovni_podaci!L24=2,Osnovni_podaci!G24=1,MID(Osnovni_podaci!D20,3,1)="v",MID(Osnovni_podaci!D20,8,1)="r"),VLOOKUP( T_ApifImport[[#This Row],[ld]], T_Aop[], 4, 0),A1)</f>
        <v>118</v>
      </c>
      <c r="D86"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c r="B87" s="44">
        <f>IF(AND([0]!Godina=2025,MID(Osnovni_podaci!D20,3,1)="v",Osnovni_podaci!L24=2,Osnovni_podaci!G24=1,MID(Osnovni_podaci!D20,3,1)="v",MID(Osnovni_podaci!D20,8,1)="r"),VLOOKUP( T_ApifImport[[#This Row],[Bilans]], T_Bilansi[], 4, 0),A1)</f>
        <v>26</v>
      </c>
      <c r="C87" s="227">
        <f>IF(AND([0]!Godina=2025,MID(Osnovni_podaci!D20,3,1)="v",Osnovni_podaci!L24=2,Osnovni_podaci!G24=1,MID(Osnovni_podaci!D20,3,1)="v",MID(Osnovni_podaci!D20,8,1)="r"),VLOOKUP( T_ApifImport[[#This Row],[ld]], T_Aop[], 4, 0),A1)</f>
        <v>119</v>
      </c>
      <c r="D87"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c r="B88" s="44">
        <f>IF(AND([0]!Godina=2025,MID(Osnovni_podaci!D20,3,1)="v",Osnovni_podaci!L24=2,Osnovni_podaci!G24=1,MID(Osnovni_podaci!D20,3,1)="v",MID(Osnovni_podaci!D20,8,1)="r"),VLOOKUP( T_ApifImport[[#This Row],[Bilans]], T_Bilansi[], 4, 0),A1)</f>
        <v>26</v>
      </c>
      <c r="C88" s="227">
        <f>IF(AND([0]!Godina=2025,MID(Osnovni_podaci!D20,3,1)="v",Osnovni_podaci!L24=2,Osnovni_podaci!G24=1,MID(Osnovni_podaci!D20,3,1)="v",MID(Osnovni_podaci!D20,8,1)="r"),VLOOKUP( T_ApifImport[[#This Row],[ld]], T_Aop[], 4, 0),A1)</f>
        <v>120</v>
      </c>
      <c r="D88"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c r="B89" s="44">
        <f>IF(AND([0]!Godina=2025,MID(Osnovni_podaci!D20,3,1)="v",Osnovni_podaci!L24=2,Osnovni_podaci!G24=1,MID(Osnovni_podaci!D20,3,1)="v",MID(Osnovni_podaci!D20,8,1)="r"),VLOOKUP( T_ApifImport[[#This Row],[Bilans]], T_Bilansi[], 4, 0),A1)</f>
        <v>26</v>
      </c>
      <c r="C89" s="227">
        <f>IF(AND([0]!Godina=2025,MID(Osnovni_podaci!D20,3,1)="v",Osnovni_podaci!L24=2,Osnovni_podaci!G24=1,MID(Osnovni_podaci!D20,3,1)="v",MID(Osnovni_podaci!D20,8,1)="r"),VLOOKUP( T_ApifImport[[#This Row],[ld]], T_Aop[], 4, 0),A1)</f>
        <v>121</v>
      </c>
      <c r="D89"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c r="B90" s="44">
        <f>IF(AND([0]!Godina=2025,MID(Osnovni_podaci!D20,3,1)="v",Osnovni_podaci!L24=2,Osnovni_podaci!G24=1,MID(Osnovni_podaci!D20,3,1)="v",MID(Osnovni_podaci!D20,8,1)="r"),VLOOKUP( T_ApifImport[[#This Row],[Bilans]], T_Bilansi[], 4, 0),A1)</f>
        <v>26</v>
      </c>
      <c r="C90" s="227">
        <f>IF(AND([0]!Godina=2025,MID(Osnovni_podaci!D20,3,1)="v",Osnovni_podaci!L24=2,Osnovni_podaci!G24=1,MID(Osnovni_podaci!D20,3,1)="v",MID(Osnovni_podaci!D20,8,1)="r"),VLOOKUP( T_ApifImport[[#This Row],[ld]], T_Aop[], 4, 0),A1)</f>
        <v>122</v>
      </c>
      <c r="D90"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c r="B91" s="44">
        <f>IF(AND([0]!Godina=2025,MID(Osnovni_podaci!D20,3,1)="v",Osnovni_podaci!L24=2,Osnovni_podaci!G24=1,MID(Osnovni_podaci!D20,3,1)="v",MID(Osnovni_podaci!D20,8,1)="r"),VLOOKUP( T_ApifImport[[#This Row],[Bilans]], T_Bilansi[], 4, 0),A1)</f>
        <v>26</v>
      </c>
      <c r="C91" s="227">
        <f>IF(AND([0]!Godina=2025,MID(Osnovni_podaci!D20,3,1)="v",Osnovni_podaci!L24=2,Osnovni_podaci!G24=1,MID(Osnovni_podaci!D20,3,1)="v",MID(Osnovni_podaci!D20,8,1)="r"),VLOOKUP( T_ApifImport[[#This Row],[ld]], T_Aop[], 4, 0),A1)</f>
        <v>123</v>
      </c>
      <c r="D91"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c r="B92" s="44">
        <f>IF(AND([0]!Godina=2025,MID(Osnovni_podaci!D20,3,1)="v",Osnovni_podaci!L24=2,Osnovni_podaci!G24=1,MID(Osnovni_podaci!D20,3,1)="v",MID(Osnovni_podaci!D20,8,1)="r"),VLOOKUP( T_ApifImport[[#This Row],[Bilans]], T_Bilansi[], 4, 0),A1)</f>
        <v>26</v>
      </c>
      <c r="C92" s="227">
        <f>IF(AND([0]!Godina=2025,MID(Osnovni_podaci!D20,3,1)="v",Osnovni_podaci!L24=2,Osnovni_podaci!G24=1,MID(Osnovni_podaci!D20,3,1)="v",MID(Osnovni_podaci!D20,8,1)="r"),VLOOKUP( T_ApifImport[[#This Row],[ld]], T_Aop[], 4, 0),A1)</f>
        <v>124</v>
      </c>
      <c r="D92"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252624</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c r="B93" s="44">
        <f>IF(AND([0]!Godina=2025,MID(Osnovni_podaci!D20,3,1)="v",Osnovni_podaci!L24=2,Osnovni_podaci!G24=1,MID(Osnovni_podaci!D20,3,1)="v",MID(Osnovni_podaci!D20,8,1)="r"),VLOOKUP( T_ApifImport[[#This Row],[Bilans]], T_Bilansi[], 4, 0),A1)</f>
        <v>26</v>
      </c>
      <c r="C93" s="227">
        <f>IF(AND([0]!Godina=2025,MID(Osnovni_podaci!D20,3,1)="v",Osnovni_podaci!L24=2,Osnovni_podaci!G24=1,MID(Osnovni_podaci!D20,3,1)="v",MID(Osnovni_podaci!D20,8,1)="r"),VLOOKUP( T_ApifImport[[#This Row],[ld]], T_Aop[], 4, 0),A1)</f>
        <v>125</v>
      </c>
      <c r="D93"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c r="B94" s="44">
        <f>IF(AND([0]!Godina=2025,MID(Osnovni_podaci!D20,3,1)="v",Osnovni_podaci!L24=2,Osnovni_podaci!G24=1,MID(Osnovni_podaci!D20,3,1)="v",MID(Osnovni_podaci!D20,8,1)="r"),VLOOKUP( T_ApifImport[[#This Row],[Bilans]], T_Bilansi[], 4, 0),A1)</f>
        <v>26</v>
      </c>
      <c r="C94" s="227">
        <f>IF(AND([0]!Godina=2025,MID(Osnovni_podaci!D20,3,1)="v",Osnovni_podaci!L24=2,Osnovni_podaci!G24=1,MID(Osnovni_podaci!D20,3,1)="v",MID(Osnovni_podaci!D20,8,1)="r"),VLOOKUP( T_ApifImport[[#This Row],[ld]], T_Aop[], 4, 0),A1)</f>
        <v>126</v>
      </c>
      <c r="D94"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252624</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c r="B95" s="44">
        <f>IF(AND([0]!Godina=2025,MID(Osnovni_podaci!D20,3,1)="v",Osnovni_podaci!L24=2,Osnovni_podaci!G24=1,MID(Osnovni_podaci!D20,3,1)="v",MID(Osnovni_podaci!D20,8,1)="r"),VLOOKUP( T_ApifImport[[#This Row],[Bilans]], T_Bilansi[], 4, 0),A1)</f>
        <v>26</v>
      </c>
      <c r="C95" s="227">
        <f>IF(AND([0]!Godina=2025,MID(Osnovni_podaci!D20,3,1)="v",Osnovni_podaci!L24=2,Osnovni_podaci!G24=1,MID(Osnovni_podaci!D20,3,1)="v",MID(Osnovni_podaci!D20,8,1)="r"),VLOOKUP( T_ApifImport[[#This Row],[ld]], T_Aop[], 4, 0),A1)</f>
        <v>127</v>
      </c>
      <c r="D95"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c r="B96" s="44">
        <f>IF(AND([0]!Godina=2025,MID(Osnovni_podaci!D20,3,1)="v",Osnovni_podaci!L24=2,Osnovni_podaci!G24=1,MID(Osnovni_podaci!D20,3,1)="v",MID(Osnovni_podaci!D20,8,1)="r"),VLOOKUP( T_ApifImport[[#This Row],[Bilans]], T_Bilansi[], 4, 0),A1)</f>
        <v>26</v>
      </c>
      <c r="C96" s="227">
        <f>IF(AND([0]!Godina=2025,MID(Osnovni_podaci!D20,3,1)="v",Osnovni_podaci!L24=2,Osnovni_podaci!G24=1,MID(Osnovni_podaci!D20,3,1)="v",MID(Osnovni_podaci!D20,8,1)="r"),VLOOKUP( T_ApifImport[[#This Row],[ld]], T_Aop[], 4, 0),A1)</f>
        <v>128</v>
      </c>
      <c r="D96"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250206</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274065</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c r="B97" s="44">
        <f>IF(AND([0]!Godina=2025,MID(Osnovni_podaci!D20,3,1)="v",Osnovni_podaci!L24=2,Osnovni_podaci!G24=1,MID(Osnovni_podaci!D20,3,1)="v",MID(Osnovni_podaci!D20,8,1)="r"),VLOOKUP( T_ApifImport[[#This Row],[Bilans]], T_Bilansi[], 4, 0),A1)</f>
        <v>26</v>
      </c>
      <c r="C97" s="227">
        <f>IF(AND([0]!Godina=2025,MID(Osnovni_podaci!D20,3,1)="v",Osnovni_podaci!L24=2,Osnovni_podaci!G24=1,MID(Osnovni_podaci!D20,3,1)="v",MID(Osnovni_podaci!D20,8,1)="r"),VLOOKUP( T_ApifImport[[#This Row],[ld]], T_Aop[], 4, 0),A1)</f>
        <v>129</v>
      </c>
      <c r="D97"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250206</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113237</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c r="B98" s="44">
        <f>IF(AND([0]!Godina=2025,MID(Osnovni_podaci!D20,3,1)="v",Osnovni_podaci!L24=2,Osnovni_podaci!G24=1,MID(Osnovni_podaci!D20,3,1)="v",MID(Osnovni_podaci!D20,8,1)="r"),VLOOKUP( T_ApifImport[[#This Row],[Bilans]], T_Bilansi[], 4, 0),A1)</f>
        <v>26</v>
      </c>
      <c r="C98" s="227">
        <f>IF(AND([0]!Godina=2025,MID(Osnovni_podaci!D20,3,1)="v",Osnovni_podaci!L24=2,Osnovni_podaci!G24=1,MID(Osnovni_podaci!D20,3,1)="v",MID(Osnovni_podaci!D20,8,1)="r"),VLOOKUP( T_ApifImport[[#This Row],[ld]], T_Aop[], 4, 0),A1)</f>
        <v>130</v>
      </c>
      <c r="D98"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160828</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c r="B99" s="44">
        <f>IF(AND([0]!Godina=2025,MID(Osnovni_podaci!D20,3,1)="v",Osnovni_podaci!L24=2,Osnovni_podaci!G24=1,MID(Osnovni_podaci!D20,3,1)="v",MID(Osnovni_podaci!D20,8,1)="r"),VLOOKUP( T_ApifImport[[#This Row],[Bilans]], T_Bilansi[], 4, 0),A1)</f>
        <v>26</v>
      </c>
      <c r="C99" s="227">
        <f>IF(AND([0]!Godina=2025,MID(Osnovni_podaci!D20,3,1)="v",Osnovni_podaci!L24=2,Osnovni_podaci!G24=1,MID(Osnovni_podaci!D20,3,1)="v",MID(Osnovni_podaci!D20,8,1)="r"),VLOOKUP( T_ApifImport[[#This Row],[ld]], T_Aop[], 4, 0),A1)</f>
        <v>131</v>
      </c>
      <c r="D99"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c r="B100" s="44">
        <f>IF(AND([0]!Godina=2025,MID(Osnovni_podaci!D20,3,1)="v",Osnovni_podaci!L24=2,Osnovni_podaci!G24=1,MID(Osnovni_podaci!D20,3,1)="v",MID(Osnovni_podaci!D20,8,1)="r"),VLOOKUP( T_ApifImport[[#This Row],[Bilans]], T_Bilansi[], 4, 0),A1)</f>
        <v>26</v>
      </c>
      <c r="C100" s="227">
        <f>IF(AND([0]!Godina=2025,MID(Osnovni_podaci!D20,3,1)="v",Osnovni_podaci!L24=2,Osnovni_podaci!G24=1,MID(Osnovni_podaci!D20,3,1)="v",MID(Osnovni_podaci!D20,8,1)="r"),VLOOKUP( T_ApifImport[[#This Row],[ld]], T_Aop[], 4, 0),A1)</f>
        <v>132</v>
      </c>
      <c r="D100" s="227" t="str">
        <f ca="1">IF(AND([0]!Godina=2025,MID(Osnovni_podaci!D20,3,1)="v",Osnovni_podaci!L24=2,Osnovni_podaci!G24=1,MID(Osnovni_podaci!D20,3,1)="v",MID(Osnovni_podaci!D20,8,1)="r"),IF(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c r="B101" s="44">
        <f>VLOOKUP( T_ApifImport[[#This Row],[Bilans]], T_Bilansi[], 4, 0)</f>
        <v>26</v>
      </c>
      <c r="C101" s="227">
        <f>IF(AND([0]!Godina=2025,MID(Osnovni_podaci!D20,3,1)="v",Osnovni_podaci!L24=2,Osnovni_podaci!G24=1,MID(Osnovni_podaci!D20,3,1)="v",MID(Osnovni_podaci!D20,8,1)="r"),VLOOKUP(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c r="B102" s="44">
        <f>VLOOKUP( T_ApifImport[[#This Row],[Bilans]], T_Bilansi[], 4, 0)</f>
        <v>26</v>
      </c>
      <c r="C102" s="227">
        <f>IF(AND([0]!Godina=2025,MID(Osnovni_podaci!D20,3,1)="v",Osnovni_podaci!L24=2,Osnovni_podaci!G24=1,MID(Osnovni_podaci!D20,3,1)="v",MID(Osnovni_podaci!D20,8,1)="r"),VLOOKUP(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c r="B103" s="44">
        <f>VLOOKUP( T_ApifImport[[#This Row],[Bilans]], T_Bilansi[], 4, 0)</f>
        <v>26</v>
      </c>
      <c r="C103" s="227">
        <f>IF(AND([0]!Godina=2025,MID(Osnovni_podaci!D20,3,1)="v",Osnovni_podaci!L24=2,Osnovni_podaci!G24=1,MID(Osnovni_podaci!D20,3,1)="v",MID(Osnovni_podaci!D20,8,1)="r"),VLOOKUP(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c r="B104" s="44">
        <f>VLOOKUP( T_ApifImport[[#This Row],[Bilans]], T_Bilansi[], 4, 0)</f>
        <v>26</v>
      </c>
      <c r="C104" s="227">
        <f>IF(AND([0]!Godina=2025,MID(Osnovni_podaci!D20,3,1)="v",Osnovni_podaci!L24=2,Osnovni_podaci!G24=1,MID(Osnovni_podaci!D20,3,1)="v",MID(Osnovni_podaci!D20,8,1)="r"),VLOOKUP(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c r="B105" s="44">
        <f>VLOOKUP( T_ApifImport[[#This Row],[Bilans]], T_Bilansi[], 4, 0)</f>
        <v>26</v>
      </c>
      <c r="C105" s="227">
        <f>IF(AND([0]!Godina=2025,MID(Osnovni_podaci!D20,3,1)="v",Osnovni_podaci!L24=2,Osnovni_podaci!G24=1,MID(Osnovni_podaci!D20,3,1)="v",MID(Osnovni_podaci!D20,8,1)="r"),VLOOKUP(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c r="B106" s="44">
        <f>VLOOKUP( T_ApifImport[[#This Row],[Bilans]], T_Bilansi[], 4, 0)</f>
        <v>26</v>
      </c>
      <c r="C106" s="227">
        <f>IF(AND([0]!Godina=2025,MID(Osnovni_podaci!D20,3,1)="v",Osnovni_podaci!L24=2,Osnovni_podaci!G24=1,MID(Osnovni_podaci!D20,3,1)="v",MID(Osnovni_podaci!D20,8,1)="r"),VLOOKUP(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c r="B107" s="44">
        <f>VLOOKUP( T_ApifImport[[#This Row],[Bilans]], T_Bilansi[], 4, 0)</f>
        <v>26</v>
      </c>
      <c r="C107" s="227">
        <f>IF(AND([0]!Godina=2025,MID(Osnovni_podaci!D20,3,1)="v",Osnovni_podaci!L24=2,Osnovni_podaci!G24=1,MID(Osnovni_podaci!D20,3,1)="v",MID(Osnovni_podaci!D20,8,1)="r"),VLOOKUP(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c r="B108" s="44">
        <f>VLOOKUP( T_ApifImport[[#This Row],[Bilans]], T_Bilansi[], 4, 0)</f>
        <v>26</v>
      </c>
      <c r="C108" s="227">
        <f>IF(AND([0]!Godina=2025,MID(Osnovni_podaci!D20,3,1)="v",Osnovni_podaci!L24=2,Osnovni_podaci!G24=1,MID(Osnovni_podaci!D20,3,1)="v",MID(Osnovni_podaci!D20,8,1)="r"),VLOOKUP(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c r="B109" s="44">
        <f>VLOOKUP( T_ApifImport[[#This Row],[Bilans]], T_Bilansi[], 4, 0)</f>
        <v>26</v>
      </c>
      <c r="C109" s="227">
        <f>IF(AND([0]!Godina=2025,MID(Osnovni_podaci!D20,3,1)="v",Osnovni_podaci!L24=2,Osnovni_podaci!G24=1,MID(Osnovni_podaci!D20,3,1)="v",MID(Osnovni_podaci!D20,8,1)="r"),VLOOKUP(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c r="B110" s="44">
        <f>VLOOKUP( T_ApifImport[[#This Row],[Bilans]], T_Bilansi[], 4, 0)</f>
        <v>26</v>
      </c>
      <c r="C110" s="227">
        <f>IF(AND([0]!Godina=2025,MID(Osnovni_podaci!D20,3,1)="v",Osnovni_podaci!L24=2,Osnovni_podaci!G24=1,MID(Osnovni_podaci!D20,3,1)="v",MID(Osnovni_podaci!D20,8,1)="r"),VLOOKUP(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c r="B111" s="44">
        <f>VLOOKUP( T_ApifImport[[#This Row],[Bilans]], T_Bilansi[], 4, 0)</f>
        <v>26</v>
      </c>
      <c r="C111" s="227">
        <f>IF(AND([0]!Godina=2025,MID(Osnovni_podaci!D20,3,1)="v",Osnovni_podaci!L24=2,Osnovni_podaci!G24=1,MID(Osnovni_podaci!D20,3,1)="v",MID(Osnovni_podaci!D20,8,1)="r"),VLOOKUP(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c r="B112" s="44">
        <f>VLOOKUP( T_ApifImport[[#This Row],[Bilans]], T_Bilansi[], 4, 0)</f>
        <v>26</v>
      </c>
      <c r="C112" s="227">
        <f>IF(AND([0]!Godina=2025,MID(Osnovni_podaci!D20,3,1)="v",Osnovni_podaci!L24=2,Osnovni_podaci!G24=1,MID(Osnovni_podaci!D20,3,1)="v",MID(Osnovni_podaci!D20,8,1)="r"),VLOOKUP(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c r="B113" s="44">
        <f>VLOOKUP( T_ApifImport[[#This Row],[Bilans]], T_Bilansi[], 4, 0)</f>
        <v>26</v>
      </c>
      <c r="C113" s="227">
        <f>IF(AND([0]!Godina=2025,MID(Osnovni_podaci!D20,3,1)="v",Osnovni_podaci!L24=2,Osnovni_podaci!G24=1,MID(Osnovni_podaci!D20,3,1)="v",MID(Osnovni_podaci!D20,8,1)="r"),VLOOKUP(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c r="B114" s="44">
        <f>VLOOKUP( T_ApifImport[[#This Row],[Bilans]], T_Bilansi[], 4, 0)</f>
        <v>26</v>
      </c>
      <c r="C114" s="227">
        <f>IF(AND([0]!Godina=2025,MID(Osnovni_podaci!D20,3,1)="v",Osnovni_podaci!L24=2,Osnovni_podaci!G24=1,MID(Osnovni_podaci!D20,3,1)="v",MID(Osnovni_podaci!D20,8,1)="r"),VLOOKUP(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c r="B115" s="44">
        <f>VLOOKUP( T_ApifImport[[#This Row],[Bilans]], T_Bilansi[], 4, 0)</f>
        <v>26</v>
      </c>
      <c r="C115" s="227">
        <f>IF(AND([0]!Godina=2025,MID(Osnovni_podaci!D20,3,1)="v",Osnovni_podaci!L24=2,Osnovni_podaci!G24=1,MID(Osnovni_podaci!D20,3,1)="v",MID(Osnovni_podaci!D20,8,1)="r"),VLOOKUP(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335580</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361120</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c r="B116" s="44">
        <f>VLOOKUP( T_ApifImport[[#This Row],[Bilans]], T_Bilansi[], 4, 0)</f>
        <v>26</v>
      </c>
      <c r="C116" s="227">
        <f>IF(AND([0]!Godina=2025,MID(Osnovni_podaci!D20,3,1)="v",Osnovni_podaci!L24=2,Osnovni_podaci!G24=1,MID(Osnovni_podaci!D20,3,1)="v",MID(Osnovni_podaci!D20,8,1)="r"),VLOOKUP(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c r="B117" s="44">
        <f>VLOOKUP( T_ApifImport[[#This Row],[Bilans]], T_Bilansi[], 4, 0)</f>
        <v>26</v>
      </c>
      <c r="C117" s="227">
        <f>IF(AND([0]!Godina=2025,MID(Osnovni_podaci!D20,3,1)="v",Osnovni_podaci!L24=2,Osnovni_podaci!G24=1,MID(Osnovni_podaci!D20,3,1)="v",MID(Osnovni_podaci!D20,8,1)="r"),VLOOKUP(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c r="B118" s="44">
        <f>VLOOKUP( T_ApifImport[[#This Row],[Bilans]], T_Bilansi[], 4, 0)</f>
        <v>26</v>
      </c>
      <c r="C118" s="227">
        <f>IF(AND([0]!Godina=2025,MID(Osnovni_podaci!D20,3,1)="v",Osnovni_podaci!L24=2,Osnovni_podaci!G24=1,MID(Osnovni_podaci!D20,3,1)="v",MID(Osnovni_podaci!D20,8,1)="r"),VLOOKUP(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c r="B119" s="44">
        <f>VLOOKUP( T_ApifImport[[#This Row],[Bilans]], T_Bilansi[], 4, 0)</f>
        <v>26</v>
      </c>
      <c r="C119" s="227">
        <f>IF(AND([0]!Godina=2025,MID(Osnovni_podaci!D20,3,1)="v",Osnovni_podaci!L24=2,Osnovni_podaci!G24=1,MID(Osnovni_podaci!D20,3,1)="v",MID(Osnovni_podaci!D20,8,1)="r"),VLOOKUP(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c r="B120" s="44">
        <f>VLOOKUP( T_ApifImport[[#This Row],[Bilans]], T_Bilansi[], 4, 0)</f>
        <v>26</v>
      </c>
      <c r="C120" s="227">
        <f>IF(AND([0]!Godina=2025,MID(Osnovni_podaci!D20,3,1)="v",Osnovni_podaci!L24=2,Osnovni_podaci!G24=1,MID(Osnovni_podaci!D20,3,1)="v",MID(Osnovni_podaci!D20,8,1)="r"),VLOOKUP(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c r="B121" s="44">
        <f>VLOOKUP( T_ApifImport[[#This Row],[Bilans]], T_Bilansi[], 4, 0)</f>
        <v>26</v>
      </c>
      <c r="C121" s="227">
        <f>IF(AND([0]!Godina=2025,MID(Osnovni_podaci!D20,3,1)="v",Osnovni_podaci!L24=2,Osnovni_podaci!G24=1,MID(Osnovni_podaci!D20,3,1)="v",MID(Osnovni_podaci!D20,8,1)="r"),VLOOKUP(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c r="B122" s="44">
        <f>VLOOKUP( T_ApifImport[[#This Row],[Bilans]], T_Bilansi[], 4, 0)</f>
        <v>26</v>
      </c>
      <c r="C122" s="227">
        <f>IF(AND([0]!Godina=2025,MID(Osnovni_podaci!D20,3,1)="v",Osnovni_podaci!L24=2,Osnovni_podaci!G24=1,MID(Osnovni_podaci!D20,3,1)="v",MID(Osnovni_podaci!D20,8,1)="r"),VLOOKUP(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c r="B123" s="44">
        <f>VLOOKUP( T_ApifImport[[#This Row],[Bilans]], T_Bilansi[], 4, 0)</f>
        <v>26</v>
      </c>
      <c r="C123" s="227">
        <f>IF(AND([0]!Godina=2025,MID(Osnovni_podaci!D20,3,1)="v",Osnovni_podaci!L24=2,Osnovni_podaci!G24=1,MID(Osnovni_podaci!D20,3,1)="v",MID(Osnovni_podaci!D20,8,1)="r"),VLOOKUP(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128601</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81624</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c r="B124" s="44">
        <f>VLOOKUP( T_ApifImport[[#This Row],[Bilans]], T_Bilansi[], 4, 0)</f>
        <v>26</v>
      </c>
      <c r="C124" s="227">
        <f>IF(AND([0]!Godina=2025,MID(Osnovni_podaci!D20,3,1)="v",Osnovni_podaci!L24=2,Osnovni_podaci!G24=1,MID(Osnovni_podaci!D20,3,1)="v",MID(Osnovni_podaci!D20,8,1)="r"),VLOOKUP(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c r="B125" s="44">
        <f>VLOOKUP( T_ApifImport[[#This Row],[Bilans]], T_Bilansi[], 4, 0)</f>
        <v>26</v>
      </c>
      <c r="C125" s="227">
        <f>IF(AND([0]!Godina=2025,MID(Osnovni_podaci!D20,3,1)="v",Osnovni_podaci!L24=2,Osnovni_podaci!G24=1,MID(Osnovni_podaci!D20,3,1)="v",MID(Osnovni_podaci!D20,8,1)="r"),VLOOKUP(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282</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188</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c r="B126" s="44">
        <f>VLOOKUP( T_ApifImport[[#This Row],[Bilans]], T_Bilansi[], 4, 0)</f>
        <v>26</v>
      </c>
      <c r="C126" s="227">
        <f>IF(AND([0]!Godina=2025,MID(Osnovni_podaci!D20,3,1)="v",Osnovni_podaci!L24=2,Osnovni_podaci!G24=1,MID(Osnovni_podaci!D20,3,1)="v",MID(Osnovni_podaci!D20,8,1)="r"),VLOOKUP(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128319</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81436</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c r="B127" s="44">
        <f>VLOOKUP( T_ApifImport[[#This Row],[Bilans]], T_Bilansi[], 4, 0)</f>
        <v>26</v>
      </c>
      <c r="C127" s="227">
        <f>IF(AND([0]!Godina=2025,MID(Osnovni_podaci!D20,3,1)="v",Osnovni_podaci!L24=2,Osnovni_podaci!G24=1,MID(Osnovni_podaci!D20,3,1)="v",MID(Osnovni_podaci!D20,8,1)="r"),VLOOKUP(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c r="B128" s="44">
        <f>VLOOKUP( T_ApifImport[[#This Row],[Bilans]], T_Bilansi[], 4, 0)</f>
        <v>26</v>
      </c>
      <c r="C128" s="227">
        <f>IF(AND([0]!Godina=2025,MID(Osnovni_podaci!D20,3,1)="v",Osnovni_podaci!L24=2,Osnovni_podaci!G24=1,MID(Osnovni_podaci!D20,3,1)="v",MID(Osnovni_podaci!D20,8,1)="r"),VLOOKUP(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c r="B129" s="44">
        <f>VLOOKUP( T_ApifImport[[#This Row],[Bilans]], T_Bilansi[], 4, 0)</f>
        <v>26</v>
      </c>
      <c r="C129" s="227">
        <f>IF(AND([0]!Godina=2025,MID(Osnovni_podaci!D20,3,1)="v",Osnovni_podaci!L24=2,Osnovni_podaci!G24=1,MID(Osnovni_podaci!D20,3,1)="v",MID(Osnovni_podaci!D20,8,1)="r"),VLOOKUP(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c r="B130" s="44">
        <f>VLOOKUP( T_ApifImport[[#This Row],[Bilans]], T_Bilansi[], 4, 0)</f>
        <v>26</v>
      </c>
      <c r="C130" s="227">
        <f>IF(AND([0]!Godina=2025,MID(Osnovni_podaci!D20,3,1)="v",Osnovni_podaci!L24=2,Osnovni_podaci!G24=1,MID(Osnovni_podaci!D20,3,1)="v",MID(Osnovni_podaci!D20,8,1)="r"),VLOOKUP(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182502</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253144</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c r="B131" s="44">
        <f>VLOOKUP( T_ApifImport[[#This Row],[Bilans]], T_Bilansi[], 4, 0)</f>
        <v>26</v>
      </c>
      <c r="C131" s="227">
        <f>IF(AND([0]!Godina=2025,MID(Osnovni_podaci!D20,3,1)="v",Osnovni_podaci!L24=2,Osnovni_podaci!G24=1,MID(Osnovni_podaci!D20,3,1)="v",MID(Osnovni_podaci!D20,8,1)="r"),VLOOKUP(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540</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540</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c r="B132" s="44">
        <f>VLOOKUP( T_ApifImport[[#This Row],[Bilans]], T_Bilansi[], 4, 0)</f>
        <v>26</v>
      </c>
      <c r="C132" s="227">
        <f>IF(AND([0]!Godina=2025,MID(Osnovni_podaci!D20,3,1)="v",Osnovni_podaci!L24=2,Osnovni_podaci!G24=1,MID(Osnovni_podaci!D20,3,1)="v",MID(Osnovni_podaci!D20,8,1)="r"),VLOOKUP(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5033</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8019</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c r="B133" s="44">
        <f>VLOOKUP( T_ApifImport[[#This Row],[Bilans]], T_Bilansi[], 4, 0)</f>
        <v>26</v>
      </c>
      <c r="C133" s="227">
        <f>IF(AND([0]!Godina=2025,MID(Osnovni_podaci!D20,3,1)="v",Osnovni_podaci!L24=2,Osnovni_podaci!G24=1,MID(Osnovni_podaci!D20,3,1)="v",MID(Osnovni_podaci!D20,8,1)="r"),VLOOKUP(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12637</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11525</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c r="B134" s="44">
        <f>VLOOKUP( T_ApifImport[[#This Row],[Bilans]], T_Bilansi[], 4, 0)</f>
        <v>26</v>
      </c>
      <c r="C134" s="227">
        <f>IF(AND([0]!Godina=2025,MID(Osnovni_podaci!D20,3,1)="v",Osnovni_podaci!L24=2,Osnovni_podaci!G24=1,MID(Osnovni_podaci!D20,3,1)="v",MID(Osnovni_podaci!D20,8,1)="r"),VLOOKUP(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6267</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6268</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c r="B135" s="44">
        <f>VLOOKUP( T_ApifImport[[#This Row],[Bilans]], T_Bilansi[], 4, 0)</f>
        <v>26</v>
      </c>
      <c r="C135" s="227">
        <f>IF(AND([0]!Godina=2025,MID(Osnovni_podaci!D20,3,1)="v",Osnovni_podaci!L24=2,Osnovni_podaci!G24=1,MID(Osnovni_podaci!D20,3,1)="v",MID(Osnovni_podaci!D20,8,1)="r"),VLOOKUP(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c r="B136" s="44">
        <f>VLOOKUP( T_ApifImport[[#This Row],[Bilans]], T_Bilansi[], 4, 0)</f>
        <v>26</v>
      </c>
      <c r="C136" s="227">
        <f>IF(AND([0]!Godina=2025,MID(Osnovni_podaci!D20,3,1)="v",Osnovni_podaci!L24=2,Osnovni_podaci!G24=1,MID(Osnovni_podaci!D20,3,1)="v",MID(Osnovni_podaci!D20,8,1)="r"),VLOOKUP(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c r="B137" s="44">
        <f>VLOOKUP( T_ApifImport[[#This Row],[Bilans]], T_Bilansi[], 4, 0)</f>
        <v>26</v>
      </c>
      <c r="C137" s="227">
        <f>IF(AND([0]!Godina=2025,MID(Osnovni_podaci!D20,3,1)="v",Osnovni_podaci!L24=2,Osnovni_podaci!G24=1,MID(Osnovni_podaci!D20,3,1)="v",MID(Osnovni_podaci!D20,8,1)="r"),VLOOKUP(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426385</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175172</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c r="B138" s="506">
        <f>VLOOKUP( T_ApifImport[[#This Row],[Bilans]], T_Bilansi[], 4, 0)</f>
        <v>26</v>
      </c>
      <c r="C138" s="260">
        <f>IF(AND([0]!Godina=2025,MID(Osnovni_podaci!D20,3,1)="v",Osnovni_podaci!L24=2,Osnovni_podaci!G24=1,MID(Osnovni_podaci!D20,3,1)="v",MID(Osnovni_podaci!D20,8,1)="r"),VLOOKUP(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c r="B139" s="44">
        <f>VLOOKUP( T_ApifImport[[#This Row],[Bilans]], T_Bilansi[], 4, 0)</f>
        <v>27</v>
      </c>
      <c r="C139" s="227">
        <f>IF(AND([0]!Godina=2025,MID(Osnovni_podaci!D20,3,1)="v",Osnovni_podaci!L24=2,Osnovni_podaci!G24=1,MID(Osnovni_podaci!D20,3,1)="v",MID(Osnovni_podaci!D20,8,1)="r"),VLOOKUP(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555036</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190324</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c r="B140" s="44">
        <f>VLOOKUP( T_ApifImport[[#This Row],[Bilans]], T_Bilansi[], 4, 0)</f>
        <v>27</v>
      </c>
      <c r="C140" s="227">
        <f>IF(AND([0]!Godina=2025,MID(Osnovni_podaci!D20,3,1)="v",Osnovni_podaci!L24=2,Osnovni_podaci!G24=1,MID(Osnovni_podaci!D20,3,1)="v",MID(Osnovni_podaci!D20,8,1)="r"),VLOOKUP(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c r="B141" s="44">
        <f>VLOOKUP( T_ApifImport[[#This Row],[Bilans]], T_Bilansi[], 4, 0)</f>
        <v>27</v>
      </c>
      <c r="C141" s="227">
        <f>IF(AND([0]!Godina=2025,MID(Osnovni_podaci!D20,3,1)="v",Osnovni_podaci!L24=2,Osnovni_podaci!G24=1,MID(Osnovni_podaci!D20,3,1)="v",MID(Osnovni_podaci!D20,8,1)="r"),VLOOKUP(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c r="B142" s="44">
        <f>VLOOKUP( T_ApifImport[[#This Row],[Bilans]], T_Bilansi[], 4, 0)</f>
        <v>27</v>
      </c>
      <c r="C142" s="227">
        <f>IF(AND([0]!Godina=2025,MID(Osnovni_podaci!D20,3,1)="v",Osnovni_podaci!L24=2,Osnovni_podaci!G24=1,MID(Osnovni_podaci!D20,3,1)="v",MID(Osnovni_podaci!D20,8,1)="r"),VLOOKUP(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c r="B143" s="44">
        <f>VLOOKUP( T_ApifImport[[#This Row],[Bilans]], T_Bilansi[], 4, 0)</f>
        <v>27</v>
      </c>
      <c r="C143" s="227">
        <f>IF(AND([0]!Godina=2025,MID(Osnovni_podaci!D20,3,1)="v",Osnovni_podaci!L24=2,Osnovni_podaci!G24=1,MID(Osnovni_podaci!D20,3,1)="v",MID(Osnovni_podaci!D20,8,1)="r"),VLOOKUP(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c r="B144" s="44">
        <f>VLOOKUP( T_ApifImport[[#This Row],[Bilans]], T_Bilansi[], 4, 0)</f>
        <v>27</v>
      </c>
      <c r="C144" s="227">
        <f>IF(AND([0]!Godina=2025,MID(Osnovni_podaci!D20,3,1)="v",Osnovni_podaci!L24=2,Osnovni_podaci!G24=1,MID(Osnovni_podaci!D20,3,1)="v",MID(Osnovni_podaci!D20,8,1)="r"),VLOOKUP(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c r="B145" s="44">
        <f>VLOOKUP( T_ApifImport[[#This Row],[Bilans]], T_Bilansi[], 4, 0)</f>
        <v>27</v>
      </c>
      <c r="C145" s="227">
        <f>IF(AND([0]!Godina=2025,MID(Osnovni_podaci!D20,3,1)="v",Osnovni_podaci!L24=2,Osnovni_podaci!G24=1,MID(Osnovni_podaci!D20,3,1)="v",MID(Osnovni_podaci!D20,8,1)="r"),VLOOKUP(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c r="B146" s="44">
        <f>VLOOKUP( T_ApifImport[[#This Row],[Bilans]], T_Bilansi[], 4, 0)</f>
        <v>27</v>
      </c>
      <c r="C146" s="227">
        <f>IF(AND([0]!Godina=2025,MID(Osnovni_podaci!D20,3,1)="v",Osnovni_podaci!L24=2,Osnovni_podaci!G24=1,MID(Osnovni_podaci!D20,3,1)="v",MID(Osnovni_podaci!D20,8,1)="r"),VLOOKUP(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c r="B147" s="44">
        <f>VLOOKUP( T_ApifImport[[#This Row],[Bilans]], T_Bilansi[], 4, 0)</f>
        <v>27</v>
      </c>
      <c r="C147" s="227">
        <f>IF(AND([0]!Godina=2025,MID(Osnovni_podaci!D20,3,1)="v",Osnovni_podaci!L24=2,Osnovni_podaci!G24=1,MID(Osnovni_podaci!D20,3,1)="v",MID(Osnovni_podaci!D20,8,1)="r"),VLOOKUP(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c r="B148" s="44">
        <f>VLOOKUP( T_ApifImport[[#This Row],[Bilans]], T_Bilansi[], 4, 0)</f>
        <v>27</v>
      </c>
      <c r="C148" s="227">
        <f>IF(AND([0]!Godina=2025,MID(Osnovni_podaci!D20,3,1)="v",Osnovni_podaci!L24=2,Osnovni_podaci!G24=1,MID(Osnovni_podaci!D20,3,1)="v",MID(Osnovni_podaci!D20,8,1)="r"),VLOOKUP(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254451</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190324</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c r="B149" s="44">
        <f>VLOOKUP( T_ApifImport[[#This Row],[Bilans]], T_Bilansi[], 4, 0)</f>
        <v>27</v>
      </c>
      <c r="C149" s="227">
        <f>IF(AND([0]!Godina=2025,MID(Osnovni_podaci!D20,3,1)="v",Osnovni_podaci!L24=2,Osnovni_podaci!G24=1,MID(Osnovni_podaci!D20,3,1)="v",MID(Osnovni_podaci!D20,8,1)="r"),VLOOKUP(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c r="B150" s="44">
        <f>VLOOKUP( T_ApifImport[[#This Row],[Bilans]], T_Bilansi[], 4, 0)</f>
        <v>27</v>
      </c>
      <c r="C150" s="227">
        <f>IF(AND([0]!Godina=2025,MID(Osnovni_podaci!D20,3,1)="v",Osnovni_podaci!L24=2,Osnovni_podaci!G24=1,MID(Osnovni_podaci!D20,3,1)="v",MID(Osnovni_podaci!D20,8,1)="r"),VLOOKUP(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254451</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190324</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c r="B151" s="44">
        <f>VLOOKUP( T_ApifImport[[#This Row],[Bilans]], T_Bilansi[], 4, 0)</f>
        <v>27</v>
      </c>
      <c r="C151" s="227">
        <f>IF(AND([0]!Godina=2025,MID(Osnovni_podaci!D20,3,1)="v",Osnovni_podaci!L24=2,Osnovni_podaci!G24=1,MID(Osnovni_podaci!D20,3,1)="v",MID(Osnovni_podaci!D20,8,1)="r"),VLOOKUP(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c r="B152" s="44">
        <f>VLOOKUP( T_ApifImport[[#This Row],[Bilans]], T_Bilansi[], 4, 0)</f>
        <v>27</v>
      </c>
      <c r="C152" s="227">
        <f>IF(AND([0]!Godina=2025,MID(Osnovni_podaci!D20,3,1)="v",Osnovni_podaci!L24=2,Osnovni_podaci!G24=1,MID(Osnovni_podaci!D20,3,1)="v",MID(Osnovni_podaci!D20,8,1)="r"),VLOOKUP(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c r="B153" s="44">
        <f>VLOOKUP( T_ApifImport[[#This Row],[Bilans]], T_Bilansi[], 4, 0)</f>
        <v>27</v>
      </c>
      <c r="C153" s="227">
        <f>IF(AND([0]!Godina=2025,MID(Osnovni_podaci!D20,3,1)="v",Osnovni_podaci!L24=2,Osnovni_podaci!G24=1,MID(Osnovni_podaci!D20,3,1)="v",MID(Osnovni_podaci!D20,8,1)="r"),VLOOKUP(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c r="B154" s="44">
        <f>VLOOKUP( T_ApifImport[[#This Row],[Bilans]], T_Bilansi[], 4, 0)</f>
        <v>27</v>
      </c>
      <c r="C154" s="227">
        <f>IF(AND([0]!Godina=2025,MID(Osnovni_podaci!D20,3,1)="v",Osnovni_podaci!L24=2,Osnovni_podaci!G24=1,MID(Osnovni_podaci!D20,3,1)="v",MID(Osnovni_podaci!D20,8,1)="r"),VLOOKUP(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c r="B155" s="44">
        <f>VLOOKUP( T_ApifImport[[#This Row],[Bilans]], T_Bilansi[], 4, 0)</f>
        <v>27</v>
      </c>
      <c r="C155" s="227">
        <f>IF(AND([0]!Godina=2025,MID(Osnovni_podaci!D20,3,1)="v",Osnovni_podaci!L24=2,Osnovni_podaci!G24=1,MID(Osnovni_podaci!D20,3,1)="v",MID(Osnovni_podaci!D20,8,1)="r"),VLOOKUP(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c r="B156" s="44">
        <f>VLOOKUP( T_ApifImport[[#This Row],[Bilans]], T_Bilansi[], 4, 0)</f>
        <v>27</v>
      </c>
      <c r="C156" s="227">
        <f>IF(AND([0]!Godina=2025,MID(Osnovni_podaci!D20,3,1)="v",Osnovni_podaci!L24=2,Osnovni_podaci!G24=1,MID(Osnovni_podaci!D20,3,1)="v",MID(Osnovni_podaci!D20,8,1)="r"),VLOOKUP(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300585</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c r="B157" s="44">
        <f>VLOOKUP( T_ApifImport[[#This Row],[Bilans]], T_Bilansi[], 4, 0)</f>
        <v>27</v>
      </c>
      <c r="C157" s="227">
        <f>IF(AND([0]!Godina=2025,MID(Osnovni_podaci!D20,3,1)="v",Osnovni_podaci!L24=2,Osnovni_podaci!G24=1,MID(Osnovni_podaci!D20,3,1)="v",MID(Osnovni_podaci!D20,8,1)="r"),VLOOKUP(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290547</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340983</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c r="B158" s="44">
        <f>VLOOKUP( T_ApifImport[[#This Row],[Bilans]], T_Bilansi[], 4, 0)</f>
        <v>27</v>
      </c>
      <c r="C158" s="227">
        <f>IF(AND([0]!Godina=2025,MID(Osnovni_podaci!D20,3,1)="v",Osnovni_podaci!L24=2,Osnovni_podaci!G24=1,MID(Osnovni_podaci!D20,3,1)="v",MID(Osnovni_podaci!D20,8,1)="r"),VLOOKUP(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c r="B159" s="44">
        <f>VLOOKUP( T_ApifImport[[#This Row],[Bilans]], T_Bilansi[], 4, 0)</f>
        <v>27</v>
      </c>
      <c r="C159" s="227">
        <f>IF(AND([0]!Godina=2025,MID(Osnovni_podaci!D20,3,1)="v",Osnovni_podaci!L24=2,Osnovni_podaci!G24=1,MID(Osnovni_podaci!D20,3,1)="v",MID(Osnovni_podaci!D20,8,1)="r"),VLOOKUP(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15705</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10418</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c r="B160" s="44">
        <f>VLOOKUP( T_ApifImport[[#This Row],[Bilans]], T_Bilansi[], 4, 0)</f>
        <v>27</v>
      </c>
      <c r="C160" s="227">
        <f>IF(AND([0]!Godina=2025,MID(Osnovni_podaci!D20,3,1)="v",Osnovni_podaci!L24=2,Osnovni_podaci!G24=1,MID(Osnovni_podaci!D20,3,1)="v",MID(Osnovni_podaci!D20,8,1)="r"),VLOOKUP(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3726</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4532</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c r="B161" s="44">
        <f>VLOOKUP( T_ApifImport[[#This Row],[Bilans]], T_Bilansi[], 4, 0)</f>
        <v>27</v>
      </c>
      <c r="C161" s="227">
        <f>IF(AND([0]!Godina=2025,MID(Osnovni_podaci!D20,3,1)="v",Osnovni_podaci!L24=2,Osnovni_podaci!G24=1,MID(Osnovni_podaci!D20,3,1)="v",MID(Osnovni_podaci!D20,8,1)="r"),VLOOKUP(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243770</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316372</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c r="B162" s="44">
        <f>VLOOKUP( T_ApifImport[[#This Row],[Bilans]], T_Bilansi[], 4, 0)</f>
        <v>27</v>
      </c>
      <c r="C162" s="227">
        <f>IF(AND([0]!Godina=2025,MID(Osnovni_podaci!D20,3,1)="v",Osnovni_podaci!L24=2,Osnovni_podaci!G24=1,MID(Osnovni_podaci!D20,3,1)="v",MID(Osnovni_podaci!D20,8,1)="r"),VLOOKUP(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232420</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218772</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c r="B163" s="44">
        <f>VLOOKUP( T_ApifImport[[#This Row],[Bilans]], T_Bilansi[], 4, 0)</f>
        <v>27</v>
      </c>
      <c r="C163" s="227">
        <f>IF(AND([0]!Godina=2025,MID(Osnovni_podaci!D20,3,1)="v",Osnovni_podaci!L24=2,Osnovni_podaci!G24=1,MID(Osnovni_podaci!D20,3,1)="v",MID(Osnovni_podaci!D20,8,1)="r"),VLOOKUP(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11350</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97600</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c r="B164" s="44">
        <f>VLOOKUP( T_ApifImport[[#This Row],[Bilans]], T_Bilansi[], 4, 0)</f>
        <v>27</v>
      </c>
      <c r="C164" s="227">
        <f>IF(AND([0]!Godina=2025,MID(Osnovni_podaci!D20,3,1)="v",Osnovni_podaci!L24=2,Osnovni_podaci!G24=1,MID(Osnovni_podaci!D20,3,1)="v",MID(Osnovni_podaci!D20,8,1)="r"),VLOOKUP(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3148</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2056</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c r="B165" s="44">
        <f>VLOOKUP( T_ApifImport[[#This Row],[Bilans]], T_Bilansi[], 4, 0)</f>
        <v>27</v>
      </c>
      <c r="C165" s="227">
        <f>IF(AND([0]!Godina=2025,MID(Osnovni_podaci!D20,3,1)="v",Osnovni_podaci!L24=2,Osnovni_podaci!G24=1,MID(Osnovni_podaci!D20,3,1)="v",MID(Osnovni_podaci!D20,8,1)="r"),VLOOKUP(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10558</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1921</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c r="B166" s="44">
        <f>VLOOKUP( T_ApifImport[[#This Row],[Bilans]], T_Bilansi[], 4, 0)</f>
        <v>27</v>
      </c>
      <c r="C166" s="227">
        <f>IF(AND([0]!Godina=2025,MID(Osnovni_podaci!D20,3,1)="v",Osnovni_podaci!L24=2,Osnovni_podaci!G24=1,MID(Osnovni_podaci!D20,3,1)="v",MID(Osnovni_podaci!D20,8,1)="r"),VLOOKUP(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10558</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1921</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c r="B167" s="44">
        <f>VLOOKUP( T_ApifImport[[#This Row],[Bilans]], T_Bilansi[], 4, 0)</f>
        <v>27</v>
      </c>
      <c r="C167" s="227">
        <f>IF(AND([0]!Godina=2025,MID(Osnovni_podaci!D20,3,1)="v",Osnovni_podaci!L24=2,Osnovni_podaci!G24=1,MID(Osnovni_podaci!D20,3,1)="v",MID(Osnovni_podaci!D20,8,1)="r"),VLOOKUP(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10558</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1921</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c r="B168" s="44">
        <f>VLOOKUP( T_ApifImport[[#This Row],[Bilans]], T_Bilansi[], 4, 0)</f>
        <v>27</v>
      </c>
      <c r="C168" s="227">
        <f>IF(AND([0]!Godina=2025,MID(Osnovni_podaci!D20,3,1)="v",Osnovni_podaci!L24=2,Osnovni_podaci!G24=1,MID(Osnovni_podaci!D20,3,1)="v",MID(Osnovni_podaci!D20,8,1)="r"),VLOOKUP(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c r="B169" s="44">
        <f>VLOOKUP( T_ApifImport[[#This Row],[Bilans]], T_Bilansi[], 4, 0)</f>
        <v>27</v>
      </c>
      <c r="C169" s="227">
        <f>IF(AND([0]!Godina=2025,MID(Osnovni_podaci!D20,3,1)="v",Osnovni_podaci!L24=2,Osnovni_podaci!G24=1,MID(Osnovni_podaci!D20,3,1)="v",MID(Osnovni_podaci!D20,8,1)="r"),VLOOKUP(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c r="B170" s="44">
        <f>VLOOKUP( T_ApifImport[[#This Row],[Bilans]], T_Bilansi[], 4, 0)</f>
        <v>27</v>
      </c>
      <c r="C170" s="227">
        <f>IF(AND([0]!Godina=2025,MID(Osnovni_podaci!D20,3,1)="v",Osnovni_podaci!L24=2,Osnovni_podaci!G24=1,MID(Osnovni_podaci!D20,3,1)="v",MID(Osnovni_podaci!D20,8,1)="r"),VLOOKUP(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c r="B171" s="44">
        <f>VLOOKUP( T_ApifImport[[#This Row],[Bilans]], T_Bilansi[], 4, 0)</f>
        <v>27</v>
      </c>
      <c r="C171" s="227">
        <f>IF(AND([0]!Godina=2025,MID(Osnovni_podaci!D20,3,1)="v",Osnovni_podaci!L24=2,Osnovni_podaci!G24=1,MID(Osnovni_podaci!D20,3,1)="v",MID(Osnovni_podaci!D20,8,1)="r"),VLOOKUP(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c r="B172" s="44">
        <f>VLOOKUP( T_ApifImport[[#This Row],[Bilans]], T_Bilansi[], 4, 0)</f>
        <v>27</v>
      </c>
      <c r="C172" s="227">
        <f>IF(AND([0]!Godina=2025,MID(Osnovni_podaci!D20,3,1)="v",Osnovni_podaci!L24=2,Osnovni_podaci!G24=1,MID(Osnovni_podaci!D20,3,1)="v",MID(Osnovni_podaci!D20,8,1)="r"),VLOOKUP(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13175</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5314</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c r="B173" s="44">
        <f>VLOOKUP( T_ApifImport[[#This Row],[Bilans]], T_Bilansi[], 4, 0)</f>
        <v>27</v>
      </c>
      <c r="C173" s="227">
        <f>IF(AND([0]!Godina=2025,MID(Osnovni_podaci!D20,3,1)="v",Osnovni_podaci!L24=2,Osnovni_podaci!G24=1,MID(Osnovni_podaci!D20,3,1)="v",MID(Osnovni_podaci!D20,8,1)="r"),VLOOKUP(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c r="B174" s="44">
        <f>VLOOKUP( T_ApifImport[[#This Row],[Bilans]], T_Bilansi[], 4, 0)</f>
        <v>27</v>
      </c>
      <c r="C174" s="227">
        <f>IF(AND([0]!Godina=2025,MID(Osnovni_podaci!D20,3,1)="v",Osnovni_podaci!L24=2,Osnovni_podaci!G24=1,MID(Osnovni_podaci!D20,3,1)="v",MID(Osnovni_podaci!D20,8,1)="r"),VLOOKUP(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465</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370</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c r="B175" s="44">
        <f>VLOOKUP( T_ApifImport[[#This Row],[Bilans]], T_Bilansi[], 4, 0)</f>
        <v>27</v>
      </c>
      <c r="C175" s="227">
        <f>IF(AND([0]!Godina=2025,MID(Osnovni_podaci!D20,3,1)="v",Osnovni_podaci!L24=2,Osnovni_podaci!G24=1,MID(Osnovni_podaci!D20,3,1)="v",MID(Osnovni_podaci!D20,8,1)="r"),VLOOKUP(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264489</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c r="B176" s="44">
        <f>VLOOKUP( T_ApifImport[[#This Row],[Bilans]], T_Bilansi[], 4, 0)</f>
        <v>27</v>
      </c>
      <c r="C176" s="227">
        <f>IF(AND([0]!Godina=2025,MID(Osnovni_podaci!D20,3,1)="v",Osnovni_podaci!L24=2,Osnovni_podaci!G24=1,MID(Osnovni_podaci!D20,3,1)="v",MID(Osnovni_podaci!D20,8,1)="r"),VLOOKUP(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150659</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c r="B177" s="44">
        <f>VLOOKUP( T_ApifImport[[#This Row],[Bilans]], T_Bilansi[], 4, 0)</f>
        <v>27</v>
      </c>
      <c r="C177" s="227">
        <f>IF(AND([0]!Godina=2025,MID(Osnovni_podaci!D20,3,1)="v",Osnovni_podaci!L24=2,Osnovni_podaci!G24=1,MID(Osnovni_podaci!D20,3,1)="v",MID(Osnovni_podaci!D20,8,1)="r"),VLOOKUP(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c r="B178" s="44">
        <f>VLOOKUP( T_ApifImport[[#This Row],[Bilans]], T_Bilansi[], 4, 0)</f>
        <v>27</v>
      </c>
      <c r="C178" s="227">
        <f>IF(AND([0]!Godina=2025,MID(Osnovni_podaci!D20,3,1)="v",Osnovni_podaci!L24=2,Osnovni_podaci!G24=1,MID(Osnovni_podaci!D20,3,1)="v",MID(Osnovni_podaci!D20,8,1)="r"),VLOOKUP(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c r="B179" s="44">
        <f>VLOOKUP( T_ApifImport[[#This Row],[Bilans]], T_Bilansi[], 4, 0)</f>
        <v>27</v>
      </c>
      <c r="C179" s="227">
        <f>IF(AND([0]!Godina=2025,MID(Osnovni_podaci!D20,3,1)="v",Osnovni_podaci!L24=2,Osnovni_podaci!G24=1,MID(Osnovni_podaci!D20,3,1)="v",MID(Osnovni_podaci!D20,8,1)="r"),VLOOKUP(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c r="B180" s="44">
        <f>VLOOKUP( T_ApifImport[[#This Row],[Bilans]], T_Bilansi[], 4, 0)</f>
        <v>27</v>
      </c>
      <c r="C180" s="227">
        <f>IF(AND([0]!Godina=2025,MID(Osnovni_podaci!D20,3,1)="v",Osnovni_podaci!L24=2,Osnovni_podaci!G24=1,MID(Osnovni_podaci!D20,3,1)="v",MID(Osnovni_podaci!D20,8,1)="r"),VLOOKUP(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c r="B181" s="44">
        <f>VLOOKUP( T_ApifImport[[#This Row],[Bilans]], T_Bilansi[], 4, 0)</f>
        <v>27</v>
      </c>
      <c r="C181" s="227">
        <f>IF(AND([0]!Godina=2025,MID(Osnovni_podaci!D20,3,1)="v",Osnovni_podaci!L24=2,Osnovni_podaci!G24=1,MID(Osnovni_podaci!D20,3,1)="v",MID(Osnovni_podaci!D20,8,1)="r"),VLOOKUP(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c r="B182" s="44">
        <f>VLOOKUP( T_ApifImport[[#This Row],[Bilans]], T_Bilansi[], 4, 0)</f>
        <v>27</v>
      </c>
      <c r="C182" s="227">
        <f>IF(AND([0]!Godina=2025,MID(Osnovni_podaci!D20,3,1)="v",Osnovni_podaci!L24=2,Osnovni_podaci!G24=1,MID(Osnovni_podaci!D20,3,1)="v",MID(Osnovni_podaci!D20,8,1)="r"),VLOOKUP(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11865</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10169</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c r="B183" s="44">
        <f>VLOOKUP( T_ApifImport[[#This Row],[Bilans]], T_Bilansi[], 4, 0)</f>
        <v>27</v>
      </c>
      <c r="C183" s="227">
        <f>IF(AND([0]!Godina=2025,MID(Osnovni_podaci!D20,3,1)="v",Osnovni_podaci!L24=2,Osnovni_podaci!G24=1,MID(Osnovni_podaci!D20,3,1)="v",MID(Osnovni_podaci!D20,8,1)="r"),VLOOKUP(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11865</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10169</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c r="B184" s="44">
        <f>VLOOKUP( T_ApifImport[[#This Row],[Bilans]], T_Bilansi[], 4, 0)</f>
        <v>27</v>
      </c>
      <c r="C184" s="227">
        <f>IF(AND([0]!Godina=2025,MID(Osnovni_podaci!D20,3,1)="v",Osnovni_podaci!L24=2,Osnovni_podaci!G24=1,MID(Osnovni_podaci!D20,3,1)="v",MID(Osnovni_podaci!D20,8,1)="r"),VLOOKUP(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c r="B185" s="44">
        <f>VLOOKUP( T_ApifImport[[#This Row],[Bilans]], T_Bilansi[], 4, 0)</f>
        <v>27</v>
      </c>
      <c r="C185" s="227">
        <f>IF(AND([0]!Godina=2025,MID(Osnovni_podaci!D20,3,1)="v",Osnovni_podaci!L24=2,Osnovni_podaci!G24=1,MID(Osnovni_podaci!D20,3,1)="v",MID(Osnovni_podaci!D20,8,1)="r"),VLOOKUP(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c r="B186" s="44">
        <f>VLOOKUP( T_ApifImport[[#This Row],[Bilans]], T_Bilansi[], 4, 0)</f>
        <v>27</v>
      </c>
      <c r="C186" s="227">
        <f>IF(AND([0]!Godina=2025,MID(Osnovni_podaci!D20,3,1)="v",Osnovni_podaci!L24=2,Osnovni_podaci!G24=1,MID(Osnovni_podaci!D20,3,1)="v",MID(Osnovni_podaci!D20,8,1)="r"),VLOOKUP(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c r="B187" s="44">
        <f>VLOOKUP( T_ApifImport[[#This Row],[Bilans]], T_Bilansi[], 4, 0)</f>
        <v>27</v>
      </c>
      <c r="C187" s="227">
        <f>IF(AND([0]!Godina=2025,MID(Osnovni_podaci!D20,3,1)="v",Osnovni_podaci!L24=2,Osnovni_podaci!G24=1,MID(Osnovni_podaci!D20,3,1)="v",MID(Osnovni_podaci!D20,8,1)="r"),VLOOKUP(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252624</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c r="B188" s="44">
        <f>VLOOKUP( T_ApifImport[[#This Row],[Bilans]], T_Bilansi[], 4, 0)</f>
        <v>27</v>
      </c>
      <c r="C188" s="227">
        <f>IF(AND([0]!Godina=2025,MID(Osnovni_podaci!D20,3,1)="v",Osnovni_podaci!L24=2,Osnovni_podaci!G24=1,MID(Osnovni_podaci!D20,3,1)="v",MID(Osnovni_podaci!D20,8,1)="r"),VLOOKUP(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160828</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c r="B189" s="44">
        <f>VLOOKUP( T_ApifImport[[#This Row],[Bilans]], T_Bilansi[], 4, 0)</f>
        <v>27</v>
      </c>
      <c r="C189" s="227">
        <f>IF(AND([0]!Godina=2025,MID(Osnovni_podaci!D20,3,1)="v",Osnovni_podaci!L24=2,Osnovni_podaci!G24=1,MID(Osnovni_podaci!D20,3,1)="v",MID(Osnovni_podaci!D20,8,1)="r"),VLOOKUP(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c r="B190" s="44">
        <f>VLOOKUP( T_ApifImport[[#This Row],[Bilans]], T_Bilansi[], 4, 0)</f>
        <v>27</v>
      </c>
      <c r="C190" s="227">
        <f>IF(AND([0]!Godina=2025,MID(Osnovni_podaci!D20,3,1)="v",Osnovni_podaci!L24=2,Osnovni_podaci!G24=1,MID(Osnovni_podaci!D20,3,1)="v",MID(Osnovni_podaci!D20,8,1)="r"),VLOOKUP(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c r="B191" s="44">
        <f>VLOOKUP( T_ApifImport[[#This Row],[Bilans]], T_Bilansi[], 4, 0)</f>
        <v>27</v>
      </c>
      <c r="C191" s="227">
        <f>IF(AND([0]!Godina=2025,MID(Osnovni_podaci!D20,3,1)="v",Osnovni_podaci!L24=2,Osnovni_podaci!G24=1,MID(Osnovni_podaci!D20,3,1)="v",MID(Osnovni_podaci!D20,8,1)="r"),VLOOKUP(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c r="B192" s="44">
        <f>VLOOKUP( T_ApifImport[[#This Row],[Bilans]], T_Bilansi[], 4, 0)</f>
        <v>27</v>
      </c>
      <c r="C192" s="227">
        <f>IF(AND([0]!Godina=2025,MID(Osnovni_podaci!D20,3,1)="v",Osnovni_podaci!L24=2,Osnovni_podaci!G24=1,MID(Osnovni_podaci!D20,3,1)="v",MID(Osnovni_podaci!D20,8,1)="r"),VLOOKUP(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c r="B193" s="44">
        <f>VLOOKUP( T_ApifImport[[#This Row],[Bilans]], T_Bilansi[], 4, 0)</f>
        <v>27</v>
      </c>
      <c r="C193" s="227">
        <f>IF(AND([0]!Godina=2025,MID(Osnovni_podaci!D20,3,1)="v",Osnovni_podaci!L24=2,Osnovni_podaci!G24=1,MID(Osnovni_podaci!D20,3,1)="v",MID(Osnovni_podaci!D20,8,1)="r"),VLOOKUP(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c r="B194" s="44">
        <f>VLOOKUP( T_ApifImport[[#This Row],[Bilans]], T_Bilansi[], 4, 0)</f>
        <v>27</v>
      </c>
      <c r="C194" s="227">
        <f>IF(AND([0]!Godina=2025,MID(Osnovni_podaci!D20,3,1)="v",Osnovni_podaci!L24=2,Osnovni_podaci!G24=1,MID(Osnovni_podaci!D20,3,1)="v",MID(Osnovni_podaci!D20,8,1)="r"),VLOOKUP(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c r="B195" s="44">
        <f>VLOOKUP( T_ApifImport[[#This Row],[Bilans]], T_Bilansi[], 4, 0)</f>
        <v>27</v>
      </c>
      <c r="C195" s="227">
        <f>IF(AND([0]!Godina=2025,MID(Osnovni_podaci!D20,3,1)="v",Osnovni_podaci!L24=2,Osnovni_podaci!G24=1,MID(Osnovni_podaci!D20,3,1)="v",MID(Osnovni_podaci!D20,8,1)="r"),VLOOKUP(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c r="B196" s="44">
        <f>VLOOKUP( T_ApifImport[[#This Row],[Bilans]], T_Bilansi[], 4, 0)</f>
        <v>27</v>
      </c>
      <c r="C196" s="227">
        <f>IF(AND([0]!Godina=2025,MID(Osnovni_podaci!D20,3,1)="v",Osnovni_podaci!L24=2,Osnovni_podaci!G24=1,MID(Osnovni_podaci!D20,3,1)="v",MID(Osnovni_podaci!D20,8,1)="r"),VLOOKUP(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c r="B197" s="44">
        <f>VLOOKUP( T_ApifImport[[#This Row],[Bilans]], T_Bilansi[], 4, 0)</f>
        <v>27</v>
      </c>
      <c r="C197" s="227">
        <f>IF(AND([0]!Godina=2025,MID(Osnovni_podaci!D20,3,1)="v",Osnovni_podaci!L24=2,Osnovni_podaci!G24=1,MID(Osnovni_podaci!D20,3,1)="v",MID(Osnovni_podaci!D20,8,1)="r"),VLOOKUP(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c r="B198" s="44">
        <f>VLOOKUP( T_ApifImport[[#This Row],[Bilans]], T_Bilansi[], 4, 0)</f>
        <v>27</v>
      </c>
      <c r="C198" s="227">
        <f>IF(AND([0]!Godina=2025,MID(Osnovni_podaci!D20,3,1)="v",Osnovni_podaci!L24=2,Osnovni_podaci!G24=1,MID(Osnovni_podaci!D20,3,1)="v",MID(Osnovni_podaci!D20,8,1)="r"),VLOOKUP(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c r="B199" s="44">
        <f>VLOOKUP( T_ApifImport[[#This Row],[Bilans]], T_Bilansi[], 4, 0)</f>
        <v>27</v>
      </c>
      <c r="C199" s="227">
        <f>IF(AND([0]!Godina=2025,MID(Osnovni_podaci!D20,3,1)="v",Osnovni_podaci!L24=2,Osnovni_podaci!G24=1,MID(Osnovni_podaci!D20,3,1)="v",MID(Osnovni_podaci!D20,8,1)="r"),VLOOKUP(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c r="B200" s="44">
        <f>VLOOKUP( T_ApifImport[[#This Row],[Bilans]], T_Bilansi[], 4, 0)</f>
        <v>27</v>
      </c>
      <c r="C200" s="227">
        <f>IF(AND([0]!Godina=2025,MID(Osnovni_podaci!D20,3,1)="v",Osnovni_podaci!L24=2,Osnovni_podaci!G24=1,MID(Osnovni_podaci!D20,3,1)="v",MID(Osnovni_podaci!D20,8,1)="r"),VLOOKUP(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8"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555036</v>
      </c>
      <c r="F243"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190324</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302412</v>
      </c>
      <c r="F244"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351152</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252624</v>
      </c>
      <c r="F245"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160828</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252624</v>
      </c>
      <c r="F254"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160828</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v>
      </c>
      <c r="F261"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v>
      </c>
      <c r="F262"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252624</v>
      </c>
      <c r="F263"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-160828</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252624</v>
      </c>
      <c r="F279"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-160828</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555036</v>
      </c>
      <c r="F282"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393319</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254451</v>
      </c>
      <c r="F283"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393319</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300585</v>
      </c>
      <c r="F285"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540310</v>
      </c>
      <c r="F287"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397482</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282137</v>
      </c>
      <c r="F288"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2867</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11865</v>
      </c>
      <c r="F29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10169</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243770</v>
      </c>
      <c r="F291"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360450</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2538</v>
      </c>
      <c r="F293"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23996</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14726</v>
      </c>
      <c r="F294"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4163</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IF(AND([0]!Godina=2025,MID(Osnovni_podaci!D20,3,1)="v",Osnovni_podaci!L24=2,Osnovni_podaci!G24=1,MID(Osnovni_podaci!D20,3,1)="v",MID(Osnovni_podaci!D20,8,1)="r"),IF(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555036</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393319</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540310</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397482</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14726</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4163</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14633</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14726</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10470</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294129</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3500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95</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310590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21398</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254451</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190324</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243770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316372</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2056</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450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773</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983</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13175</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5685</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3866</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363</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IF(AND([0]!Godina=2025,MID(Osnovni_podaci!D20,3,1)="v",Osnovni_podaci!L24=2,Osnovni_podaci!G24=1,MID(Osnovni_podaci!D20,3,1)="v",MID(Osnovni_podaci!D20,8,1)="r"),IF(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6498</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4781</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2811</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541</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43751</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32353</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44691</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2913</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2492</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20640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20800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-250206</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-161819</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-161819</v>
      </c>
      <c r="O417" s="8">
        <v>420</v>
      </c>
      <c r="P417" s="568" t="s">
        <v>135</v>
      </c>
    </row>
    <row r="418" spans="2:16">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-250206</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-161819</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-161819</v>
      </c>
      <c r="O420" s="8">
        <v>424</v>
      </c>
      <c r="P420" s="568" t="s">
        <v>135</v>
      </c>
    </row>
    <row r="421" spans="2:16">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1" s="8">
        <v>426</v>
      </c>
      <c r="P421" s="568" t="s">
        <v>135</v>
      </c>
    </row>
    <row r="422" spans="2:16">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3" s="8">
        <v>428</v>
      </c>
      <c r="P423" s="568" t="s">
        <v>135</v>
      </c>
    </row>
    <row r="424" spans="2:16">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-250206</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-161819</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-161819</v>
      </c>
      <c r="O429" s="8">
        <v>436</v>
      </c>
      <c r="P429" s="568" t="s">
        <v>135</v>
      </c>
    </row>
    <row r="430" spans="2:16">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-250206</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-161819</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-161819</v>
      </c>
      <c r="O432" s="8">
        <v>440</v>
      </c>
      <c r="P432" s="568" t="s">
        <v>135</v>
      </c>
    </row>
    <row r="433" spans="2:16">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252624</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252624</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252624</v>
      </c>
      <c r="O433" s="8">
        <v>442</v>
      </c>
      <c r="P433" s="568" t="s">
        <v>135</v>
      </c>
    </row>
    <row r="434" spans="2:16">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252624</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252624</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252624</v>
      </c>
      <c r="O435" s="8">
        <v>444</v>
      </c>
      <c r="P435" s="568" t="s">
        <v>135</v>
      </c>
    </row>
    <row r="436" spans="2:16">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87859</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528</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2418</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90805</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90805</v>
      </c>
      <c r="O441" s="8">
        <v>452</v>
      </c>
      <c r="P441" s="568" t="s">
        <v>135</v>
      </c>
    </row>
  </sheetData>
  <sheetProtection sheet="1" objects="1" scenarios="1"/>
  <phoneticPr fontId="26"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sheetPr codeName="Sheet00b">
    <tabColor rgb="FFB2B2B2"/>
  </sheetPr>
  <dimension ref="A1:AG126"/>
  <sheetViews>
    <sheetView showGridLines="0" showRowColHeaders="0" zoomScaleSheetLayoutView="100" workbookViewId="0">
      <pane xSplit="1" ySplit="6" topLeftCell="B64" activePane="bottomRight" state="frozen"/>
      <selection activeCell="K31" sqref="K31"/>
      <selection pane="topRight" activeCell="K31" sqref="K31"/>
      <selection pane="bottomLeft" activeCell="K31" sqref="K31"/>
      <selection pane="bottomRight" activeCell="N60" sqref="N60"/>
    </sheetView>
  </sheetViews>
  <sheetFormatPr defaultColWidth="0" defaultRowHeight="12.75" zeroHeight="1"/>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row r="2" spans="2:31" ht="21" customHeight="1">
      <c r="AA2" s="98"/>
    </row>
    <row r="3" spans="2:31" ht="19.5" customHeight="1"/>
    <row r="4" spans="2:31" ht="16.5" customHeight="1" thickBot="1"/>
    <row r="5" spans="2:31" ht="20.25" customHeight="1" thickBot="1">
      <c r="B5" s="90" t="str">
        <f>Osnovno_Izaberite_jezik</f>
        <v>Izaberite jezik | Choose language</v>
      </c>
      <c r="C5"/>
      <c r="Y5" s="8">
        <f>COUNTIF(Y8:Y116, FALSE)</f>
        <v>2</v>
      </c>
      <c r="Z5" s="8">
        <f>COUNTIF(Z8:Z116, FALSE)</f>
        <v>0</v>
      </c>
    </row>
    <row r="6" spans="2:31" ht="12.75" customHeight="1">
      <c r="Y6" s="120" t="s">
        <v>485</v>
      </c>
      <c r="Z6" s="120" t="s">
        <v>486</v>
      </c>
      <c r="AA6" s="147" t="s">
        <v>487</v>
      </c>
      <c r="AB6" s="148" t="s">
        <v>484</v>
      </c>
    </row>
    <row r="7" spans="2:31" ht="15.75" customHeight="1" thickBot="1">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c r="B8" s="85" t="str">
        <f>Osnovno_Pocetak_perioda</f>
        <v>Početak izvještajnog perioda:</v>
      </c>
      <c r="D8" s="579">
        <v>1</v>
      </c>
      <c r="E8" s="579"/>
      <c r="F8" s="44"/>
      <c r="G8" s="579">
        <v>1</v>
      </c>
      <c r="H8" s="579"/>
      <c r="I8" s="44"/>
      <c r="J8" s="582">
        <v>2025</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c r="B9" s="85"/>
      <c r="J9" s="585"/>
      <c r="K9" s="586"/>
      <c r="L9" s="587"/>
      <c r="Y9" s="14"/>
      <c r="Z9" s="14"/>
      <c r="AA9" s="96"/>
      <c r="AB9" s="93"/>
    </row>
    <row r="10" spans="2:31" ht="15.75" customHeight="1" thickBot="1">
      <c r="B10" s="85" t="str">
        <f>Osnovno_Kraj_perioda</f>
        <v>Kraj izvještajnog perioda:</v>
      </c>
      <c r="D10" s="580">
        <v>30</v>
      </c>
      <c r="E10" s="581"/>
      <c r="F10" s="44"/>
      <c r="G10" s="580">
        <v>6</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30.06.2025.</v>
      </c>
      <c r="AB10" s="92" t="str">
        <f>IF(Y10, IF( Z10, AA10, Kontrola_Neispravno), Kontrola_Obavezno)</f>
        <v>30.06.2025.</v>
      </c>
      <c r="AD10"/>
      <c r="AE10"/>
    </row>
    <row r="11" spans="2:31" ht="4.9000000000000004" customHeight="1">
      <c r="B11" s="85"/>
      <c r="D11"/>
      <c r="E11"/>
      <c r="F11"/>
      <c r="G11"/>
      <c r="H11"/>
      <c r="I11"/>
      <c r="J11"/>
      <c r="K11"/>
      <c r="L11"/>
      <c r="M11"/>
      <c r="Y11" s="14"/>
      <c r="Z11" s="44"/>
      <c r="AA11" s="86"/>
      <c r="AB11" s="93"/>
    </row>
    <row r="12" spans="2:31" ht="15.2" customHeight="1">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9" customHeight="1">
      <c r="B13" s="47"/>
      <c r="M13"/>
      <c r="N13"/>
      <c r="O13"/>
      <c r="P13"/>
      <c r="Q13"/>
      <c r="R13"/>
      <c r="S13"/>
      <c r="T13"/>
      <c r="U13"/>
      <c r="V13"/>
      <c r="Y13" s="14"/>
      <c r="Z13" s="14"/>
      <c r="AA13" s="96"/>
      <c r="AB13" s="93"/>
    </row>
    <row r="14" spans="2:31" ht="15.75" customHeight="1">
      <c r="B14" s="100" t="str">
        <f>Objasnjenja_Zaglavlje</f>
        <v>Podaci u zaglavlju:</v>
      </c>
      <c r="Y14" s="14"/>
      <c r="Z14" s="14"/>
      <c r="AA14" s="96"/>
      <c r="AB14" s="93"/>
    </row>
    <row r="15" spans="2:31" ht="15.2" customHeight="1">
      <c r="B15" s="85" t="str">
        <f>Zaglavlje_MB</f>
        <v>Matični broj</v>
      </c>
      <c r="D15" s="83">
        <v>0</v>
      </c>
      <c r="E15" s="83">
        <v>1</v>
      </c>
      <c r="F15" s="83">
        <v>9</v>
      </c>
      <c r="G15" s="83">
        <v>3</v>
      </c>
      <c r="H15" s="83">
        <v>7</v>
      </c>
      <c r="I15" s="83">
        <v>1</v>
      </c>
      <c r="J15" s="83">
        <v>8</v>
      </c>
      <c r="K15" s="83">
        <v>9</v>
      </c>
      <c r="L15" s="83"/>
      <c r="M15" s="83"/>
      <c r="N15" s="83"/>
      <c r="O15" s="83"/>
      <c r="P15" s="83"/>
      <c r="Y15" s="14" t="b">
        <f>LEN(AA15) &gt;= 7</f>
        <v>1</v>
      </c>
      <c r="Z15" s="14" t="b">
        <v>1</v>
      </c>
      <c r="AA15" s="96" t="str">
        <f>CONCATENATE( D15, E15, F15, G15, H15, I15, J15, K15,L15,M15,N15,O15,P15)</f>
        <v>01937189</v>
      </c>
      <c r="AB15" s="92" t="str">
        <f>IF(Y15, IF( Z15, AA15, Kontrola_Neispravno), Kontrola_Obavezno)</f>
        <v>01937189</v>
      </c>
    </row>
    <row r="16" spans="2:31" ht="4.9000000000000004" customHeight="1">
      <c r="B16" s="85"/>
      <c r="Y16" s="14"/>
      <c r="Z16" s="14"/>
      <c r="AA16" s="96"/>
      <c r="AB16" s="93"/>
    </row>
    <row r="17" spans="2:31" ht="15.2" customHeight="1">
      <c r="B17" s="85" t="str">
        <f>Zaglavlje_Sifra_djelatnosti</f>
        <v>Šifra djelatnosti</v>
      </c>
      <c r="D17" s="83">
        <v>3</v>
      </c>
      <c r="E17" s="83">
        <v>8</v>
      </c>
      <c r="F17" s="87" t="s">
        <v>400</v>
      </c>
      <c r="G17" s="83">
        <v>1</v>
      </c>
      <c r="H17" s="83">
        <v>1</v>
      </c>
      <c r="I17" s="91"/>
      <c r="Y17" s="14" t="b">
        <f>AND( D17 &lt;&gt; "", LEN( AA17) &gt;= 5)</f>
        <v>1</v>
      </c>
      <c r="Z17" s="14" t="b">
        <v>1</v>
      </c>
      <c r="AA17" s="96" t="str">
        <f>CONCATENATE( D17, E17, F17, G17, H17, I17)</f>
        <v>38.11</v>
      </c>
      <c r="AB17" s="92" t="str">
        <f>IF(Y17, IF( Z17, AA17, Kontrola_Neispravno), Kontrola_Obavezno)</f>
        <v>38.11</v>
      </c>
      <c r="AE17" s="88"/>
    </row>
    <row r="18" spans="2:31" ht="4.9000000000000004" customHeight="1">
      <c r="B18" s="85"/>
      <c r="Y18" s="14"/>
      <c r="Z18" s="14"/>
      <c r="AA18" s="96"/>
      <c r="AB18" s="93"/>
    </row>
    <row r="19" spans="2:31" ht="12.75" customHeight="1">
      <c r="B19" s="591" t="str">
        <f>Zaglavlje_Naziv_preduzeca</f>
        <v xml:space="preserve">Naziv privrednog društva, zadruge, drugog pravnog lica ili preduzetnika: </v>
      </c>
      <c r="Y19" s="14"/>
      <c r="Z19" s="14"/>
      <c r="AA19" s="96"/>
      <c r="AB19" s="93"/>
    </row>
    <row r="20" spans="2:31" ht="22.9" customHeight="1">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Javno preduzeće Komus akcionarsko društvo</v>
      </c>
      <c r="AB20" s="94" t="str">
        <f>IF(Y20, IF( Z20, AA20, Kontrola_Neispravno), Kontrola_Obavezno)</f>
        <v>Javno preduzeće Komus akcionarsko društvo</v>
      </c>
    </row>
    <row r="21" spans="2:31" ht="8.25" customHeight="1">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c r="B22" s="85" t="str">
        <f>Zaglavlje_Sjediste</f>
        <v>Sjedište: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Svetog Vasilija Ostroškog 5 Bileća</v>
      </c>
      <c r="AB22" s="92" t="str">
        <f>IF(Y22, IF( Z22, AA22, Kontrola_Neispravno), Kontrola_Obavezno)</f>
        <v>Svetog Vasilija Ostroškog 5 Bileća</v>
      </c>
    </row>
    <row r="23" spans="2:31" ht="6.75" customHeight="1">
      <c r="B23" s="85"/>
      <c r="Y23" s="14"/>
      <c r="Z23" s="14"/>
      <c r="AA23" s="96"/>
      <c r="AB23" s="93"/>
    </row>
    <row r="24" spans="2:31" ht="15.2" customHeight="1">
      <c r="B24" s="85" t="str">
        <f>Zaglavlje_JIB</f>
        <v>JIB</v>
      </c>
      <c r="D24" s="575">
        <v>4</v>
      </c>
      <c r="E24" s="576">
        <v>4</v>
      </c>
      <c r="F24" s="577">
        <v>0</v>
      </c>
      <c r="G24" s="575">
        <v>1</v>
      </c>
      <c r="H24" s="576">
        <v>3</v>
      </c>
      <c r="I24" s="577">
        <v>7</v>
      </c>
      <c r="J24" s="575">
        <v>6</v>
      </c>
      <c r="K24" s="576">
        <v>0</v>
      </c>
      <c r="L24" s="577">
        <v>2</v>
      </c>
      <c r="M24" s="576">
        <v>0</v>
      </c>
      <c r="N24" s="577">
        <v>0</v>
      </c>
      <c r="O24" s="576">
        <v>0</v>
      </c>
      <c r="P24" s="577">
        <v>1</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4401376020001</v>
      </c>
      <c r="AB24" s="92" t="str">
        <f>IF(Y24, IF( Z24, AA24, Kontrola_Neispravno), Kontrola_Obavezno)</f>
        <v>4401376020001</v>
      </c>
    </row>
    <row r="25" spans="2:31" ht="15.2" customHeight="1">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c r="B26" s="117" t="str">
        <f>Objasnjenja_Bankovni_racun</f>
        <v>Računi u banci:</v>
      </c>
      <c r="Y26" s="14"/>
      <c r="Z26" s="14"/>
      <c r="AA26" s="96"/>
      <c r="AB26" s="93"/>
    </row>
    <row r="27" spans="2:31" ht="15.2" customHeight="1">
      <c r="B27" s="85" t="str">
        <f>Objasnjenja_Glavni_racun</f>
        <v>Glavni račun:</v>
      </c>
      <c r="D27" s="83">
        <v>5</v>
      </c>
      <c r="E27" s="83">
        <v>6</v>
      </c>
      <c r="F27" s="83">
        <v>2</v>
      </c>
      <c r="G27" s="84" t="s">
        <v>399</v>
      </c>
      <c r="H27" s="83">
        <v>0</v>
      </c>
      <c r="I27" s="83">
        <v>0</v>
      </c>
      <c r="J27" s="83">
        <v>8</v>
      </c>
      <c r="K27" s="84" t="s">
        <v>399</v>
      </c>
      <c r="L27" s="83">
        <v>0</v>
      </c>
      <c r="M27" s="83">
        <v>0</v>
      </c>
      <c r="N27" s="83">
        <v>0</v>
      </c>
      <c r="O27" s="83">
        <v>0</v>
      </c>
      <c r="P27" s="83">
        <v>0</v>
      </c>
      <c r="Q27" s="83">
        <v>0</v>
      </c>
      <c r="R27" s="83">
        <v>2</v>
      </c>
      <c r="S27" s="83">
        <v>6</v>
      </c>
      <c r="T27" s="44" t="s">
        <v>399</v>
      </c>
      <c r="U27" s="83">
        <v>2</v>
      </c>
      <c r="V27" s="83">
        <v>5</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5620080000002625</v>
      </c>
      <c r="AB27" s="92" t="str">
        <f>IF(Y27, IF( Z27, CONCATENATE( D27, E27, F27, G27, H27, I27, J27, K27, L27, M27, N27, O27, P27, Q27, R27, S27, T27, U27, V27), Kontrola_Neispravno), Kontrola_Obavezno)</f>
        <v>562-008-00000026-25</v>
      </c>
    </row>
    <row r="28" spans="2:31" ht="4.9000000000000004" customHeight="1">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c r="B29" s="85"/>
      <c r="D29" s="83">
        <v>5</v>
      </c>
      <c r="E29" s="83">
        <v>5</v>
      </c>
      <c r="F29" s="83">
        <v>2</v>
      </c>
      <c r="G29" s="84" t="s">
        <v>399</v>
      </c>
      <c r="H29" s="83">
        <v>0</v>
      </c>
      <c r="I29" s="83">
        <v>0</v>
      </c>
      <c r="J29" s="83">
        <v>3</v>
      </c>
      <c r="K29" s="84" t="s">
        <v>399</v>
      </c>
      <c r="L29" s="83">
        <v>0</v>
      </c>
      <c r="M29" s="83">
        <v>0</v>
      </c>
      <c r="N29" s="83">
        <v>0</v>
      </c>
      <c r="O29" s="83">
        <v>0</v>
      </c>
      <c r="P29" s="83">
        <v>7</v>
      </c>
      <c r="Q29" s="83">
        <v>0</v>
      </c>
      <c r="R29" s="83">
        <v>8</v>
      </c>
      <c r="S29" s="83">
        <v>1</v>
      </c>
      <c r="T29" s="44" t="s">
        <v>399</v>
      </c>
      <c r="U29" s="83">
        <v>1</v>
      </c>
      <c r="V29" s="83">
        <v>3</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5520030000708113</v>
      </c>
      <c r="AB29" s="92" t="str">
        <f>IF( LEN(AA29) = 0, "", IF( AND( LEN(AA29) = 16, Z29), CONCATENATE( D29, E29, F29, G29, H29, I29, J29, K29, L29, M29, N29, O29, P29, Q29, R29, S29, T29, U29, V29), Kontrola_Neispravno))</f>
        <v>552-003-00007081-13</v>
      </c>
    </row>
    <row r="30" spans="2:31" ht="4.9000000000000004" customHeight="1">
      <c r="B30" s="85"/>
      <c r="Y30" s="14"/>
      <c r="Z30" s="14"/>
      <c r="AA30" s="96"/>
      <c r="AB30" s="93"/>
    </row>
    <row r="31" spans="2:31" ht="15.2" customHeight="1">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9000000000000004" customHeight="1">
      <c r="B32" s="85"/>
      <c r="Y32" s="14"/>
      <c r="Z32" s="14"/>
      <c r="AA32" s="96"/>
      <c r="AB32" s="93"/>
    </row>
    <row r="33" spans="2:28" ht="15.2" customHeight="1">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000000000000004" customHeight="1">
      <c r="B34" s="85"/>
      <c r="Y34" s="14"/>
      <c r="Z34" s="14"/>
      <c r="AA34" s="96"/>
      <c r="AB34" s="93"/>
    </row>
    <row r="35" spans="2:28" ht="15.2" customHeight="1">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c r="B36" s="85"/>
      <c r="Y36" s="14"/>
      <c r="Z36" s="14"/>
      <c r="AA36" s="96"/>
      <c r="AB36" s="93"/>
    </row>
    <row r="37" spans="2:28" ht="15.2" customHeight="1">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c r="B38" s="85"/>
      <c r="Y38" s="14"/>
      <c r="Z38" s="14"/>
      <c r="AA38" s="96"/>
      <c r="AB38" s="93"/>
    </row>
    <row r="39" spans="2:28" ht="15.75" customHeight="1">
      <c r="B39" s="100" t="str">
        <f>Objasnjenja_Podnozje</f>
        <v>Podaci ispod izvještaja:</v>
      </c>
      <c r="Y39" s="14"/>
      <c r="Z39" s="14"/>
      <c r="AA39" s="96"/>
      <c r="AB39" s="93"/>
    </row>
    <row r="40" spans="2:28" ht="15.2" customHeight="1">
      <c r="B40" s="85" t="str">
        <f>Podnozje_U</f>
        <v>U:</v>
      </c>
      <c r="D40" s="596" t="s">
        <v>3076</v>
      </c>
      <c r="E40" s="597"/>
      <c r="F40" s="597"/>
      <c r="G40" s="597"/>
      <c r="H40" s="597"/>
      <c r="I40" s="597"/>
      <c r="J40" s="597"/>
      <c r="K40" s="597"/>
      <c r="L40" s="597"/>
      <c r="M40" s="597"/>
      <c r="N40" s="597"/>
      <c r="O40" s="597"/>
      <c r="P40" s="597"/>
      <c r="Q40" s="597"/>
      <c r="R40" s="597"/>
      <c r="S40" s="597"/>
      <c r="T40" s="597"/>
      <c r="U40" s="597"/>
      <c r="V40" s="597"/>
      <c r="Y40" s="14" t="b">
        <f>LEN(AA40) &gt; 0</f>
        <v>1</v>
      </c>
      <c r="Z40" s="14" t="b">
        <v>1</v>
      </c>
      <c r="AA40" s="96" t="str">
        <f>CONCATENATE( D40)</f>
        <v>Bileći</v>
      </c>
      <c r="AB40" s="94" t="str">
        <f>IF(Y40, IF( Z40, AA40, Kontrola_Neispravno), Kontrola_Obavezno)</f>
        <v>Bileći</v>
      </c>
    </row>
    <row r="41" spans="2:28" ht="4.9000000000000004" customHeight="1">
      <c r="B41" s="85"/>
      <c r="D41"/>
      <c r="E41"/>
      <c r="F41"/>
      <c r="G41"/>
      <c r="H41"/>
      <c r="I41"/>
      <c r="J41"/>
      <c r="K41"/>
      <c r="L41"/>
      <c r="M41"/>
      <c r="N41"/>
      <c r="O41"/>
      <c r="P41"/>
      <c r="Q41"/>
      <c r="R41"/>
      <c r="S41"/>
      <c r="T41"/>
      <c r="U41"/>
      <c r="V41"/>
      <c r="Y41" s="14"/>
      <c r="Z41" s="14"/>
      <c r="AA41" s="96"/>
      <c r="AB41" s="93"/>
    </row>
    <row r="42" spans="2:28" ht="15.2" customHeight="1">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c r="B43" s="85" t="str">
        <f>Podnozje_Dana</f>
        <v>Dana:</v>
      </c>
      <c r="D43" s="593">
        <v>31</v>
      </c>
      <c r="E43" s="595"/>
      <c r="F43" s="44"/>
      <c r="G43" s="593">
        <v>7</v>
      </c>
      <c r="H43" s="595"/>
      <c r="I43" s="44"/>
      <c r="J43" s="593">
        <v>2025</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31.07.2025.</v>
      </c>
      <c r="AB43" s="94" t="str">
        <f>IF(Y43, IF( Z43, AA43, Kontrola_Neispravno), Kontrola_Obavezno)</f>
        <v>31.07.2025.</v>
      </c>
    </row>
    <row r="44" spans="2:28" ht="4.9000000000000004" customHeight="1">
      <c r="B44" s="85"/>
      <c r="D44"/>
      <c r="E44"/>
      <c r="F44"/>
      <c r="G44"/>
      <c r="H44"/>
      <c r="I44"/>
      <c r="J44"/>
      <c r="K44"/>
      <c r="L44"/>
      <c r="M44"/>
      <c r="N44"/>
      <c r="Y44" s="14"/>
      <c r="Z44" s="14"/>
      <c r="AA44" s="96"/>
      <c r="AB44" s="93"/>
    </row>
    <row r="45" spans="2:28" ht="15.2" customHeight="1">
      <c r="B45" s="85" t="str">
        <f>Podnozje_Lice_sa_licencom</f>
        <v>Lice sa licencom:</v>
      </c>
      <c r="D45" s="596" t="s">
        <v>3077</v>
      </c>
      <c r="E45" s="597"/>
      <c r="F45" s="597"/>
      <c r="G45" s="597"/>
      <c r="H45" s="597"/>
      <c r="I45" s="597"/>
      <c r="J45" s="597"/>
      <c r="K45" s="597"/>
      <c r="L45" s="597"/>
      <c r="M45" s="597"/>
      <c r="N45" s="597"/>
      <c r="O45" s="597"/>
      <c r="P45" s="597"/>
      <c r="Q45" s="597"/>
      <c r="R45" s="597"/>
      <c r="S45" s="597"/>
      <c r="T45" s="597"/>
      <c r="U45" s="597"/>
      <c r="V45" s="597"/>
      <c r="Y45" s="14" t="b">
        <f>LEN(AA45) &gt; 0</f>
        <v>1</v>
      </c>
      <c r="Z45" s="14" t="b">
        <v>1</v>
      </c>
      <c r="AA45" s="96" t="str">
        <f>CONCATENATE( D45)</f>
        <v>Dragana Popara</v>
      </c>
      <c r="AB45" s="94" t="str">
        <f>IF(Y45, IF( Z45, AA45, Kontrola_Neispravno), Kontrola_Obavezno)</f>
        <v>Dragana Popara</v>
      </c>
    </row>
    <row r="46" spans="2:28" ht="4.9000000000000004" customHeight="1">
      <c r="B46" s="85"/>
      <c r="Y46" s="14"/>
      <c r="Z46" s="14"/>
      <c r="AA46" s="96"/>
      <c r="AB46" s="93"/>
    </row>
    <row r="47" spans="2:28" ht="15.2" customHeight="1">
      <c r="B47" s="85" t="str">
        <f>Podnozje_Broj_licence</f>
        <v>Broj licence:</v>
      </c>
      <c r="D47" s="596" t="s">
        <v>3078</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SR 1639/25</v>
      </c>
      <c r="AB47" s="94" t="str">
        <f>IF(Y47, IF( Z47, AA47, Kontrola_Neispravno), Kontrola_Obavezno)</f>
        <v>SR 1639/25</v>
      </c>
    </row>
    <row r="48" spans="2:28" ht="4.9000000000000004" customHeight="1">
      <c r="B48" s="85"/>
      <c r="Y48" s="14"/>
      <c r="Z48" s="14"/>
      <c r="AA48" s="96"/>
      <c r="AB48" s="93"/>
    </row>
    <row r="49" spans="2:28" ht="15.2" customHeight="1">
      <c r="B49" s="116" t="str">
        <f>Podnozje_Direktor</f>
        <v>Lice ovlašćeno za zastupanje:</v>
      </c>
      <c r="D49" s="596" t="s">
        <v>3079</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Božo Delić</v>
      </c>
      <c r="AB49" s="94" t="str">
        <f>IF(Y49, IF( Z49, AA49, Kontrola_Neispravno), Kontrola_Obavezno)</f>
        <v>Božo Delić</v>
      </c>
    </row>
    <row r="50" spans="2:28" ht="15.2" customHeight="1">
      <c r="B50" s="47"/>
      <c r="Y50" s="14"/>
      <c r="Z50" s="14"/>
      <c r="AA50" s="96"/>
      <c r="AB50" s="93"/>
    </row>
    <row r="51" spans="2:28" ht="15.75" customHeight="1">
      <c r="B51" s="434" t="str" cm="1">
        <f t="array" ref="B51">Objasnjenja_Kontakt</f>
        <v>Kontakt podaci:</v>
      </c>
      <c r="Y51" s="14"/>
      <c r="Z51" s="14"/>
      <c r="AA51" s="96"/>
      <c r="AB51" s="93"/>
    </row>
    <row r="52" spans="2:28" ht="15.2" customHeight="1">
      <c r="B52" s="85" t="str">
        <f>Kontakt_Adresa</f>
        <v>Adresa i broj:</v>
      </c>
      <c r="D52" s="596" t="s">
        <v>3080</v>
      </c>
      <c r="E52" s="597"/>
      <c r="F52" s="597"/>
      <c r="G52" s="597"/>
      <c r="H52" s="597"/>
      <c r="I52" s="597"/>
      <c r="J52" s="597"/>
      <c r="K52" s="597"/>
      <c r="L52" s="597"/>
      <c r="M52" s="597"/>
      <c r="N52" s="597"/>
      <c r="O52" s="597"/>
      <c r="P52" s="597"/>
      <c r="Q52" s="597"/>
      <c r="R52" s="597"/>
      <c r="S52" s="597"/>
      <c r="T52" s="597"/>
      <c r="U52" s="597"/>
      <c r="V52" s="597"/>
      <c r="Y52" s="14" t="b">
        <f>LEN(AA52) &gt; 0</f>
        <v>1</v>
      </c>
      <c r="Z52" s="14" t="b">
        <v>1</v>
      </c>
      <c r="AA52" s="96" t="str">
        <f>CONCATENATE( D52)</f>
        <v>Svetog Vasilija Ostroškog 5</v>
      </c>
      <c r="AB52" s="94" t="str">
        <f>IF(Y52, IF( Z52, AA52, Kontrola_Neispravno), Kontrola_Obavezno)</f>
        <v>Svetog Vasilija Ostroškog 5</v>
      </c>
    </row>
    <row r="53" spans="2:28" ht="4.9000000000000004" customHeight="1">
      <c r="B53" s="47"/>
      <c r="Y53" s="14"/>
      <c r="Z53" s="14"/>
      <c r="AA53" s="96"/>
      <c r="AB53" s="93"/>
    </row>
    <row r="54" spans="2:28" ht="15.2" customHeight="1">
      <c r="B54" s="85" t="str">
        <f>Kontakt_web</f>
        <v>Internet adresa:</v>
      </c>
      <c r="D54" s="596"/>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
      </c>
      <c r="AB54" s="94" t="str">
        <f>IF(Y54, IF( Z54, AA54, Kontrola_Neispravno), Kontrola_Obavezno)</f>
        <v/>
      </c>
    </row>
    <row r="55" spans="2:28" ht="4.9000000000000004" customHeight="1">
      <c r="B55" s="85"/>
      <c r="D55"/>
      <c r="E55"/>
      <c r="F55"/>
      <c r="G55"/>
      <c r="H55"/>
      <c r="I55"/>
      <c r="J55"/>
      <c r="K55"/>
      <c r="L55"/>
      <c r="M55"/>
      <c r="N55"/>
      <c r="O55"/>
      <c r="P55"/>
      <c r="Q55"/>
      <c r="R55"/>
      <c r="S55"/>
      <c r="T55"/>
      <c r="U55"/>
      <c r="V55"/>
      <c r="Y55" s="14"/>
      <c r="Z55" s="14"/>
      <c r="AA55" s="96"/>
      <c r="AB55" s="93"/>
    </row>
    <row r="56" spans="2:28" ht="15.2" customHeight="1">
      <c r="B56" s="85" t="str">
        <f>Kontakt_email</f>
        <v>Adresa e-pošte (email):</v>
      </c>
      <c r="D56" s="596" t="s">
        <v>3081</v>
      </c>
      <c r="E56" s="597"/>
      <c r="F56" s="597"/>
      <c r="G56" s="597"/>
      <c r="H56" s="597"/>
      <c r="I56" s="597"/>
      <c r="J56" s="597"/>
      <c r="K56" s="597"/>
      <c r="L56" s="597"/>
      <c r="M56" s="597"/>
      <c r="N56" s="597"/>
      <c r="O56" s="597"/>
      <c r="P56" s="597"/>
      <c r="Q56" s="597"/>
      <c r="R56" s="597"/>
      <c r="S56" s="597"/>
      <c r="T56" s="597"/>
      <c r="U56" s="597"/>
      <c r="V56" s="597"/>
      <c r="Y56" s="14" t="b">
        <f>LEN(AA56) &gt; 0</f>
        <v>1</v>
      </c>
      <c r="Z56" s="14" t="b">
        <v>1</v>
      </c>
      <c r="AA56" s="96" t="str">
        <f>CONCATENATE(D56)</f>
        <v>komusbil@gmail.com</v>
      </c>
      <c r="AB56" s="94" t="str">
        <f>IF(Y56, IF( Z56, AA56, Kontrola_Neispravno), Kontrola_Obavezno)</f>
        <v>komusbil@gmail.com</v>
      </c>
    </row>
    <row r="57" spans="2:28" ht="4.9000000000000004" customHeight="1">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c r="B58" s="85" t="str">
        <f>Kontakt_tel</f>
        <v>Telefon:</v>
      </c>
      <c r="D58" s="83">
        <v>0</v>
      </c>
      <c r="E58" s="83">
        <v>5</v>
      </c>
      <c r="F58" s="83">
        <v>9</v>
      </c>
      <c r="G58" s="44" t="s">
        <v>399</v>
      </c>
      <c r="H58" s="83">
        <v>3</v>
      </c>
      <c r="I58" s="83">
        <v>8</v>
      </c>
      <c r="J58" s="83">
        <v>0</v>
      </c>
      <c r="K58" s="44" t="s">
        <v>399</v>
      </c>
      <c r="L58" s="83">
        <v>7</v>
      </c>
      <c r="M58" s="83">
        <v>7</v>
      </c>
      <c r="N58" s="83">
        <v>7</v>
      </c>
      <c r="O58" s="44"/>
      <c r="P58" s="44"/>
      <c r="Q58" s="44"/>
      <c r="R58" s="44"/>
      <c r="S58" s="44"/>
      <c r="T58" s="44"/>
      <c r="U58"/>
      <c r="V58"/>
      <c r="Y58" s="14" t="b">
        <f>LEN(AA58) = 11</f>
        <v>1</v>
      </c>
      <c r="Z58" s="14" t="b">
        <v>1</v>
      </c>
      <c r="AA58" s="96" t="str">
        <f>CONCATENATE( D58,E58, F58, G58, H58, I58, J58, K58, L58, M58, N58)</f>
        <v>059-380-777</v>
      </c>
      <c r="AB58" s="94" t="str">
        <f>IF(Y58, IF( Z58, AA58, Kontrola_Neispravno), Kontrola_Obavezno)</f>
        <v>059-380-777</v>
      </c>
    </row>
    <row r="59" spans="2:28" ht="4.9000000000000004" customHeight="1">
      <c r="B59" s="47"/>
      <c r="D59"/>
      <c r="E59"/>
      <c r="F59"/>
      <c r="G59"/>
      <c r="H59"/>
      <c r="I59"/>
      <c r="J59"/>
      <c r="K59"/>
      <c r="L59"/>
      <c r="M59"/>
      <c r="N59"/>
      <c r="O59"/>
      <c r="P59" s="44"/>
      <c r="Q59" s="44"/>
      <c r="R59" s="44"/>
      <c r="S59" s="44"/>
      <c r="T59" s="44"/>
      <c r="U59"/>
      <c r="Y59" s="14"/>
      <c r="Z59" s="14"/>
      <c r="AA59" s="96"/>
      <c r="AB59" s="93"/>
    </row>
    <row r="60" spans="2:28" ht="15.2" customHeight="1">
      <c r="B60" s="85" t="str">
        <f>Kontakt_fax</f>
        <v>Faks:</v>
      </c>
      <c r="D60" s="83">
        <v>0</v>
      </c>
      <c r="E60" s="83">
        <v>5</v>
      </c>
      <c r="F60" s="83">
        <v>9</v>
      </c>
      <c r="G60" s="44" t="s">
        <v>399</v>
      </c>
      <c r="H60" s="83">
        <v>3</v>
      </c>
      <c r="I60" s="83">
        <v>8</v>
      </c>
      <c r="J60" s="83">
        <v>0</v>
      </c>
      <c r="K60" s="44" t="s">
        <v>399</v>
      </c>
      <c r="L60" s="83">
        <v>7</v>
      </c>
      <c r="M60" s="83">
        <v>7</v>
      </c>
      <c r="N60" s="83">
        <v>0</v>
      </c>
      <c r="O60" s="44"/>
      <c r="P60" s="44"/>
      <c r="Y60" s="14" t="b">
        <f>OR( LEN( AA60) = 2, LEN(AA60) = 11)</f>
        <v>1</v>
      </c>
      <c r="Z60" s="14" t="b">
        <v>1</v>
      </c>
      <c r="AA60" s="96" t="str">
        <f>CONCATENATE( D60,E60, F60, G60, H60, I60, J60, K60, L60, M60, N60)</f>
        <v>059-380-770</v>
      </c>
      <c r="AB60" s="94" t="str">
        <f>IF(Y60, IF( Z60, AA60, Kontrola_Neispravno), Kontrola_Obavezno)</f>
        <v>059-380-770</v>
      </c>
    </row>
    <row r="61" spans="2:28" ht="12.75" customHeight="1">
      <c r="Y61" s="14"/>
      <c r="Z61" s="14"/>
      <c r="AA61" s="96"/>
    </row>
    <row r="62" spans="2:28" ht="15.75" customHeight="1">
      <c r="B62" s="100" t="str">
        <f>Revizija_Revidiran_izvjestaj</f>
        <v>Revidiran izvještaj:</v>
      </c>
      <c r="D62" s="102"/>
      <c r="E62" s="103"/>
      <c r="Y62" s="99" t="b">
        <v>0</v>
      </c>
      <c r="Z62" s="14"/>
      <c r="AA62" s="96"/>
    </row>
    <row r="63" spans="2:28" ht="4.9000000000000004" customHeight="1">
      <c r="B63" s="104"/>
      <c r="D63"/>
      <c r="E63"/>
      <c r="Y63" s="208"/>
      <c r="Z63" s="14"/>
      <c r="AA63" s="96"/>
    </row>
    <row r="64" spans="2:28" ht="17.25" customHeight="1">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9000000000000004" customHeight="1">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9000000000000004" customHeight="1">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c r="A75" s="9"/>
      <c r="B75"/>
      <c r="C75"/>
      <c r="D75"/>
      <c r="E75"/>
      <c r="F75"/>
      <c r="Y75" s="14"/>
      <c r="Z75" s="14"/>
    </row>
    <row r="76" spans="1:28" ht="15.75" customHeight="1">
      <c r="A76" s="9"/>
      <c r="B76" s="100" t="str">
        <f>Konsolidovani_Konsolidavani_Izvjestaj</f>
        <v>Konsolidovan izvještaj:</v>
      </c>
      <c r="D76" s="102"/>
      <c r="E76" s="103"/>
      <c r="F76"/>
      <c r="Y76" s="99" t="b">
        <v>0</v>
      </c>
      <c r="Z76" s="182"/>
      <c r="AA76" s="182"/>
    </row>
    <row r="77" spans="1:28" ht="4.9000000000000004" customHeight="1">
      <c r="A77" s="9"/>
      <c r="B77" s="101"/>
    </row>
    <row r="78" spans="1:28" ht="15.2" customHeight="1">
      <c r="A78" s="9"/>
      <c r="B78" s="118" t="str">
        <f>IF( Konsolidovan_izvjestaj, Konsolidovani_Konsolidovani &amp; " 1:", "")</f>
        <v/>
      </c>
    </row>
    <row r="79" spans="1:28" ht="15.2" customHeight="1">
      <c r="A79" s="9"/>
      <c r="B79" s="85" t="str">
        <f>IF( Konsolidovan_izvjestaj, Zaglavlje_MB, "")</f>
        <v/>
      </c>
      <c r="D79" s="83"/>
      <c r="E79" s="83"/>
      <c r="F79" s="83"/>
      <c r="G79" s="83"/>
      <c r="H79" s="83"/>
      <c r="I79" s="83"/>
      <c r="J79" s="83"/>
      <c r="K79" s="83"/>
      <c r="Y79"/>
      <c r="Z79"/>
      <c r="AA79"/>
    </row>
    <row r="80" spans="1:28" customFormat="1" ht="4.9000000000000004" customHeight="1">
      <c r="A80" s="78"/>
      <c r="B80" s="78"/>
    </row>
    <row r="81" spans="1:27" ht="12.75" customHeight="1">
      <c r="A81" s="9"/>
      <c r="B81" s="591" t="str">
        <f>IF( Konsolidovan_izvjestaj, Zaglavlje_Naziv_preduzeca, "")</f>
        <v/>
      </c>
      <c r="Y81"/>
      <c r="Z81"/>
      <c r="AA81"/>
    </row>
    <row r="82" spans="1:27" ht="21" customHeight="1">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c r="A83" s="9"/>
      <c r="B83" s="85"/>
      <c r="D83" s="2"/>
      <c r="E83" s="2"/>
      <c r="F83" s="2"/>
      <c r="G83" s="2"/>
      <c r="H83" s="2"/>
      <c r="I83" s="2"/>
      <c r="J83" s="2"/>
      <c r="K83" s="2"/>
      <c r="L83" s="2"/>
      <c r="M83" s="2"/>
      <c r="N83" s="2"/>
      <c r="O83" s="2"/>
      <c r="P83" s="2"/>
      <c r="Q83" s="2"/>
      <c r="R83" s="2"/>
      <c r="S83" s="2"/>
      <c r="T83" s="2"/>
      <c r="U83" s="2"/>
      <c r="V83" s="2"/>
      <c r="Y83"/>
      <c r="Z83"/>
      <c r="AA83"/>
    </row>
    <row r="84" spans="1:27" ht="15.2" customHeight="1">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9000000000000004" customHeight="1">
      <c r="A85" s="9"/>
      <c r="B85" s="85"/>
      <c r="Y85"/>
      <c r="Z85"/>
      <c r="AA85"/>
    </row>
    <row r="86" spans="1:27" ht="15.2" customHeight="1">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c r="A87" s="9"/>
      <c r="B87" s="101"/>
      <c r="Y87"/>
      <c r="Z87"/>
      <c r="AA87"/>
    </row>
    <row r="88" spans="1:27" ht="15.2" customHeight="1">
      <c r="A88" s="9"/>
      <c r="B88" s="118" t="str">
        <f>IF( Konsolidovan_izvjestaj, Konsolidovani_Konsolidovani &amp; " 2:", "")</f>
        <v/>
      </c>
      <c r="Y88"/>
      <c r="Z88"/>
      <c r="AA88"/>
    </row>
    <row r="89" spans="1:27" ht="15.2" customHeight="1">
      <c r="A89" s="9"/>
      <c r="B89" s="85" t="str">
        <f>IF( Konsolidovan_izvjestaj, Zaglavlje_MB, "")</f>
        <v/>
      </c>
      <c r="D89" s="83"/>
      <c r="E89" s="83"/>
      <c r="F89" s="83"/>
      <c r="G89" s="83"/>
      <c r="H89" s="83"/>
      <c r="I89" s="83"/>
      <c r="J89" s="83"/>
      <c r="K89" s="83"/>
      <c r="Y89"/>
      <c r="Z89"/>
      <c r="AA89"/>
    </row>
    <row r="90" spans="1:27" ht="4.9000000000000004" customHeight="1">
      <c r="A90" s="9"/>
      <c r="B90" s="78"/>
    </row>
    <row r="91" spans="1:27" ht="12.75" customHeight="1">
      <c r="A91" s="9"/>
      <c r="B91" s="591" t="str">
        <f>IF( Konsolidovan_izvjestaj, Zaglavlje_Naziv_preduzeca, "")</f>
        <v/>
      </c>
    </row>
    <row r="92" spans="1:27" ht="21.75" customHeight="1">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c r="A93" s="9"/>
      <c r="B93" s="85"/>
      <c r="D93" s="2"/>
      <c r="E93" s="2"/>
      <c r="F93" s="2"/>
      <c r="G93" s="2"/>
      <c r="H93" s="2"/>
      <c r="I93" s="2"/>
      <c r="J93" s="2"/>
      <c r="K93" s="2"/>
      <c r="L93" s="2"/>
      <c r="M93" s="2"/>
      <c r="N93" s="2"/>
      <c r="O93" s="2"/>
      <c r="P93" s="2"/>
      <c r="Q93" s="2"/>
      <c r="R93" s="2"/>
      <c r="S93" s="2"/>
      <c r="T93" s="2"/>
      <c r="U93" s="2"/>
      <c r="V93" s="2"/>
    </row>
    <row r="94" spans="1:27" ht="15.2" customHeight="1">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9000000000000004" customHeight="1">
      <c r="A95" s="9"/>
      <c r="B95" s="85"/>
    </row>
    <row r="96" spans="1:27" ht="15.2" customHeight="1">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c r="A97" s="9"/>
      <c r="B97" s="101"/>
    </row>
    <row r="98" spans="1:32" ht="15.2" customHeight="1">
      <c r="A98" s="9"/>
      <c r="B98" s="118" t="str">
        <f>IF( Konsolidovan_izvjestaj, Konsolidovani_Konsolidovani &amp; " 3:", "")</f>
        <v/>
      </c>
    </row>
    <row r="99" spans="1:32" ht="15.2" customHeight="1">
      <c r="A99" s="9"/>
      <c r="B99" s="85" t="str">
        <f>IF( Konsolidovan_izvjestaj, Zaglavlje_MB, "")</f>
        <v/>
      </c>
      <c r="D99" s="83"/>
      <c r="E99" s="83"/>
      <c r="F99" s="83"/>
      <c r="G99" s="83"/>
      <c r="H99" s="83"/>
      <c r="I99" s="83"/>
      <c r="J99" s="83"/>
      <c r="K99" s="83"/>
    </row>
    <row r="100" spans="1:32" customFormat="1" ht="15.2" customHeight="1">
      <c r="A100" s="78"/>
      <c r="B100" s="78"/>
      <c r="AE100" s="8"/>
      <c r="AF100" s="8"/>
    </row>
    <row r="101" spans="1:32" ht="12.75" customHeight="1">
      <c r="A101" s="9"/>
      <c r="B101" s="591" t="str">
        <f>IF( Konsolidovan_izvjestaj, Zaglavlje_Naziv_preduzeca, "")</f>
        <v/>
      </c>
    </row>
    <row r="102" spans="1:32" ht="20.25" customHeight="1">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2" customHeight="1">
      <c r="A103" s="9"/>
      <c r="B103" s="85"/>
      <c r="D103" s="2"/>
      <c r="E103" s="2"/>
      <c r="F103" s="2"/>
      <c r="G103" s="2"/>
      <c r="H103" s="2"/>
      <c r="I103" s="2"/>
      <c r="J103" s="2"/>
      <c r="K103" s="2"/>
      <c r="L103" s="2"/>
      <c r="M103" s="2"/>
      <c r="N103" s="2"/>
      <c r="O103" s="2"/>
      <c r="P103" s="2"/>
      <c r="Q103" s="2"/>
      <c r="R103" s="2"/>
      <c r="S103" s="2"/>
      <c r="T103" s="2"/>
      <c r="U103" s="2"/>
      <c r="V103" s="2"/>
    </row>
    <row r="104" spans="1:32" ht="15.2" customHeight="1">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9000000000000004" customHeight="1">
      <c r="A105" s="9"/>
      <c r="B105" s="85"/>
    </row>
    <row r="106" spans="1:32" ht="15.2" customHeight="1">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row r="108" spans="1:32" ht="15.2" customHeight="1">
      <c r="B108" s="118" t="str">
        <f>IF( Konsolidovan_izvjestaj, Konsolidovani_Konsolidovani &amp; " 4:", "")</f>
        <v/>
      </c>
    </row>
    <row r="109" spans="1:32" ht="15.2" customHeight="1">
      <c r="B109" s="85" t="str">
        <f>IF( Konsolidovan_izvjestaj, Zaglavlje_MB, "")</f>
        <v/>
      </c>
      <c r="D109" s="83"/>
      <c r="E109" s="83"/>
      <c r="F109" s="83"/>
      <c r="G109" s="83"/>
      <c r="H109" s="83"/>
      <c r="I109" s="83"/>
      <c r="J109" s="83"/>
      <c r="K109" s="83"/>
    </row>
    <row r="110" spans="1:32" ht="12.75" customHeight="1">
      <c r="B110" s="78"/>
      <c r="C110"/>
      <c r="D110"/>
      <c r="E110"/>
      <c r="F110"/>
      <c r="G110"/>
      <c r="H110"/>
      <c r="I110"/>
      <c r="J110"/>
      <c r="K110"/>
      <c r="L110"/>
      <c r="M110"/>
      <c r="N110"/>
      <c r="O110"/>
      <c r="P110"/>
      <c r="Q110"/>
      <c r="R110"/>
      <c r="S110"/>
      <c r="T110"/>
      <c r="U110"/>
      <c r="V110"/>
    </row>
    <row r="111" spans="1:32" ht="20.25" customHeight="1">
      <c r="B111" s="591" t="str">
        <f>IF( Konsolidovan_izvjestaj, Zaglavlje_Naziv_preduzeca, "")</f>
        <v/>
      </c>
    </row>
    <row r="112" spans="1:32" ht="22.9" customHeight="1">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c r="B113" s="85"/>
      <c r="D113" s="2"/>
      <c r="E113" s="2"/>
      <c r="F113" s="2"/>
      <c r="G113" s="2"/>
      <c r="H113" s="2"/>
      <c r="I113" s="2"/>
      <c r="J113" s="2"/>
      <c r="K113" s="2"/>
      <c r="L113" s="2"/>
      <c r="M113" s="2"/>
      <c r="N113" s="2"/>
      <c r="O113" s="2"/>
      <c r="P113" s="2"/>
      <c r="Q113" s="2"/>
      <c r="R113" s="2"/>
      <c r="S113" s="2"/>
      <c r="T113" s="2"/>
      <c r="U113" s="2"/>
      <c r="V113" s="2"/>
      <c r="AF113" s="89"/>
    </row>
    <row r="114" spans="2:32" ht="15.2" customHeight="1">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c r="B115" s="85"/>
    </row>
    <row r="116" spans="2:32" ht="15.2" customHeight="1">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row r="118" spans="2:32" ht="15.2" customHeight="1">
      <c r="B118" s="118" t="str">
        <f>IF( Konsolidovan_izvjestaj, Konsolidovani_Konsolidovani &amp; " 5:", "")</f>
        <v/>
      </c>
    </row>
    <row r="119" spans="2:32" ht="15.2" customHeight="1">
      <c r="B119" s="85" t="str">
        <f>IF( Konsolidovan_izvjestaj, Zaglavlje_MB, "")</f>
        <v/>
      </c>
      <c r="D119" s="83"/>
      <c r="E119" s="83"/>
      <c r="F119" s="83"/>
      <c r="G119" s="83"/>
      <c r="H119" s="83"/>
      <c r="I119" s="83"/>
      <c r="J119" s="83"/>
      <c r="K119" s="83"/>
    </row>
    <row r="120" spans="2:32" ht="12.75" customHeight="1">
      <c r="B120" s="78"/>
      <c r="C120"/>
      <c r="D120"/>
      <c r="E120"/>
      <c r="F120"/>
      <c r="G120"/>
      <c r="H120"/>
      <c r="I120"/>
      <c r="J120"/>
      <c r="K120"/>
      <c r="L120"/>
      <c r="M120"/>
      <c r="N120"/>
      <c r="O120"/>
      <c r="P120"/>
      <c r="Q120"/>
      <c r="R120"/>
      <c r="S120"/>
      <c r="T120"/>
      <c r="U120"/>
      <c r="V120"/>
    </row>
    <row r="121" spans="2:32" ht="18" customHeight="1">
      <c r="B121" s="591" t="str">
        <f>IF( Konsolidovan_izvjestaj, Zaglavlje_Naziv_preduzeca, "")</f>
        <v/>
      </c>
    </row>
    <row r="122" spans="2:32" ht="8.25" customHeight="1">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c r="B123" s="85"/>
      <c r="D123" s="2"/>
      <c r="E123" s="2"/>
      <c r="F123" s="2"/>
      <c r="G123" s="2"/>
      <c r="H123" s="2"/>
      <c r="I123" s="2"/>
      <c r="J123" s="2"/>
      <c r="K123" s="2"/>
      <c r="L123" s="2"/>
      <c r="M123" s="2"/>
      <c r="N123" s="2"/>
      <c r="O123" s="2"/>
      <c r="P123" s="2"/>
      <c r="Q123" s="2"/>
      <c r="R123" s="2"/>
      <c r="S123" s="2"/>
      <c r="T123" s="2"/>
      <c r="U123" s="2"/>
      <c r="V123" s="2"/>
    </row>
    <row r="124" spans="2:32" ht="15.2" customHeight="1">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c r="B125" s="85"/>
    </row>
    <row r="126" spans="2:32" ht="15.2" customHeight="1">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10;&#10;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worksheet>
</file>

<file path=xl/worksheets/sheet3.xml><?xml version="1.0" encoding="utf-8"?>
<worksheet xmlns="http://schemas.openxmlformats.org/spreadsheetml/2006/main" xmlns:r="http://schemas.openxmlformats.org/officeDocument/2006/relationships">
  <sheetPr codeName="Sheet01">
    <tabColor rgb="FFB2B2B2"/>
  </sheetPr>
  <dimension ref="A1:IV175"/>
  <sheetViews>
    <sheetView showGridLines="0" showRowColHeaders="0" zoomScaleSheetLayoutView="85" workbookViewId="0">
      <pane xSplit="14" ySplit="4" topLeftCell="O86" activePane="bottomRight" state="frozen"/>
      <selection activeCell="K31" sqref="K31"/>
      <selection pane="topRight" activeCell="K31" sqref="K31"/>
      <selection pane="bottomLeft" activeCell="K31" sqref="K31"/>
      <selection pane="bottomRight" activeCell="M92" sqref="M92"/>
    </sheetView>
  </sheetViews>
  <sheetFormatPr defaultColWidth="0" defaultRowHeight="12.75" zeroHeight="1"/>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c r="B1" s="8"/>
      <c r="C1" s="135"/>
      <c r="D1" s="136"/>
      <c r="E1" s="136"/>
      <c r="F1" s="136"/>
      <c r="G1" s="136"/>
      <c r="H1" s="136"/>
      <c r="I1" s="136"/>
      <c r="J1" s="137"/>
      <c r="K1" s="18"/>
      <c r="L1" s="18"/>
      <c r="M1" s="18"/>
      <c r="N1" s="18"/>
    </row>
    <row r="2" spans="1:14">
      <c r="B2" s="8"/>
      <c r="C2" s="135"/>
      <c r="D2" s="136"/>
      <c r="E2" s="136"/>
      <c r="F2" s="136"/>
      <c r="G2" s="136"/>
      <c r="H2" s="136"/>
      <c r="I2" s="136"/>
      <c r="J2" s="137"/>
      <c r="K2" s="18"/>
      <c r="L2" s="18"/>
      <c r="M2" s="18"/>
      <c r="N2" s="18"/>
    </row>
    <row r="3" spans="1:14">
      <c r="B3" s="8"/>
      <c r="C3" s="135"/>
      <c r="D3" s="136"/>
      <c r="E3" s="136"/>
      <c r="F3" s="136"/>
      <c r="G3" s="136"/>
      <c r="H3" s="136"/>
      <c r="I3" s="136"/>
      <c r="J3" s="137"/>
      <c r="K3" s="18"/>
      <c r="L3" s="18"/>
      <c r="M3" s="18"/>
      <c r="N3" s="18"/>
    </row>
    <row r="4" spans="1:14">
      <c r="B4" s="8"/>
      <c r="C4" s="135"/>
      <c r="D4" s="136"/>
      <c r="E4" s="136"/>
      <c r="F4" s="136"/>
      <c r="G4" s="136"/>
      <c r="H4" s="136"/>
      <c r="I4" s="136"/>
      <c r="J4" s="137"/>
      <c r="K4" s="18"/>
      <c r="L4" s="18"/>
      <c r="M4" s="18"/>
      <c r="N4" s="18"/>
    </row>
    <row r="5" spans="1:14" ht="12.75" customHeight="1">
      <c r="A5" s="13"/>
      <c r="B5" s="13"/>
      <c r="C5" s="646" t="str">
        <f>Zaglavlje_Naziv_preduzeca</f>
        <v xml:space="preserve">Naziv privrednog društva, zadruge, drugog pravnog lica ili preduzetnika: </v>
      </c>
      <c r="D5" s="646"/>
      <c r="E5" s="646"/>
      <c r="F5" s="126"/>
      <c r="G5" s="126"/>
      <c r="H5" s="126"/>
      <c r="I5" s="126"/>
      <c r="K5" s="126"/>
      <c r="N5" s="392" t="str">
        <f>Podatak_MB</f>
        <v>01937189</v>
      </c>
    </row>
    <row r="6" spans="1:14">
      <c r="A6" s="13"/>
      <c r="B6" s="13"/>
      <c r="C6" s="646"/>
      <c r="D6" s="646"/>
      <c r="E6" s="646"/>
      <c r="F6" s="128"/>
      <c r="G6" s="126"/>
      <c r="J6" s="126"/>
      <c r="K6" s="126"/>
      <c r="L6" s="126"/>
      <c r="N6" s="421" t="str">
        <f>Zaglavlje_MB</f>
        <v>Matični broj</v>
      </c>
    </row>
    <row r="7" spans="1:14">
      <c r="A7" s="16"/>
      <c r="B7" s="16"/>
      <c r="C7" s="658" t="str">
        <f>Podatak_Naziv_preduzeca</f>
        <v>Javno preduzeće Komus akcionarsko društvo</v>
      </c>
      <c r="D7" s="658"/>
      <c r="E7" s="658"/>
      <c r="F7" s="244"/>
      <c r="J7" s="126"/>
      <c r="K7" s="126"/>
      <c r="L7" s="126"/>
      <c r="N7" s="392" t="str">
        <f>Podatak_Sifra_djelatnosti</f>
        <v>38.11</v>
      </c>
    </row>
    <row r="8" spans="1:14">
      <c r="A8" s="16"/>
      <c r="B8" s="16"/>
      <c r="C8" s="125" t="str">
        <f>Zaglavlje_Sjediste</f>
        <v>Sjedište:</v>
      </c>
      <c r="D8" s="670" t="str">
        <f>Podatak_Sjediste</f>
        <v>Svetog Vasilija Ostroškog 5 Bileća</v>
      </c>
      <c r="E8" s="670"/>
      <c r="F8" s="129"/>
      <c r="G8" s="126"/>
      <c r="J8" s="126"/>
      <c r="K8" s="126"/>
      <c r="L8" s="126"/>
      <c r="N8" s="243" t="str">
        <f>Zaglavlje_Sifra_djelatnosti</f>
        <v>Šifra djelatnosti</v>
      </c>
    </row>
    <row r="9" spans="1:14" ht="12.75" customHeight="1">
      <c r="A9" s="13"/>
      <c r="B9" s="13"/>
      <c r="C9" s="657" t="str">
        <f>Zaglavlje_Ziro_racun</f>
        <v>Račun kod ovlašćene organizacije za platni promet:</v>
      </c>
      <c r="D9" s="657"/>
      <c r="E9" s="657"/>
      <c r="J9" s="126"/>
      <c r="K9" s="126"/>
      <c r="L9" s="660" t="str">
        <f>Podatak_JIB</f>
        <v>4401376020001</v>
      </c>
      <c r="M9" s="660"/>
      <c r="N9" s="660"/>
    </row>
    <row r="10" spans="1:14">
      <c r="A10" s="13"/>
      <c r="B10" s="13"/>
      <c r="C10" s="659" t="str">
        <f>Podatak_Ziro_racun_1</f>
        <v>562-008-00000026-25</v>
      </c>
      <c r="D10" s="659"/>
      <c r="E10" s="659"/>
      <c r="F10" s="125"/>
      <c r="G10" s="653" t="s">
        <v>786</v>
      </c>
      <c r="H10" s="653"/>
      <c r="J10" s="126"/>
      <c r="K10" s="126"/>
      <c r="L10" s="126"/>
      <c r="N10" s="243" t="str">
        <f>Zaglavlje_JIB</f>
        <v>JIB</v>
      </c>
    </row>
    <row r="11" spans="1:14">
      <c r="B11" s="8"/>
      <c r="C11" s="659" t="str">
        <f>Podatak_Ziro_racun_2</f>
        <v>552-003-00007081-13</v>
      </c>
      <c r="D11" s="659"/>
      <c r="E11" s="659"/>
      <c r="F11" s="130"/>
      <c r="G11" s="130"/>
      <c r="H11" s="130"/>
      <c r="I11" s="130"/>
      <c r="J11" s="131"/>
      <c r="K11" s="131"/>
      <c r="L11" s="130"/>
      <c r="M11" s="132"/>
      <c r="N11" s="132"/>
    </row>
    <row r="12" spans="1:14">
      <c r="B12" s="8"/>
      <c r="C12" s="659" t="str">
        <f>Podatak_Ziro_racun_3</f>
        <v/>
      </c>
      <c r="D12" s="659"/>
      <c r="E12" s="659"/>
      <c r="F12" s="130"/>
      <c r="G12" s="130"/>
      <c r="H12" s="130"/>
      <c r="I12" s="130"/>
      <c r="J12" s="131"/>
      <c r="K12" s="131"/>
      <c r="L12" s="130"/>
      <c r="M12" s="132"/>
      <c r="N12" s="132"/>
    </row>
    <row r="13" spans="1:14">
      <c r="B13" s="8"/>
      <c r="C13" s="659" t="str">
        <f>Podatak_Ziro_racun_4</f>
        <v/>
      </c>
      <c r="D13" s="659"/>
      <c r="E13" s="659"/>
      <c r="F13" s="130"/>
      <c r="G13" s="130"/>
      <c r="H13" s="130"/>
      <c r="I13" s="130"/>
      <c r="J13" s="131"/>
      <c r="K13" s="131"/>
      <c r="L13" s="130"/>
      <c r="M13" s="132"/>
      <c r="N13" s="132"/>
    </row>
    <row r="14" spans="1:14" ht="15.75">
      <c r="B14" s="8"/>
      <c r="C14" s="671" t="str">
        <f>IF( Id_Konsolidovani, Nazivi_bilansa_Konsolidovani_naziv &amp; LOWER( Nazivi_bilansa_BS), Nazivi_bilansa_BS)</f>
        <v>Bilans stanja</v>
      </c>
      <c r="D14" s="671"/>
      <c r="E14" s="671"/>
      <c r="F14" s="671"/>
      <c r="G14" s="671"/>
      <c r="H14" s="671"/>
      <c r="I14" s="671"/>
      <c r="J14" s="671"/>
      <c r="K14" s="671"/>
      <c r="L14" s="671"/>
      <c r="M14" s="671"/>
      <c r="N14" s="671"/>
    </row>
    <row r="15" spans="1:14">
      <c r="B15" s="8"/>
      <c r="C15" s="656" t="str">
        <f>Nazivi_bilansa_BS1</f>
        <v>(Izvještaj o finansijskom položaju)</v>
      </c>
      <c r="D15" s="656"/>
      <c r="E15" s="656"/>
      <c r="F15" s="656"/>
      <c r="G15" s="656"/>
      <c r="H15" s="656"/>
      <c r="I15" s="656"/>
      <c r="J15" s="656"/>
      <c r="K15" s="656"/>
      <c r="L15" s="656"/>
      <c r="M15" s="656"/>
      <c r="N15" s="656"/>
    </row>
    <row r="16" spans="1:14">
      <c r="B16" s="8"/>
      <c r="C16" s="656" t="str">
        <f>Datumi_Datum_BS</f>
        <v>na dan 30.06.2025. godine</v>
      </c>
      <c r="D16" s="656"/>
      <c r="E16" s="656"/>
      <c r="F16" s="656"/>
      <c r="G16" s="656"/>
      <c r="H16" s="656"/>
      <c r="I16" s="656"/>
      <c r="J16" s="656"/>
      <c r="K16" s="656"/>
      <c r="L16" s="656"/>
      <c r="M16" s="656"/>
      <c r="N16" s="656"/>
    </row>
    <row r="17" spans="2:16">
      <c r="B17" s="8"/>
      <c r="C17" s="20"/>
      <c r="D17" s="20"/>
      <c r="E17" s="20"/>
      <c r="F17" s="20"/>
      <c r="G17" s="20"/>
      <c r="H17" s="20"/>
      <c r="I17" s="20"/>
      <c r="J17" s="20"/>
      <c r="K17" s="20"/>
      <c r="L17" s="20"/>
      <c r="M17" s="20"/>
      <c r="N17" s="21" t="str">
        <f>Tabele_zaglavlje_Valuta</f>
        <v>- u konvertibilnim markama -</v>
      </c>
    </row>
    <row r="18" spans="2:16" ht="12.75" customHeight="1">
      <c r="B18" s="8"/>
      <c r="C18" s="615" t="str">
        <f>Tabele_zaglavlje_Grupa_racuna</f>
        <v>Grupa računa, račun</v>
      </c>
      <c r="D18" s="647" t="str">
        <f>Tabele_zaglavlje_Pozicija</f>
        <v>POZICIJA</v>
      </c>
      <c r="E18" s="648"/>
      <c r="F18" s="648"/>
      <c r="G18" s="648"/>
      <c r="H18" s="649"/>
      <c r="I18" s="645" t="str">
        <f>Tabele_zaglavlje_Oznaka_aop</f>
        <v>Oznaka za AOP</v>
      </c>
      <c r="J18" s="617" t="str" cm="1">
        <f t="array" ref="J18">Tabele_zaglavlje_Napomena_aop</f>
        <v>Napomena</v>
      </c>
      <c r="K18" s="655" t="str">
        <f>Tabele_zaglavlje_BS_iznos_tekuca</f>
        <v>Iznos na dan bilansa tekuće godine</v>
      </c>
      <c r="L18" s="655"/>
      <c r="M18" s="655"/>
      <c r="N18" s="654" t="str">
        <f>Tabele_zaglavlje_BS_iznos_prethodna</f>
        <v>Iznos na dan bilansa prethodne godine (PS)</v>
      </c>
    </row>
    <row r="19" spans="2:16" ht="38.25" customHeight="1">
      <c r="B19" s="8"/>
      <c r="C19" s="616"/>
      <c r="D19" s="650"/>
      <c r="E19" s="651"/>
      <c r="F19" s="651"/>
      <c r="G19" s="651"/>
      <c r="H19" s="652"/>
      <c r="I19" s="644"/>
      <c r="J19" s="618"/>
      <c r="K19" s="22" t="str">
        <f>Tabele_zaglavlje_BS_bruto</f>
        <v>Bruto</v>
      </c>
      <c r="L19" s="23" t="str">
        <f>Tabele_zaglavlje_BS_ispravka</f>
        <v>Ispravka vrijednosti</v>
      </c>
      <c r="M19" s="23" t="str">
        <f>Tabele_zaglavlje_BS_neto</f>
        <v>Neto (5-6)</v>
      </c>
      <c r="N19" s="632"/>
      <c r="P19" s="134" t="s">
        <v>490</v>
      </c>
    </row>
    <row r="20" spans="2:16">
      <c r="B20" s="15" t="s">
        <v>123</v>
      </c>
      <c r="C20" s="24">
        <v>1</v>
      </c>
      <c r="D20" s="619">
        <v>2</v>
      </c>
      <c r="E20" s="620"/>
      <c r="F20" s="620"/>
      <c r="G20" s="620"/>
      <c r="H20" s="621"/>
      <c r="I20" s="25">
        <v>3</v>
      </c>
      <c r="J20" s="25">
        <v>4</v>
      </c>
      <c r="K20" s="25">
        <v>5</v>
      </c>
      <c r="L20" s="25">
        <v>6</v>
      </c>
      <c r="M20" s="25">
        <v>7</v>
      </c>
      <c r="N20" s="26">
        <v>8</v>
      </c>
    </row>
    <row r="21" spans="2:16" ht="26.25" customHeight="1">
      <c r="B21" s="15">
        <v>1</v>
      </c>
      <c r="C21" s="169">
        <f>VLOOKUP( $B21, T_Aop[], 5, 1)</f>
        <v>0</v>
      </c>
      <c r="D21" s="628" t="str">
        <f>VLOOKUP( $B21, T_Aop[], 6, 1)</f>
        <v xml:space="preserve">  BILANSNA AKTIVA
A. STALNA SREDSTVA (002+008+015+016+017+022+034)</v>
      </c>
      <c r="E21" s="629"/>
      <c r="F21" s="629"/>
      <c r="G21" s="629"/>
      <c r="H21" s="630"/>
      <c r="I21" s="426">
        <f>VLOOKUP( $B21, T_Aop[], 4, 1)</f>
        <v>1</v>
      </c>
      <c r="J21" s="427"/>
      <c r="K21" s="32">
        <f>SUBTOTAL( 9, K22:K54)</f>
        <v>868508</v>
      </c>
      <c r="L21" s="32">
        <f>SUBTOTAL( 9, L22:L54)</f>
        <v>600509</v>
      </c>
      <c r="M21" s="236">
        <f>IF(AND([0]!Godina=2025,MID(Osnovni_podaci!D20,3,1)="v",Osnovni_podaci!L24=2,Osnovni_podaci!G24=1,MID(Osnovni_podaci!D20,3,1)="v",MID(Osnovni_podaci!D20,8,1)="r"),SUM(K21,-L21),A1)</f>
        <v>267999</v>
      </c>
      <c r="N21" s="33">
        <f>SUBTOTAL( 9, N22:N54)</f>
        <v>49165</v>
      </c>
    </row>
    <row r="22" spans="2:16">
      <c r="B22" s="15">
        <v>2</v>
      </c>
      <c r="C22" s="360" t="str">
        <f>VLOOKUP( $B22, T_Aop[], 5, 1)</f>
        <v>01</v>
      </c>
      <c r="D22" s="625" t="str">
        <f>VLOOKUP( $B22, T_Aop[], 6, 1)</f>
        <v xml:space="preserve">  I  NEMATERIJALNA SREDSTVA  (003 do 007)</v>
      </c>
      <c r="E22" s="626"/>
      <c r="F22" s="626"/>
      <c r="G22" s="626"/>
      <c r="H22" s="627"/>
      <c r="I22" s="168">
        <f>VLOOKUP( $B22, T_Aop[], 4, 1)</f>
        <v>2</v>
      </c>
      <c r="J22" s="425"/>
      <c r="K22" s="30">
        <f>SUBTOTAL( 9, K23:K27)</f>
        <v>0</v>
      </c>
      <c r="L22" s="30">
        <f>SUBTOTAL( 9, L23:L27)</f>
        <v>0</v>
      </c>
      <c r="M22" s="30">
        <f>IF(AND([0]!Godina=2025,MID(Osnovni_podaci!D20,3,1)="v",Osnovni_podaci!L24=2,Osnovni_podaci!G24=1,MID(Osnovni_podaci!D20,3,1)="v",MID(Osnovni_podaci!D20,8,1)="r"),SUM(K22,-L22),A1)</f>
        <v>0</v>
      </c>
      <c r="N22" s="240">
        <f>SUBTOTAL( 9, N23:N27)</f>
        <v>0</v>
      </c>
      <c r="P22" s="44"/>
    </row>
    <row r="23" spans="2:16">
      <c r="B23" s="15">
        <v>3</v>
      </c>
      <c r="C23" s="361" t="str">
        <f>VLOOKUP( $B23, T_Aop[], 5, 1)</f>
        <v>010, dio 019</v>
      </c>
      <c r="D23" s="606" t="str">
        <f>VLOOKUP( $B23, T_Aop[], 6, 1)</f>
        <v xml:space="preserve">    1. Ulaganja u razvoj</v>
      </c>
      <c r="E23" s="607"/>
      <c r="F23" s="607"/>
      <c r="G23" s="607"/>
      <c r="H23" s="608"/>
      <c r="I23" s="121">
        <f>VLOOKUP( $B23, T_Aop[], 4, 1)</f>
        <v>3</v>
      </c>
      <c r="J23" s="157"/>
      <c r="K23" s="157"/>
      <c r="L23" s="157"/>
      <c r="M23" s="237">
        <f>IF(AND([0]!Godina=2025,MID(Osnovni_podaci!D20,3,1)="v",Osnovni_podaci!L24=2,Osnovni_podaci!G24=1,MID(Osnovni_podaci!D20,3,1)="v",MID(Osnovni_podaci!D20,8,1)="r"),SUM(K23,-L23),A1)</f>
        <v>0</v>
      </c>
      <c r="N23" s="193"/>
      <c r="P23" s="44"/>
    </row>
    <row r="24" spans="2:16">
      <c r="B24" s="15">
        <v>4</v>
      </c>
      <c r="C24" s="362" t="str">
        <f>VLOOKUP( $B24, T_Aop[], 5, 1)</f>
        <v>011, 013 dio 019</v>
      </c>
      <c r="D24" s="603" t="str">
        <f>VLOOKUP( $B24, T_Aop[], 6, 1)</f>
        <v xml:space="preserve">    2. Koncesije, patenti, licence, softver i ostala prava</v>
      </c>
      <c r="E24" s="604"/>
      <c r="F24" s="604"/>
      <c r="G24" s="604"/>
      <c r="H24" s="605"/>
      <c r="I24" s="122">
        <f>VLOOKUP( $B24, T_Aop[], 4, 1)</f>
        <v>4</v>
      </c>
      <c r="J24" s="155"/>
      <c r="K24" s="155"/>
      <c r="L24" s="155"/>
      <c r="M24" s="150">
        <f>IF(AND([0]!Godina=2025,MID(Osnovni_podaci!D20,3,1)="v",Osnovni_podaci!L24=2,Osnovni_podaci!G24=1,MID(Osnovni_podaci!D20,3,1)="v",MID(Osnovni_podaci!D20,8,1)="r"),SUM(K24,-L24),A1)</f>
        <v>0</v>
      </c>
      <c r="N24" s="192"/>
      <c r="P24" s="44"/>
    </row>
    <row r="25" spans="2:16">
      <c r="B25" s="15">
        <v>5</v>
      </c>
      <c r="C25" s="361" t="str">
        <f>VLOOKUP( $B25, T_Aop[], 5, 1)</f>
        <v>012, dio 019</v>
      </c>
      <c r="D25" s="606" t="str">
        <f>VLOOKUP( $B25, T_Aop[], 6, 1)</f>
        <v xml:space="preserve">    3. Goodwill</v>
      </c>
      <c r="E25" s="607"/>
      <c r="F25" s="607"/>
      <c r="G25" s="607"/>
      <c r="H25" s="608"/>
      <c r="I25" s="121">
        <f>VLOOKUP( $B25, T_Aop[], 4, 1)</f>
        <v>5</v>
      </c>
      <c r="J25" s="157"/>
      <c r="K25" s="157"/>
      <c r="L25" s="157"/>
      <c r="M25" s="151">
        <f>IF(AND([0]!Godina=2025,MID(Osnovni_podaci!D20,3,1)="v",Osnovni_podaci!L24=2,Osnovni_podaci!G24=1,MID(Osnovni_podaci!D20,3,1)="v",MID(Osnovni_podaci!D20,8,1)="r"),SUM(K25,-L25),A1)</f>
        <v>0</v>
      </c>
      <c r="N25" s="193"/>
      <c r="P25" s="44"/>
    </row>
    <row r="26" spans="2:16">
      <c r="B26" s="15">
        <v>6</v>
      </c>
      <c r="C26" s="362" t="str">
        <f>VLOOKUP( $B26, T_Aop[], 5, 1)</f>
        <v>014, dio 019</v>
      </c>
      <c r="D26" s="603" t="str">
        <f>VLOOKUP( $B26, T_Aop[], 6, 1)</f>
        <v xml:space="preserve">    4. Ostala nematerijalna sredstva</v>
      </c>
      <c r="E26" s="604"/>
      <c r="F26" s="604"/>
      <c r="G26" s="604"/>
      <c r="H26" s="605"/>
      <c r="I26" s="122">
        <f>VLOOKUP( $B26, T_Aop[], 4, 1)</f>
        <v>6</v>
      </c>
      <c r="J26" s="155"/>
      <c r="K26" s="155"/>
      <c r="L26" s="155"/>
      <c r="M26" s="152">
        <f>IF(AND([0]!Godina=2025,MID(Osnovni_podaci!D20,3,1)="v",Osnovni_podaci!L24=2,Osnovni_podaci!G24=1,MID(Osnovni_podaci!D20,3,1)="v",MID(Osnovni_podaci!D20,8,1)="r"),SUM(K26,-L26),A1)</f>
        <v>0</v>
      </c>
      <c r="N26" s="192"/>
      <c r="P26" s="44"/>
    </row>
    <row r="27" spans="2:16">
      <c r="B27" s="15">
        <v>7</v>
      </c>
      <c r="C27" s="361" t="str">
        <f>VLOOKUP( $B27, T_Aop[], 5, 1)</f>
        <v>015, 016, dio 019</v>
      </c>
      <c r="D27" s="606" t="str">
        <f>VLOOKUP( $B27, T_Aop[], 6, 1)</f>
        <v xml:space="preserve">    5. Avansi i nematerijalna sredstva u pripremi </v>
      </c>
      <c r="E27" s="607"/>
      <c r="F27" s="607"/>
      <c r="G27" s="607"/>
      <c r="H27" s="608"/>
      <c r="I27" s="121">
        <f>VLOOKUP( $B27, T_Aop[], 4, 1)</f>
        <v>7</v>
      </c>
      <c r="J27" s="157"/>
      <c r="K27" s="157"/>
      <c r="L27" s="157"/>
      <c r="M27" s="151">
        <f>IF(AND([0]!Godina=2025,MID(Osnovni_podaci!D20,3,1)="v",Osnovni_podaci!L24=2,Osnovni_podaci!G24=1,MID(Osnovni_podaci!D20,3,1)="v",MID(Osnovni_podaci!D20,8,1)="r"),SUM(K27,-L27),A1)</f>
        <v>0</v>
      </c>
      <c r="N27" s="193"/>
      <c r="P27" s="44"/>
    </row>
    <row r="28" spans="2:16">
      <c r="B28" s="15">
        <v>8</v>
      </c>
      <c r="C28" s="362" t="str">
        <f>VLOOKUP( $B28, T_Aop[], 5, 1)</f>
        <v>02</v>
      </c>
      <c r="D28" s="609" t="str">
        <f>VLOOKUP( $B28, T_Aop[], 6, 1)</f>
        <v xml:space="preserve">  II  NEKRETNINE, POSTROJENJA I OPREMA (009 do 014) </v>
      </c>
      <c r="E28" s="610"/>
      <c r="F28" s="610"/>
      <c r="G28" s="610"/>
      <c r="H28" s="611"/>
      <c r="I28" s="171">
        <f>VLOOKUP( $B28, T_Aop[], 4, 1)</f>
        <v>8</v>
      </c>
      <c r="J28" s="155"/>
      <c r="K28" s="30">
        <f>SUBTOTAL(9,K29:K34)</f>
        <v>868508</v>
      </c>
      <c r="L28" s="30">
        <f>SUBTOTAL(9,L29:L34)</f>
        <v>600509</v>
      </c>
      <c r="M28" s="31">
        <f>IF(AND([0]!Godina=2025,MID(Osnovni_podaci!D20,3,1)="v",Osnovni_podaci!L24=2,Osnovni_podaci!G24=1,MID(Osnovni_podaci!D20,3,1)="v",MID(Osnovni_podaci!D20,8,1)="r"),SUM(K28,-L28),A1)</f>
        <v>267999</v>
      </c>
      <c r="N28" s="240">
        <f>SUBTOTAL(9,N29:N34)</f>
        <v>49165</v>
      </c>
      <c r="P28" s="44"/>
    </row>
    <row r="29" spans="2:16">
      <c r="B29" s="15">
        <v>9</v>
      </c>
      <c r="C29" s="361" t="str">
        <f>VLOOKUP( $B29, T_Aop[], 5, 1)</f>
        <v>020, dio 029</v>
      </c>
      <c r="D29" s="606" t="str">
        <f>VLOOKUP( $B29, T_Aop[], 6, 1)</f>
        <v xml:space="preserve">    1. Zemljište</v>
      </c>
      <c r="E29" s="607"/>
      <c r="F29" s="607"/>
      <c r="G29" s="607"/>
      <c r="H29" s="608"/>
      <c r="I29" s="121">
        <f>VLOOKUP( $B29, T_Aop[], 4, 1)</f>
        <v>9</v>
      </c>
      <c r="J29" s="157"/>
      <c r="K29" s="157"/>
      <c r="L29" s="157"/>
      <c r="M29" s="151">
        <f>IF(AND([0]!Godina=2025,MID(Osnovni_podaci!D20,3,1)="v",Osnovni_podaci!L24=2,Osnovni_podaci!G24=1,MID(Osnovni_podaci!D20,3,1)="v",MID(Osnovni_podaci!D20,8,1)="r"),SUM(K29,-L29),A1)</f>
        <v>0</v>
      </c>
      <c r="N29" s="193"/>
      <c r="P29" s="44"/>
    </row>
    <row r="30" spans="2:16">
      <c r="B30" s="15">
        <v>10</v>
      </c>
      <c r="C30" s="362" t="str">
        <f>VLOOKUP( $B30, T_Aop[], 5, 1)</f>
        <v>021, dio 029</v>
      </c>
      <c r="D30" s="603" t="str">
        <f>VLOOKUP( $B30, T_Aop[], 6, 1)</f>
        <v xml:space="preserve">    2. Građevinski objekti</v>
      </c>
      <c r="E30" s="604"/>
      <c r="F30" s="604"/>
      <c r="G30" s="604"/>
      <c r="H30" s="605"/>
      <c r="I30" s="122">
        <f>VLOOKUP( $B30, T_Aop[], 4, 1)</f>
        <v>10</v>
      </c>
      <c r="J30" s="155"/>
      <c r="K30" s="155">
        <v>88362</v>
      </c>
      <c r="L30" s="155">
        <v>88142</v>
      </c>
      <c r="M30" s="152">
        <f>IF(AND([0]!Godina=2025,MID(Osnovni_podaci!D20,3,1)="v",Osnovni_podaci!L24=2,Osnovni_podaci!G24=1,MID(Osnovni_podaci!D20,3,1)="v",MID(Osnovni_podaci!D20,8,1)="r"),SUM(K30,-L30),A1)</f>
        <v>220</v>
      </c>
      <c r="N30" s="192">
        <v>1988</v>
      </c>
      <c r="P30" s="44"/>
    </row>
    <row r="31" spans="2:16">
      <c r="B31" s="15">
        <v>11</v>
      </c>
      <c r="C31" s="361" t="str">
        <f>VLOOKUP( $B31, T_Aop[], 5, 1)</f>
        <v>022, dio 029</v>
      </c>
      <c r="D31" s="606" t="str">
        <f>VLOOKUP( $B31, T_Aop[], 6, 1)</f>
        <v xml:space="preserve">    3. Postrojenja i oprema</v>
      </c>
      <c r="E31" s="607"/>
      <c r="F31" s="607"/>
      <c r="G31" s="607"/>
      <c r="H31" s="608"/>
      <c r="I31" s="121">
        <f>VLOOKUP( $B31, T_Aop[], 4, 1)</f>
        <v>11</v>
      </c>
      <c r="J31" s="157"/>
      <c r="K31" s="157">
        <v>780146</v>
      </c>
      <c r="L31" s="157">
        <v>512367</v>
      </c>
      <c r="M31" s="151">
        <f>IF(AND([0]!Godina=2025,MID(Osnovni_podaci!D20,3,1)="v",Osnovni_podaci!L24=2,Osnovni_podaci!G24=1,MID(Osnovni_podaci!D20,3,1)="v",MID(Osnovni_podaci!D20,8,1)="r"),SUM(K31,-L31),A1)</f>
        <v>267779</v>
      </c>
      <c r="N31" s="193">
        <v>47177</v>
      </c>
      <c r="P31" s="44"/>
    </row>
    <row r="32" spans="2:16">
      <c r="B32" s="15">
        <v>12</v>
      </c>
      <c r="C32" s="362" t="str">
        <f>VLOOKUP( $B32, T_Aop[], 5, 1)</f>
        <v>023, dio 029</v>
      </c>
      <c r="D32" s="603" t="str">
        <f>VLOOKUP( $B32, T_Aop[], 6, 1)</f>
        <v xml:space="preserve">    4. Ostale nekretnine, postrojenja i oprema</v>
      </c>
      <c r="E32" s="604"/>
      <c r="F32" s="604"/>
      <c r="G32" s="604"/>
      <c r="H32" s="605"/>
      <c r="I32" s="122">
        <f>VLOOKUP( $B32, T_Aop[], 4, 1)</f>
        <v>12</v>
      </c>
      <c r="J32" s="155"/>
      <c r="K32" s="155"/>
      <c r="L32" s="155"/>
      <c r="M32" s="152">
        <f>IF(AND([0]!Godina=2025,MID(Osnovni_podaci!D20,3,1)="v",Osnovni_podaci!L24=2,Osnovni_podaci!G24=1,MID(Osnovni_podaci!D20,3,1)="v",MID(Osnovni_podaci!D20,8,1)="r"),SUM(K32,-L32),A1)</f>
        <v>0</v>
      </c>
      <c r="N32" s="192"/>
      <c r="P32" s="44"/>
    </row>
    <row r="33" spans="2:16">
      <c r="B33" s="15">
        <v>13</v>
      </c>
      <c r="C33" s="361" t="str">
        <f>VLOOKUP( $B33, T_Aop[], 5, 1)</f>
        <v>024, dio 029</v>
      </c>
      <c r="D33" s="606" t="str">
        <f>VLOOKUP( $B33, T_Aop[], 6, 1)</f>
        <v xml:space="preserve">    5. Ulaganje na tuđim nekretninama, postrojenjima i opremi</v>
      </c>
      <c r="E33" s="607"/>
      <c r="F33" s="607"/>
      <c r="G33" s="607"/>
      <c r="H33" s="608"/>
      <c r="I33" s="121">
        <f>VLOOKUP( $B33, T_Aop[], 4, 1)</f>
        <v>13</v>
      </c>
      <c r="J33" s="157"/>
      <c r="K33" s="157"/>
      <c r="L33" s="157"/>
      <c r="M33" s="151">
        <f>IF(AND([0]!Godina=2025,MID(Osnovni_podaci!D20,3,1)="v",Osnovni_podaci!L24=2,Osnovni_podaci!G24=1,MID(Osnovni_podaci!D20,3,1)="v",MID(Osnovni_podaci!D20,8,1)="r"),SUM(K33,-L33),A1)</f>
        <v>0</v>
      </c>
      <c r="N33" s="193"/>
      <c r="P33" s="44"/>
    </row>
    <row r="34" spans="2:16">
      <c r="B34" s="15">
        <v>14</v>
      </c>
      <c r="C34" s="362" t="str">
        <f>VLOOKUP( $B34, T_Aop[], 5, 1)</f>
        <v>025, 026, dio 029</v>
      </c>
      <c r="D34" s="603" t="str">
        <f>VLOOKUP( $B34, T_Aop[], 6, 1)</f>
        <v xml:space="preserve">    6. Avansi i nekretnine, postrojenja i oprema u pripremi</v>
      </c>
      <c r="E34" s="604"/>
      <c r="F34" s="604"/>
      <c r="G34" s="604"/>
      <c r="H34" s="605"/>
      <c r="I34" s="122">
        <f>VLOOKUP( $B34, T_Aop[], 4, 1)</f>
        <v>14</v>
      </c>
      <c r="J34" s="155"/>
      <c r="K34" s="155"/>
      <c r="L34" s="155"/>
      <c r="M34" s="152">
        <f>IF(AND([0]!Godina=2025,MID(Osnovni_podaci!D20,3,1)="v",Osnovni_podaci!L24=2,Osnovni_podaci!G24=1,MID(Osnovni_podaci!D20,3,1)="v",MID(Osnovni_podaci!D20,8,1)="r"),SUM(K34,-L34),A1)</f>
        <v>0</v>
      </c>
      <c r="N34" s="192"/>
      <c r="P34" s="44"/>
    </row>
    <row r="35" spans="2:16" ht="12.75" customHeight="1">
      <c r="B35" s="15">
        <v>15</v>
      </c>
      <c r="C35" s="361" t="str">
        <f>VLOOKUP( $B35, T_Aop[], 5, 1)</f>
        <v>03</v>
      </c>
      <c r="D35" s="628" t="str">
        <f>VLOOKUP( $B35, T_Aop[], 6, 1)</f>
        <v xml:space="preserve">  III INVESTICIONE NEKRETNINE</v>
      </c>
      <c r="E35" s="629"/>
      <c r="F35" s="629"/>
      <c r="G35" s="629"/>
      <c r="H35" s="630"/>
      <c r="I35" s="170">
        <f>VLOOKUP( $B35, T_Aop[], 4, 1)</f>
        <v>15</v>
      </c>
      <c r="J35" s="157"/>
      <c r="K35" s="203"/>
      <c r="L35" s="203"/>
      <c r="M35" s="32">
        <f>IF(AND([0]!Godina=2025,MID(Osnovni_podaci!D20,3,1)="v",Osnovni_podaci!L24=2,Osnovni_podaci!G24=1,MID(Osnovni_podaci!D20,3,1)="v",MID(Osnovni_podaci!D20,8,1)="r"),SUM(K35,-L35),A1)</f>
        <v>0</v>
      </c>
      <c r="N35" s="194"/>
      <c r="P35" s="44"/>
    </row>
    <row r="36" spans="2:16">
      <c r="B36" s="15">
        <v>16</v>
      </c>
      <c r="C36" s="362" t="str">
        <f>VLOOKUP( $B36, T_Aop[], 5, 1)</f>
        <v>04</v>
      </c>
      <c r="D36" s="609" t="str">
        <f>VLOOKUP( $B36, T_Aop[], 6, 1)</f>
        <v xml:space="preserve">  IV SREDSTVA UZETA U ZAKUP </v>
      </c>
      <c r="E36" s="610"/>
      <c r="F36" s="610"/>
      <c r="G36" s="610"/>
      <c r="H36" s="611"/>
      <c r="I36" s="171">
        <f>VLOOKUP( $B36, T_Aop[], 4, 1)</f>
        <v>16</v>
      </c>
      <c r="J36" s="155"/>
      <c r="K36" s="81"/>
      <c r="L36" s="81"/>
      <c r="M36" s="31">
        <f>IF(AND([0]!Godina=2025,MID(Osnovni_podaci!D20,3,1)="v",Osnovni_podaci!L24=2,Osnovni_podaci!G24=1,MID(Osnovni_podaci!D20,3,1)="v",MID(Osnovni_podaci!D20,8,1)="r"),SUM(K36,-L36),A1)</f>
        <v>0</v>
      </c>
      <c r="N36" s="437"/>
      <c r="P36" s="44"/>
    </row>
    <row r="37" spans="2:16">
      <c r="B37" s="15">
        <v>17</v>
      </c>
      <c r="C37" s="361" t="str">
        <f>VLOOKUP( $B37, T_Aop[], 5, 1)</f>
        <v>05</v>
      </c>
      <c r="D37" s="628" t="str">
        <f>VLOOKUP( $B37, T_Aop[], 6, 1)</f>
        <v xml:space="preserve">  V BIOLOŠKA SREDSTVA   (018 do 021)</v>
      </c>
      <c r="E37" s="629"/>
      <c r="F37" s="629"/>
      <c r="G37" s="629"/>
      <c r="H37" s="630"/>
      <c r="I37" s="170">
        <f>VLOOKUP( $B37, T_Aop[], 4, 1)</f>
        <v>17</v>
      </c>
      <c r="J37" s="157"/>
      <c r="K37" s="32">
        <f>SUBTOTAL(9,K38:K41)</f>
        <v>0</v>
      </c>
      <c r="L37" s="32">
        <f>SUBTOTAL(9,L38:L41)</f>
        <v>0</v>
      </c>
      <c r="M37" s="32">
        <f>IF(AND([0]!Godina=2025,MID(Osnovni_podaci!D20,3,1)="v",Osnovni_podaci!L24=2,Osnovni_podaci!G24=1,MID(Osnovni_podaci!D20,3,1)="v",MID(Osnovni_podaci!D20,8,1)="r"),SUM(K37,-L37),A1)</f>
        <v>0</v>
      </c>
      <c r="N37" s="390">
        <f>SUBTOTAL(9,N38:N41)</f>
        <v>0</v>
      </c>
      <c r="P37" s="44"/>
    </row>
    <row r="38" spans="2:16">
      <c r="B38" s="15">
        <v>18</v>
      </c>
      <c r="C38" s="362" t="str">
        <f>VLOOKUP( $B38, T_Aop[], 5, 1)</f>
        <v>050, dio 059</v>
      </c>
      <c r="D38" s="603" t="str">
        <f>VLOOKUP( $B38, T_Aop[], 6, 1)</f>
        <v xml:space="preserve">    1. Šume</v>
      </c>
      <c r="E38" s="604"/>
      <c r="F38" s="604"/>
      <c r="G38" s="604"/>
      <c r="H38" s="605"/>
      <c r="I38" s="122">
        <f>VLOOKUP( $B38, T_Aop[], 4, 1)</f>
        <v>18</v>
      </c>
      <c r="J38" s="155"/>
      <c r="K38" s="155"/>
      <c r="L38" s="155"/>
      <c r="M38" s="152">
        <f>IF(AND([0]!Godina=2025,MID(Osnovni_podaci!D20,3,1)="v",Osnovni_podaci!L24=2,Osnovni_podaci!G24=1,MID(Osnovni_podaci!D20,3,1)="v",MID(Osnovni_podaci!D20,8,1)="r"),SUM(K38,-L38),A1)</f>
        <v>0</v>
      </c>
      <c r="N38" s="192"/>
      <c r="P38" s="44"/>
    </row>
    <row r="39" spans="2:16">
      <c r="B39" s="15">
        <v>19</v>
      </c>
      <c r="C39" s="361" t="str">
        <f>VLOOKUP( $B39, T_Aop[], 5, 1)</f>
        <v>051, dio 059</v>
      </c>
      <c r="D39" s="606" t="str">
        <f>VLOOKUP( $B39, T_Aop[], 6, 1)</f>
        <v xml:space="preserve">    2. Višegodišnji zasadi</v>
      </c>
      <c r="E39" s="607"/>
      <c r="F39" s="607"/>
      <c r="G39" s="607"/>
      <c r="H39" s="608"/>
      <c r="I39" s="121">
        <f>VLOOKUP( $B39, T_Aop[], 4, 1)</f>
        <v>19</v>
      </c>
      <c r="J39" s="157"/>
      <c r="K39" s="157"/>
      <c r="L39" s="157"/>
      <c r="M39" s="151">
        <f>IF(AND([0]!Godina=2025,MID(Osnovni_podaci!D20,3,1)="v",Osnovni_podaci!L24=2,Osnovni_podaci!G24=1,MID(Osnovni_podaci!D20,3,1)="v",MID(Osnovni_podaci!D20,8,1)="r"),SUM(K39,-L39),A1)</f>
        <v>0</v>
      </c>
      <c r="N39" s="193"/>
      <c r="P39" s="44"/>
    </row>
    <row r="40" spans="2:16">
      <c r="B40" s="15">
        <v>20</v>
      </c>
      <c r="C40" s="362" t="str">
        <f>VLOOKUP( $B40, T_Aop[], 5, 1)</f>
        <v>052, 053 dio 059</v>
      </c>
      <c r="D40" s="603" t="str">
        <f>VLOOKUP( $B40, T_Aop[], 6, 1)</f>
        <v xml:space="preserve">    3. Osnovno stado i ostala biološka sredstva</v>
      </c>
      <c r="E40" s="604"/>
      <c r="F40" s="604"/>
      <c r="G40" s="604"/>
      <c r="H40" s="605"/>
      <c r="I40" s="122">
        <f>VLOOKUP( $B40, T_Aop[], 4, 1)</f>
        <v>20</v>
      </c>
      <c r="J40" s="155"/>
      <c r="K40" s="155"/>
      <c r="L40" s="155"/>
      <c r="M40" s="152">
        <f>IF(AND([0]!Godina=2025,MID(Osnovni_podaci!D20,3,1)="v",Osnovni_podaci!L24=2,Osnovni_podaci!G24=1,MID(Osnovni_podaci!D20,3,1)="v",MID(Osnovni_podaci!D20,8,1)="r"),SUM(K40,-L40),A1)</f>
        <v>0</v>
      </c>
      <c r="N40" s="192"/>
      <c r="P40" s="44"/>
    </row>
    <row r="41" spans="2:16">
      <c r="B41" s="15">
        <v>21</v>
      </c>
      <c r="C41" s="361" t="str">
        <f>VLOOKUP( $B41, T_Aop[], 5, 1)</f>
        <v>055, 056 i dio 059</v>
      </c>
      <c r="D41" s="606" t="str">
        <f>VLOOKUP( $B41, T_Aop[], 6, 1)</f>
        <v xml:space="preserve">    4. Avansi i biološka sredstva u pripremi </v>
      </c>
      <c r="E41" s="607"/>
      <c r="F41" s="607"/>
      <c r="G41" s="607"/>
      <c r="H41" s="608"/>
      <c r="I41" s="121">
        <f>VLOOKUP( $B41, T_Aop[], 4, 1)</f>
        <v>21</v>
      </c>
      <c r="J41" s="157"/>
      <c r="K41" s="157"/>
      <c r="L41" s="157"/>
      <c r="M41" s="151">
        <f>IF(AND([0]!Godina=2025,MID(Osnovni_podaci!D20,3,1)="v",Osnovni_podaci!L24=2,Osnovni_podaci!G24=1,MID(Osnovni_podaci!D20,3,1)="v",MID(Osnovni_podaci!D20,8,1)="r"),SUM(K41,-L41),A1)</f>
        <v>0</v>
      </c>
      <c r="N41" s="193"/>
      <c r="P41" s="44"/>
    </row>
    <row r="42" spans="2:16">
      <c r="B42" s="15">
        <v>22</v>
      </c>
      <c r="C42" s="362" t="str">
        <f>VLOOKUP( $B42, T_Aop[], 5, 1)</f>
        <v>06</v>
      </c>
      <c r="D42" s="609" t="str">
        <f>VLOOKUP( $B42, T_Aop[], 6, 1)</f>
        <v xml:space="preserve">  VI  DUGOROČNI FINANSIJSKI PLASMANI (023+024+025+030+033)</v>
      </c>
      <c r="E42" s="610"/>
      <c r="F42" s="610"/>
      <c r="G42" s="610"/>
      <c r="H42" s="611"/>
      <c r="I42" s="171">
        <f>VLOOKUP( $B42, T_Aop[], 4, 1)</f>
        <v>22</v>
      </c>
      <c r="J42" s="155"/>
      <c r="K42" s="31">
        <f>SUBTOTAL(9,K43:K53)</f>
        <v>0</v>
      </c>
      <c r="L42" s="31">
        <f>SUBTOTAL(9,L43:L53)</f>
        <v>0</v>
      </c>
      <c r="M42" s="31">
        <f>IF(AND([0]!Godina=2025,MID(Osnovni_podaci!D20,3,1)="v",Osnovni_podaci!L24=2,Osnovni_podaci!G24=1,MID(Osnovni_podaci!D20,3,1)="v",MID(Osnovni_podaci!D20,8,1)="r"),SUM(K42,-L42),A1)</f>
        <v>0</v>
      </c>
      <c r="N42" s="34">
        <f>IF(AND([0]!Godina=2025,MID(Osnovni_podaci!D20,3,1)="v",Osnovni_podaci!L24=2,Osnovni_podaci!G24=1,MID(Osnovni_podaci!D20,3,1)="v",MID(Osnovni_podaci!D20,8,1)="r"),SUBTOTAL(9,N43:N53),A1)</f>
        <v>0</v>
      </c>
      <c r="P42" s="44"/>
    </row>
    <row r="43" spans="2:16">
      <c r="B43" s="15">
        <v>23</v>
      </c>
      <c r="C43" s="361" t="str">
        <f>VLOOKUP( $B43, T_Aop[], 5, 1)</f>
        <v>060, dio 069</v>
      </c>
      <c r="D43" s="606" t="str">
        <f>VLOOKUP( $B43, T_Aop[], 6, 1)</f>
        <v xml:space="preserve">    1. Učešće u kapitalu zavisnih subjekata</v>
      </c>
      <c r="E43" s="607"/>
      <c r="F43" s="607"/>
      <c r="G43" s="607"/>
      <c r="H43" s="608"/>
      <c r="I43" s="121">
        <f>VLOOKUP( $B43, T_Aop[], 4, 1)</f>
        <v>23</v>
      </c>
      <c r="J43" s="157"/>
      <c r="K43" s="157"/>
      <c r="L43" s="157"/>
      <c r="M43" s="151">
        <f>IF(AND([0]!Godina=2025,MID(Osnovni_podaci!D20,3,1)="v",Osnovni_podaci!L24=2,Osnovni_podaci!G24=1,MID(Osnovni_podaci!D20,3,1)="v",MID(Osnovni_podaci!D20,8,1)="r"),SUM(K43,-L43),A1)</f>
        <v>0</v>
      </c>
      <c r="N43" s="193"/>
      <c r="P43" s="44"/>
    </row>
    <row r="44" spans="2:16">
      <c r="B44" s="15">
        <v>24</v>
      </c>
      <c r="C44" s="362" t="str">
        <f>VLOOKUP( $B44, T_Aop[], 5, 1)</f>
        <v>061, dio 069</v>
      </c>
      <c r="D44" s="603" t="str">
        <f>VLOOKUP( $B44, T_Aop[], 6, 1)</f>
        <v xml:space="preserve">    2. Učešće u kapitalu pridruženih subjekata i zajedničkih poduhvata</v>
      </c>
      <c r="E44" s="604"/>
      <c r="F44" s="604"/>
      <c r="G44" s="604"/>
      <c r="H44" s="605"/>
      <c r="I44" s="122">
        <f>VLOOKUP( $B44, T_Aop[], 4, 1)</f>
        <v>24</v>
      </c>
      <c r="J44" s="155"/>
      <c r="K44" s="155"/>
      <c r="L44" s="155"/>
      <c r="M44" s="152">
        <f>IF(AND([0]!Godina=2025,MID(Osnovni_podaci!D20,3,1)="v",Osnovni_podaci!L24=2,Osnovni_podaci!G24=1,MID(Osnovni_podaci!D20,3,1)="v",MID(Osnovni_podaci!D20,8,1)="r"),SUM(K44,-L44),A1)</f>
        <v>0</v>
      </c>
      <c r="N44" s="192"/>
      <c r="P44" s="44"/>
    </row>
    <row r="45" spans="2:16">
      <c r="B45" s="15">
        <v>25</v>
      </c>
      <c r="C45" s="361" t="str">
        <f>VLOOKUP( $B45, T_Aop[], 5, 1)</f>
        <v>dio 06</v>
      </c>
      <c r="D45" s="606" t="str">
        <f>VLOOKUP( $B45, T_Aop[], 6, 1)</f>
        <v xml:space="preserve">    3. Finansijska sredstva po amortizovanoj vrijednosti (026 do 029)</v>
      </c>
      <c r="E45" s="607"/>
      <c r="F45" s="607"/>
      <c r="G45" s="607"/>
      <c r="H45" s="608"/>
      <c r="I45" s="121">
        <f>VLOOKUP( $B45, T_Aop[], 4, 1)</f>
        <v>25</v>
      </c>
      <c r="J45" s="157"/>
      <c r="K45" s="32">
        <f>SUBTOTAL(9,K46:K49)</f>
        <v>0</v>
      </c>
      <c r="L45" s="32">
        <f>SUBTOTAL(9,L46:L49)</f>
        <v>0</v>
      </c>
      <c r="M45" s="203">
        <f>IF(AND([0]!Godina=2025,MID(Osnovni_podaci!D20,3,1)="v",Osnovni_podaci!L24=2,Osnovni_podaci!G24=1,MID(Osnovni_podaci!D20,3,1)="v",MID(Osnovni_podaci!D20,8,1)="r"),SUM(K45,-L45),A1)</f>
        <v>0</v>
      </c>
      <c r="N45" s="391">
        <f>IF(AND([0]!Godina=2025,MID(Osnovni_podaci!D20,3,1)="v",Osnovni_podaci!L24=2,Osnovni_podaci!G24=1,MID(Osnovni_podaci!D20,3,1)="v",MID(Osnovni_podaci!D20,8,1)="r"),SUBTOTAL(9,N46:N49),A1)</f>
        <v>0</v>
      </c>
      <c r="P45" s="44"/>
    </row>
    <row r="46" spans="2:16">
      <c r="B46" s="15">
        <v>26</v>
      </c>
      <c r="C46" s="362" t="str">
        <f>VLOOKUP( $B46, T_Aop[], 5, 1)</f>
        <v>062, dio 069</v>
      </c>
      <c r="D46" s="603" t="str">
        <f>VLOOKUP( $B46, T_Aop[], 6, 1)</f>
        <v xml:space="preserve">      3.1. Dugoročni krediti povezanim pravnim licima</v>
      </c>
      <c r="E46" s="604"/>
      <c r="F46" s="604"/>
      <c r="G46" s="604"/>
      <c r="H46" s="605"/>
      <c r="I46" s="122">
        <f>VLOOKUP( $B46, T_Aop[], 4, 1)</f>
        <v>26</v>
      </c>
      <c r="J46" s="155"/>
      <c r="K46" s="155"/>
      <c r="L46" s="155"/>
      <c r="M46" s="152">
        <f>IF(AND([0]!Godina=2025,MID(Osnovni_podaci!D20,3,1)="v",Osnovni_podaci!L24=2,Osnovni_podaci!G24=1,MID(Osnovni_podaci!D20,3,1)="v",MID(Osnovni_podaci!D20,8,1)="r"),SUM(K46,-L46),A1)</f>
        <v>0</v>
      </c>
      <c r="N46" s="192"/>
      <c r="P46" s="44"/>
    </row>
    <row r="47" spans="2:16">
      <c r="B47" s="15">
        <v>27</v>
      </c>
      <c r="C47" s="361" t="str">
        <f>VLOOKUP( $B47, T_Aop[], 5, 1)</f>
        <v>063, dio 069</v>
      </c>
      <c r="D47" s="606" t="str">
        <f>VLOOKUP( $B47, T_Aop[], 6, 1)</f>
        <v xml:space="preserve">      3.2. Dugoročni krediti u zemlji</v>
      </c>
      <c r="E47" s="607"/>
      <c r="F47" s="607"/>
      <c r="G47" s="607"/>
      <c r="H47" s="608"/>
      <c r="I47" s="121">
        <f>VLOOKUP( $B47, T_Aop[], 4, 1)</f>
        <v>27</v>
      </c>
      <c r="J47" s="157"/>
      <c r="K47" s="157"/>
      <c r="L47" s="157"/>
      <c r="M47" s="151">
        <f>IF(AND([0]!Godina=2025,MID(Osnovni_podaci!D20,3,1)="v",Osnovni_podaci!L24=2,Osnovni_podaci!G24=1,MID(Osnovni_podaci!D20,3,1)="v",MID(Osnovni_podaci!D20,8,1)="r"),SUM(K47,-L47),A1)</f>
        <v>0</v>
      </c>
      <c r="N47" s="193"/>
      <c r="P47" s="44"/>
    </row>
    <row r="48" spans="2:16">
      <c r="B48" s="15">
        <v>28</v>
      </c>
      <c r="C48" s="362" t="str">
        <f>VLOOKUP( $B48, T_Aop[], 5, 1)</f>
        <v>064, dio 069</v>
      </c>
      <c r="D48" s="603" t="str">
        <f>VLOOKUP( $B48, T_Aop[], 6, 1)</f>
        <v xml:space="preserve">      3.3. Dugoročni krediti u inostranstvu</v>
      </c>
      <c r="E48" s="604"/>
      <c r="F48" s="604"/>
      <c r="G48" s="604"/>
      <c r="H48" s="605"/>
      <c r="I48" s="122">
        <f>VLOOKUP( $B48, T_Aop[], 4, 1)</f>
        <v>28</v>
      </c>
      <c r="J48" s="155"/>
      <c r="K48" s="155"/>
      <c r="L48" s="155"/>
      <c r="M48" s="152">
        <f>IF(AND([0]!Godina=2025,MID(Osnovni_podaci!D20,3,1)="v",Osnovni_podaci!L24=2,Osnovni_podaci!G24=1,MID(Osnovni_podaci!D20,3,1)="v",MID(Osnovni_podaci!D20,8,1)="r"),SUM(K48,-L48),A1)</f>
        <v>0</v>
      </c>
      <c r="N48" s="192"/>
      <c r="P48" s="44"/>
    </row>
    <row r="49" spans="2:16">
      <c r="B49" s="15">
        <v>29</v>
      </c>
      <c r="C49" s="361" t="str">
        <f>VLOOKUP( $B49, T_Aop[], 5, 1)</f>
        <v>065, dio 069</v>
      </c>
      <c r="D49" s="606" t="str">
        <f>VLOOKUP( $B49, T_Aop[], 6, 1)</f>
        <v xml:space="preserve">      3.4. Ostala finansijska sredstva po amortizovanoj vrijednosti</v>
      </c>
      <c r="E49" s="607"/>
      <c r="F49" s="607"/>
      <c r="G49" s="607"/>
      <c r="H49" s="608"/>
      <c r="I49" s="121">
        <f>VLOOKUP( $B49, T_Aop[], 4, 1)</f>
        <v>29</v>
      </c>
      <c r="J49" s="157"/>
      <c r="K49" s="157"/>
      <c r="L49" s="157"/>
      <c r="M49" s="151">
        <f>IF(AND([0]!Godina=2025,MID(Osnovni_podaci!D20,3,1)="v",Osnovni_podaci!L24=2,Osnovni_podaci!G24=1,MID(Osnovni_podaci!D20,3,1)="v",MID(Osnovni_podaci!D20,8,1)="r"),SUM(K49,-L49),A1)</f>
        <v>0</v>
      </c>
      <c r="N49" s="395"/>
      <c r="P49" s="44"/>
    </row>
    <row r="50" spans="2:16" ht="21.75" customHeight="1">
      <c r="B50" s="15">
        <v>30</v>
      </c>
      <c r="C50" s="362" t="str">
        <f>VLOOKUP( $B50, T_Aop[], 5, 1)</f>
        <v>dio 06</v>
      </c>
      <c r="D50" s="603" t="str">
        <f>VLOOKUP( $B50, T_Aop[], 6, 1)</f>
        <v xml:space="preserve">    4. Finansijska sredstva po fer vrijednosti kroz ostali ukupan rezultat (031+032)</v>
      </c>
      <c r="E50" s="604"/>
      <c r="F50" s="604"/>
      <c r="G50" s="604"/>
      <c r="H50" s="605"/>
      <c r="I50" s="122">
        <f>VLOOKUP( $B50, T_Aop[], 4, 1)</f>
        <v>30</v>
      </c>
      <c r="J50" s="155"/>
      <c r="K50" s="389">
        <f>SUBTOTAL( 9, K51:K52)</f>
        <v>0</v>
      </c>
      <c r="L50" s="389">
        <f>SUBTOTAL( 9, L51:L52)</f>
        <v>0</v>
      </c>
      <c r="M50" s="31">
        <f>IF(AND([0]!Godina=2025,MID(Osnovni_podaci!D20,3,1)="v",Osnovni_podaci!L24=2,Osnovni_podaci!G24=1,MID(Osnovni_podaci!D20,3,1)="v",MID(Osnovni_podaci!D20,8,1)="r"),SUM(K50,-L50),A1)</f>
        <v>0</v>
      </c>
      <c r="N50" s="240">
        <f>IF(AND([0]!Godina=2025,MID(Osnovni_podaci!D20,3,1)="v",Osnovni_podaci!L24=2,Osnovni_podaci!G24=1,MID(Osnovni_podaci!D20,3,1)="v",MID(Osnovni_podaci!D20,8,1)="r"),SUBTOTAL( 9, N51:N52),A1)</f>
        <v>0</v>
      </c>
      <c r="P50" s="44"/>
    </row>
    <row r="51" spans="2:16">
      <c r="B51" s="15">
        <v>31</v>
      </c>
      <c r="C51" s="361" t="str">
        <f>VLOOKUP( $B51, T_Aop[], 5, 1)</f>
        <v>066, dio 069</v>
      </c>
      <c r="D51" s="606" t="str">
        <f>VLOOKUP( $B51, T_Aop[], 6, 1)</f>
        <v xml:space="preserve">      4.1. Vlasnički instrumenti</v>
      </c>
      <c r="E51" s="607"/>
      <c r="F51" s="607"/>
      <c r="G51" s="607"/>
      <c r="H51" s="608"/>
      <c r="I51" s="121">
        <f>VLOOKUP( $B51, T_Aop[], 4, 1)</f>
        <v>31</v>
      </c>
      <c r="J51" s="157"/>
      <c r="K51" s="238"/>
      <c r="L51" s="238"/>
      <c r="M51" s="151">
        <f>IF(AND([0]!Godina=2025,MID(Osnovni_podaci!D20,3,1)="v",Osnovni_podaci!L24=2,Osnovni_podaci!G24=1,MID(Osnovni_podaci!D20,3,1)="v",MID(Osnovni_podaci!D20,8,1)="r"),SUM(K51,-L51),A1)</f>
        <v>0</v>
      </c>
      <c r="N51" s="395"/>
      <c r="P51" s="44"/>
    </row>
    <row r="52" spans="2:16">
      <c r="B52" s="15">
        <v>32</v>
      </c>
      <c r="C52" s="362" t="str">
        <f>VLOOKUP( $B52, T_Aop[], 5, 1)</f>
        <v>067, dio 069</v>
      </c>
      <c r="D52" s="603" t="str">
        <f>VLOOKUP( $B52, T_Aop[], 6, 1)</f>
        <v xml:space="preserve">      4.2. Dužnički instrumenti</v>
      </c>
      <c r="E52" s="604"/>
      <c r="F52" s="604"/>
      <c r="G52" s="604"/>
      <c r="H52" s="605"/>
      <c r="I52" s="122">
        <f>VLOOKUP( $B52, T_Aop[], 4, 1)</f>
        <v>32</v>
      </c>
      <c r="J52" s="155"/>
      <c r="K52" s="155"/>
      <c r="L52" s="155"/>
      <c r="M52" s="152">
        <f>IF(AND([0]!Godina=2025,MID(Osnovni_podaci!D20,3,1)="v",Osnovni_podaci!L24=2,Osnovni_podaci!G24=1,MID(Osnovni_podaci!D20,3,1)="v",MID(Osnovni_podaci!D20,8,1)="r"),SUM(K52,-L52),A1)</f>
        <v>0</v>
      </c>
      <c r="N52" s="396"/>
      <c r="P52" s="44"/>
    </row>
    <row r="53" spans="2:16">
      <c r="B53" s="15">
        <v>33</v>
      </c>
      <c r="C53" s="361" t="str">
        <f>VLOOKUP( $B53, T_Aop[], 5, 1)</f>
        <v>068, dio 069</v>
      </c>
      <c r="D53" s="606" t="str">
        <f>VLOOKUP( $B53, T_Aop[], 6, 1)</f>
        <v xml:space="preserve">    5. Potraživanja po finansijskom lizingu</v>
      </c>
      <c r="E53" s="607"/>
      <c r="F53" s="607"/>
      <c r="G53" s="607"/>
      <c r="H53" s="608"/>
      <c r="I53" s="121">
        <f>VLOOKUP( $B53, T_Aop[], 4, 1)</f>
        <v>33</v>
      </c>
      <c r="J53" s="157"/>
      <c r="K53" s="238"/>
      <c r="L53" s="238"/>
      <c r="M53" s="151">
        <f>IF(AND([0]!Godina=2025,MID(Osnovni_podaci!D20,3,1)="v",Osnovni_podaci!L24=2,Osnovni_podaci!G24=1,MID(Osnovni_podaci!D20,3,1)="v",MID(Osnovni_podaci!D20,8,1)="r"),SUM(K53,-L53),A1)</f>
        <v>0</v>
      </c>
      <c r="N53" s="395"/>
      <c r="P53" s="44"/>
    </row>
    <row r="54" spans="2:16">
      <c r="B54" s="15">
        <v>34</v>
      </c>
      <c r="C54" s="362" t="str">
        <f>VLOOKUP( $B54, T_Aop[], 5, 1)</f>
        <v>07 i 08</v>
      </c>
      <c r="D54" s="609" t="str">
        <f>VLOOKUP( $B54, T_Aop[], 6, 1)</f>
        <v xml:space="preserve">  VII OSTALA DUGOROČNA SREDSTVA I RAZGRANIČENJA</v>
      </c>
      <c r="E54" s="610"/>
      <c r="F54" s="610"/>
      <c r="G54" s="610"/>
      <c r="H54" s="611"/>
      <c r="I54" s="171">
        <f>VLOOKUP( $B54, T_Aop[], 4, 1)</f>
        <v>34</v>
      </c>
      <c r="J54" s="155"/>
      <c r="K54" s="81"/>
      <c r="L54" s="81"/>
      <c r="M54" s="31">
        <f>IF(AND([0]!Godina=2025,MID(Osnovni_podaci!D20,3,1)="v",Osnovni_podaci!L24=2,Osnovni_podaci!G24=1,MID(Osnovni_podaci!D20,3,1)="v",MID(Osnovni_podaci!D20,8,1)="r"),SUM(K54,-L54),A1)</f>
        <v>0</v>
      </c>
      <c r="N54" s="397"/>
      <c r="P54" s="44"/>
    </row>
    <row r="55" spans="2:16">
      <c r="B55" s="15">
        <v>35</v>
      </c>
      <c r="C55" s="361" t="str">
        <f>VLOOKUP( $B55, T_Aop[], 5, 1)</f>
        <v>090</v>
      </c>
      <c r="D55" s="628" t="str">
        <f>VLOOKUP( $B55, T_Aop[], 6, 1)</f>
        <v xml:space="preserve">  B. ODLOŽENA PORESKA SREDSTVA</v>
      </c>
      <c r="E55" s="629"/>
      <c r="F55" s="629"/>
      <c r="G55" s="629"/>
      <c r="H55" s="630"/>
      <c r="I55" s="170">
        <f>VLOOKUP( $B55, T_Aop[], 4, 1)</f>
        <v>35</v>
      </c>
      <c r="J55" s="157"/>
      <c r="K55" s="203"/>
      <c r="L55" s="203"/>
      <c r="M55" s="32">
        <f>IF(AND([0]!Godina=2025,MID(Osnovni_podaci!D20,3,1)="v",Osnovni_podaci!L24=2,Osnovni_podaci!G24=1,MID(Osnovni_podaci!D20,3,1)="v",MID(Osnovni_podaci!D20,8,1)="r"),SUM(K55,-L55),A1)</f>
        <v>0</v>
      </c>
      <c r="N55" s="398"/>
      <c r="P55" s="44"/>
    </row>
    <row r="56" spans="2:16">
      <c r="B56" s="15">
        <v>36</v>
      </c>
      <c r="C56" s="362" t="str">
        <f>VLOOKUP( $B56, T_Aop[], 5, 1)</f>
        <v xml:space="preserve"> </v>
      </c>
      <c r="D56" s="609" t="str">
        <f>VLOOKUP( $B56, T_Aop[], 6, 1)</f>
        <v xml:space="preserve">  V. TEKUĆA SREDSTVA (037+044)</v>
      </c>
      <c r="E56" s="610"/>
      <c r="F56" s="610"/>
      <c r="G56" s="610"/>
      <c r="H56" s="611"/>
      <c r="I56" s="171">
        <f>VLOOKUP( $B56, T_Aop[], 4, 1)</f>
        <v>36</v>
      </c>
      <c r="J56" s="155"/>
      <c r="K56" s="431">
        <f>SUBTOTAL( 9, K57:K85)</f>
        <v>158386</v>
      </c>
      <c r="L56" s="431">
        <f>SUBTOTAL( 9, L57:L85)</f>
        <v>0</v>
      </c>
      <c r="M56" s="431">
        <f>IF(AND([0]!Godina=2025,MID(Osnovni_podaci!D20,3,1)="v",Osnovni_podaci!L24=2,Osnovni_podaci!G24=1,MID(Osnovni_podaci!D20,3,1)="v",MID(Osnovni_podaci!D20,8,1)="r"),SUM(K56,-L56),A1)</f>
        <v>158386</v>
      </c>
      <c r="N56" s="432">
        <f>IF(AND([0]!Godina=2025,MID(Osnovni_podaci!D20,3,1)="v",Osnovni_podaci!L24=2,Osnovni_podaci!G24=1,MID(Osnovni_podaci!D20,3,1)="v",MID(Osnovni_podaci!D20,8,1)="r"),SUBTOTAL( 9, N57:N85),A1)</f>
        <v>126007</v>
      </c>
      <c r="P56" s="44"/>
    </row>
    <row r="57" spans="2:16" ht="25.5" customHeight="1">
      <c r="B57" s="15">
        <v>37</v>
      </c>
      <c r="C57" s="361" t="str">
        <f>VLOOKUP( $B57, T_Aop[], 5, 1)</f>
        <v>10 do 15</v>
      </c>
      <c r="D57" s="628" t="str">
        <f>VLOOKUP( $B57, T_Aop[], 6, 1)</f>
        <v xml:space="preserve">  I   ZALIHE, STALNA SREDSTVA NAMIJENJENA PRODAJI I SREDSTVA POSLOVANJA KOJE SE OBUSTAVLJA (038 do 043)</v>
      </c>
      <c r="E57" s="629"/>
      <c r="F57" s="629"/>
      <c r="G57" s="629"/>
      <c r="H57" s="630"/>
      <c r="I57" s="170">
        <f>VLOOKUP( $B57, T_Aop[], 4, 1)</f>
        <v>37</v>
      </c>
      <c r="J57" s="157"/>
      <c r="K57" s="394">
        <f>SUBTOTAL(9,K58:K63)</f>
        <v>13950</v>
      </c>
      <c r="L57" s="393">
        <f>SUBTOTAL(9,L58:L63)</f>
        <v>0</v>
      </c>
      <c r="M57" s="32">
        <f>IF(AND([0]!Godina=2025,MID(Osnovni_podaci!D20,3,1)="v",Osnovni_podaci!L24=2,Osnovni_podaci!G24=1,MID(Osnovni_podaci!D20,3,1)="v",MID(Osnovni_podaci!D20,8,1)="r"),SUM(K57,-L57),A1)</f>
        <v>13950</v>
      </c>
      <c r="N57" s="390">
        <f>IF(AND([0]!Godina=2025,MID(Osnovni_podaci!D20,3,1)="v",Osnovni_podaci!L24=2,Osnovni_podaci!G24=1,MID(Osnovni_podaci!D20,3,1)="v",MID(Osnovni_podaci!D20,8,1)="r"),SUBTOTAL(9,N58:N63),A1)</f>
        <v>13950</v>
      </c>
      <c r="P57" s="44"/>
    </row>
    <row r="58" spans="2:16">
      <c r="B58" s="15">
        <v>38</v>
      </c>
      <c r="C58" s="362" t="str">
        <f>VLOOKUP( $B58, T_Aop[], 5, 1)</f>
        <v>100 do 109</v>
      </c>
      <c r="D58" s="603" t="str">
        <f>VLOOKUP( $B58, T_Aop[], 6, 1)</f>
        <v xml:space="preserve">    1. Zalihe materijala</v>
      </c>
      <c r="E58" s="604"/>
      <c r="F58" s="604"/>
      <c r="G58" s="604"/>
      <c r="H58" s="605"/>
      <c r="I58" s="122">
        <f>VLOOKUP( $B58, T_Aop[], 4, 1)</f>
        <v>38</v>
      </c>
      <c r="J58" s="155"/>
      <c r="K58" s="155"/>
      <c r="L58" s="155"/>
      <c r="M58" s="152">
        <f>IF(AND([0]!Godina=2025,MID(Osnovni_podaci!D20,3,1)="v",Osnovni_podaci!L24=2,Osnovni_podaci!G24=1,MID(Osnovni_podaci!D20,3,1)="v",MID(Osnovni_podaci!D20,8,1)="r"),SUM(K58,-L58),A1)</f>
        <v>0</v>
      </c>
      <c r="N58" s="396"/>
      <c r="P58" s="44"/>
    </row>
    <row r="59" spans="2:16">
      <c r="B59" s="15">
        <v>39</v>
      </c>
      <c r="C59" s="361" t="str">
        <f>VLOOKUP( $B59, T_Aop[], 5, 1)</f>
        <v>110 do 119</v>
      </c>
      <c r="D59" s="606" t="str">
        <f>VLOOKUP( $B59, T_Aop[], 6, 1)</f>
        <v xml:space="preserve">    2. Zalihe nedovršene proizvodnje, poluproizvoda i nedovršenih usluga</v>
      </c>
      <c r="E59" s="607"/>
      <c r="F59" s="607"/>
      <c r="G59" s="607"/>
      <c r="H59" s="608"/>
      <c r="I59" s="121">
        <f>VLOOKUP( $B59, T_Aop[], 4, 1)</f>
        <v>39</v>
      </c>
      <c r="J59" s="157"/>
      <c r="K59" s="157"/>
      <c r="L59" s="157"/>
      <c r="M59" s="151">
        <f>IF(AND([0]!Godina=2025,MID(Osnovni_podaci!D20,3,1)="v",Osnovni_podaci!L24=2,Osnovni_podaci!G24=1,MID(Osnovni_podaci!D20,3,1)="v",MID(Osnovni_podaci!D20,8,1)="r"),SUM(K59,-L59),A1)</f>
        <v>0</v>
      </c>
      <c r="N59" s="395"/>
      <c r="P59" s="44"/>
    </row>
    <row r="60" spans="2:16">
      <c r="B60" s="15">
        <v>40</v>
      </c>
      <c r="C60" s="362" t="str">
        <f>VLOOKUP( $B60, T_Aop[], 5, 1)</f>
        <v>120 do 129</v>
      </c>
      <c r="D60" s="603" t="str">
        <f>VLOOKUP( $B60, T_Aop[], 6, 1)</f>
        <v xml:space="preserve">    3. Zalihe gotovih proizvoda</v>
      </c>
      <c r="E60" s="604"/>
      <c r="F60" s="604"/>
      <c r="G60" s="604"/>
      <c r="H60" s="605"/>
      <c r="I60" s="122">
        <f>VLOOKUP( $B60, T_Aop[], 4, 1)</f>
        <v>40</v>
      </c>
      <c r="J60" s="155"/>
      <c r="K60" s="155">
        <v>13950</v>
      </c>
      <c r="L60" s="155"/>
      <c r="M60" s="152">
        <f>IF(AND([0]!Godina=2025,MID(Osnovni_podaci!D20,3,1)="v",Osnovni_podaci!L24=2,Osnovni_podaci!G24=1,MID(Osnovni_podaci!D20,3,1)="v",MID(Osnovni_podaci!D20,8,1)="r"),SUM(K60,-L60),A1)</f>
        <v>13950</v>
      </c>
      <c r="N60" s="396">
        <v>13950</v>
      </c>
      <c r="P60" s="44"/>
    </row>
    <row r="61" spans="2:16" s="27" customFormat="1">
      <c r="B61" s="15">
        <v>41</v>
      </c>
      <c r="C61" s="361" t="str">
        <f>VLOOKUP( $B61, T_Aop[], 5, 1)</f>
        <v>130 do 139</v>
      </c>
      <c r="D61" s="606" t="str">
        <f>VLOOKUP( $B61, T_Aop[], 6, 1)</f>
        <v xml:space="preserve">    4. Zalihe robe</v>
      </c>
      <c r="E61" s="607"/>
      <c r="F61" s="607"/>
      <c r="G61" s="607"/>
      <c r="H61" s="608"/>
      <c r="I61" s="121">
        <f>VLOOKUP( $B61, T_Aop[], 4, 1)</f>
        <v>41</v>
      </c>
      <c r="J61" s="157"/>
      <c r="K61" s="157"/>
      <c r="L61" s="157"/>
      <c r="M61" s="151">
        <f>IF(AND([0]!Godina=2025,MID(Osnovni_podaci!D20,3,1)="v",Osnovni_podaci!L24=2,Osnovni_podaci!G24=1,MID(Osnovni_podaci!D20,3,1)="v",MID(Osnovni_podaci!D20,8,1)="r"),SUM(K61,-L61),A1)</f>
        <v>0</v>
      </c>
      <c r="N61" s="395"/>
      <c r="P61" s="174"/>
    </row>
    <row r="62" spans="2:16">
      <c r="B62" s="15">
        <v>42</v>
      </c>
      <c r="C62" s="362" t="str">
        <f>VLOOKUP( $B62, T_Aop[], 5, 1)</f>
        <v>140 do 149</v>
      </c>
      <c r="D62" s="603" t="str">
        <f>VLOOKUP( $B62, T_Aop[], 6, 1)</f>
        <v xml:space="preserve">    5. Stalna sredstva namijenjena prodaji i sredstva poslovanja koje se obustavlja</v>
      </c>
      <c r="E62" s="604"/>
      <c r="F62" s="604"/>
      <c r="G62" s="604"/>
      <c r="H62" s="605"/>
      <c r="I62" s="122">
        <f>VLOOKUP( $B62, T_Aop[], 4, 1)</f>
        <v>42</v>
      </c>
      <c r="J62" s="155"/>
      <c r="K62" s="155"/>
      <c r="L62" s="155"/>
      <c r="M62" s="152">
        <f>IF(AND([0]!Godina=2025,MID(Osnovni_podaci!D20,3,1)="v",Osnovni_podaci!L24=2,Osnovni_podaci!G24=1,MID(Osnovni_podaci!D20,3,1)="v",MID(Osnovni_podaci!D20,8,1)="r"),SUM(K62,-L62),A1)</f>
        <v>0</v>
      </c>
      <c r="N62" s="396"/>
      <c r="P62" s="44"/>
    </row>
    <row r="63" spans="2:16">
      <c r="B63" s="15">
        <v>43</v>
      </c>
      <c r="C63" s="361" t="str">
        <f>VLOOKUP( $B63, T_Aop[], 5, 1)</f>
        <v>150 do 159</v>
      </c>
      <c r="D63" s="606" t="str">
        <f>VLOOKUP( $B63, T_Aop[], 6, 1)</f>
        <v xml:space="preserve">    6. Dati avansi</v>
      </c>
      <c r="E63" s="607"/>
      <c r="F63" s="607"/>
      <c r="G63" s="607"/>
      <c r="H63" s="608"/>
      <c r="I63" s="121">
        <f>VLOOKUP( $B63, T_Aop[], 4, 1)</f>
        <v>43</v>
      </c>
      <c r="J63" s="157"/>
      <c r="K63" s="157"/>
      <c r="L63" s="157"/>
      <c r="M63" s="151">
        <f>IF(AND([0]!Godina=2025,MID(Osnovni_podaci!D20,3,1)="v",Osnovni_podaci!L24=2,Osnovni_podaci!G24=1,MID(Osnovni_podaci!D20,3,1)="v",MID(Osnovni_podaci!D20,8,1)="r"),SUM(K63,-L63),A1)</f>
        <v>0</v>
      </c>
      <c r="N63" s="395"/>
      <c r="P63" s="44"/>
    </row>
    <row r="64" spans="2:16" ht="23.65" customHeight="1">
      <c r="B64" s="15">
        <v>44</v>
      </c>
      <c r="C64" s="362" t="str">
        <f>VLOOKUP( $B64, T_Aop[], 5, 1)</f>
        <v xml:space="preserve"> </v>
      </c>
      <c r="D64" s="609" t="str">
        <f>VLOOKUP( $B64, T_Aop[], 6, 1)</f>
        <v xml:space="preserve">  II  KRATKOROČNA SREDSTVA IZUZEV ZALIHA I STALNIH SREDSTAVA NAMIJENJENIH PRODAJI (045+052+061+064+065)</v>
      </c>
      <c r="E64" s="610"/>
      <c r="F64" s="610"/>
      <c r="G64" s="610"/>
      <c r="H64" s="611"/>
      <c r="I64" s="171">
        <f>VLOOKUP( $B64, T_Aop[], 4, 1)</f>
        <v>44</v>
      </c>
      <c r="J64" s="155"/>
      <c r="K64" s="431">
        <f>SUBTOTAL(9,K65:K85)</f>
        <v>144436</v>
      </c>
      <c r="L64" s="431">
        <f>SUBTOTAL(9,L65:L85)</f>
        <v>0</v>
      </c>
      <c r="M64" s="431">
        <f>IF(AND([0]!Godina=2025,MID(Osnovni_podaci!D20,3,1)="v",Osnovni_podaci!L24=2,Osnovni_podaci!G24=1,MID(Osnovni_podaci!D20,3,1)="v",MID(Osnovni_podaci!D20,8,1)="r"),SUM(K64,-L64),A1)</f>
        <v>144436</v>
      </c>
      <c r="N64" s="432">
        <f>IF(AND([0]!Godina=2025,MID(Osnovni_podaci!D20,3,1)="v",Osnovni_podaci!L24=2,Osnovni_podaci!G24=1,MID(Osnovni_podaci!D20,3,1)="v",MID(Osnovni_podaci!D20,8,1)="r"),SUBTOTAL(9,N65:N85),A1)</f>
        <v>112057</v>
      </c>
      <c r="P64" s="44"/>
    </row>
    <row r="65" spans="2:16">
      <c r="B65" s="15">
        <v>45</v>
      </c>
      <c r="C65" s="361" t="str">
        <f>VLOOKUP( $B65, T_Aop[], 5, 1)</f>
        <v xml:space="preserve"> </v>
      </c>
      <c r="D65" s="606" t="str">
        <f>VLOOKUP( $B65, T_Aop[], 6, 1)</f>
        <v xml:space="preserve">    1. Kratkoročna potraživanja (046 do 051)</v>
      </c>
      <c r="E65" s="607"/>
      <c r="F65" s="607"/>
      <c r="G65" s="607"/>
      <c r="H65" s="608"/>
      <c r="I65" s="121">
        <f>VLOOKUP( $B65, T_Aop[], 4, 1)</f>
        <v>45</v>
      </c>
      <c r="J65" s="157"/>
      <c r="K65" s="394">
        <f t="shared" ref="K65:L65" si="0">SUBTOTAL(9,K66:K71)</f>
        <v>129710</v>
      </c>
      <c r="L65" s="394">
        <f t="shared" si="0"/>
        <v>0</v>
      </c>
      <c r="M65" s="394">
        <f>IF(AND([0]!Godina=2025,MID(Osnovni_podaci!D20,3,1)="v",Osnovni_podaci!L24=2,Osnovni_podaci!G24=1,MID(Osnovni_podaci!D20,3,1)="v",MID(Osnovni_podaci!D20,8,1)="r"),SUM(K65,-L65),A1)</f>
        <v>129710</v>
      </c>
      <c r="N65" s="390">
        <f>IF(AND([0]!Godina=2025,MID(Osnovni_podaci!D20,3,1)="v",Osnovni_podaci!L24=2,Osnovni_podaci!G24=1,MID(Osnovni_podaci!D20,3,1)="v",MID(Osnovni_podaci!D20,8,1)="r"),SUBTOTAL(9,N66:N71),A1)</f>
        <v>101587</v>
      </c>
      <c r="P65" s="44"/>
    </row>
    <row r="66" spans="2:16">
      <c r="B66" s="15">
        <v>46</v>
      </c>
      <c r="C66" s="362" t="str">
        <f>VLOOKUP( $B66, T_Aop[], 5, 1)</f>
        <v>200, dio 209</v>
      </c>
      <c r="D66" s="603" t="str">
        <f>VLOOKUP( $B66, T_Aop[], 6, 1)</f>
        <v xml:space="preserve">      1.1. Kupci - povezana pravna lica</v>
      </c>
      <c r="E66" s="604"/>
      <c r="F66" s="604"/>
      <c r="G66" s="604"/>
      <c r="H66" s="605"/>
      <c r="I66" s="122">
        <f>VLOOKUP( $B66, T_Aop[], 4, 1)</f>
        <v>46</v>
      </c>
      <c r="J66" s="155"/>
      <c r="K66" s="155">
        <v>7020</v>
      </c>
      <c r="L66" s="155"/>
      <c r="M66" s="152">
        <f>IF(AND([0]!Godina=2025,MID(Osnovni_podaci!D20,3,1)="v",Osnovni_podaci!L24=2,Osnovni_podaci!G24=1,MID(Osnovni_podaci!D20,3,1)="v",MID(Osnovni_podaci!D20,8,1)="r"),SUM(K66,-L66),A1)</f>
        <v>7020</v>
      </c>
      <c r="N66" s="396">
        <v>50602</v>
      </c>
      <c r="P66" s="44"/>
    </row>
    <row r="67" spans="2:16">
      <c r="B67" s="15">
        <v>47</v>
      </c>
      <c r="C67" s="361" t="str">
        <f>VLOOKUP( $B67, T_Aop[], 5, 1)</f>
        <v>201, 202, 203, dio 209</v>
      </c>
      <c r="D67" s="606" t="str">
        <f>VLOOKUP( $B67, T_Aop[], 6, 1)</f>
        <v xml:space="preserve">      1.2. Kupci u zemlji</v>
      </c>
      <c r="E67" s="607"/>
      <c r="F67" s="607"/>
      <c r="G67" s="607"/>
      <c r="H67" s="608"/>
      <c r="I67" s="121">
        <f>VLOOKUP( $B67, T_Aop[], 4, 1)</f>
        <v>47</v>
      </c>
      <c r="J67" s="157"/>
      <c r="K67" s="157">
        <v>91115</v>
      </c>
      <c r="L67" s="157"/>
      <c r="M67" s="151">
        <f>IF(AND([0]!Godina=2025,MID(Osnovni_podaci!D20,3,1)="v",Osnovni_podaci!L24=2,Osnovni_podaci!G24=1,MID(Osnovni_podaci!D20,3,1)="v",MID(Osnovni_podaci!D20,8,1)="r"),SUM(K67,-L67),A1)</f>
        <v>91115</v>
      </c>
      <c r="N67" s="395">
        <v>50638</v>
      </c>
      <c r="P67" s="44"/>
    </row>
    <row r="68" spans="2:16">
      <c r="B68" s="15">
        <v>48</v>
      </c>
      <c r="C68" s="362" t="str">
        <f>VLOOKUP( $B68, T_Aop[], 5, 1)</f>
        <v>204, dio 209</v>
      </c>
      <c r="D68" s="603" t="str">
        <f>VLOOKUP( $B68, T_Aop[], 6, 1)</f>
        <v xml:space="preserve">      1.3. Kupci iz inostranstva</v>
      </c>
      <c r="E68" s="604"/>
      <c r="F68" s="604"/>
      <c r="G68" s="604"/>
      <c r="H68" s="605"/>
      <c r="I68" s="122">
        <f>VLOOKUP( $B68, T_Aop[], 4, 1)</f>
        <v>48</v>
      </c>
      <c r="J68" s="155"/>
      <c r="K68" s="155"/>
      <c r="L68" s="155"/>
      <c r="M68" s="152">
        <f>IF(AND([0]!Godina=2025,MID(Osnovni_podaci!D20,3,1)="v",Osnovni_podaci!L24=2,Osnovni_podaci!G24=1,MID(Osnovni_podaci!D20,3,1)="v",MID(Osnovni_podaci!D20,8,1)="r"),SUM(K68,-L68),A1)</f>
        <v>0</v>
      </c>
      <c r="N68" s="396"/>
      <c r="P68" s="44"/>
    </row>
    <row r="69" spans="2:16">
      <c r="B69" s="15">
        <v>49</v>
      </c>
      <c r="C69" s="361" t="str">
        <f>VLOOKUP( $B69, T_Aop[], 5, 1)</f>
        <v>grupa 21, osim 214</v>
      </c>
      <c r="D69" s="606" t="str">
        <f>VLOOKUP( $B69, T_Aop[], 6, 1)</f>
        <v xml:space="preserve">      1.4.Potraživanja iz specifičnih poslova</v>
      </c>
      <c r="E69" s="607"/>
      <c r="F69" s="607"/>
      <c r="G69" s="607"/>
      <c r="H69" s="608"/>
      <c r="I69" s="121">
        <f>VLOOKUP( $B69, T_Aop[], 4, 1)</f>
        <v>49</v>
      </c>
      <c r="J69" s="157"/>
      <c r="K69" s="157"/>
      <c r="L69" s="157"/>
      <c r="M69" s="151">
        <f>IF(AND([0]!Godina=2025,MID(Osnovni_podaci!D20,3,1)="v",Osnovni_podaci!L24=2,Osnovni_podaci!G24=1,MID(Osnovni_podaci!D20,3,1)="v",MID(Osnovni_podaci!D20,8,1)="r"),SUM(K69,-L69),A1)</f>
        <v>0</v>
      </c>
      <c r="N69" s="395"/>
      <c r="P69" s="44"/>
    </row>
    <row r="70" spans="2:16">
      <c r="B70" s="15">
        <v>50</v>
      </c>
      <c r="C70" s="362" t="str">
        <f>VLOOKUP( $B70, T_Aop[], 5, 1)</f>
        <v>grupa 22, osim 224</v>
      </c>
      <c r="D70" s="603" t="str">
        <f>VLOOKUP( $B70, T_Aop[], 6, 1)</f>
        <v xml:space="preserve">      1.5. Ostala kratkoročna potraživanja</v>
      </c>
      <c r="E70" s="604"/>
      <c r="F70" s="604"/>
      <c r="G70" s="604"/>
      <c r="H70" s="605"/>
      <c r="I70" s="122">
        <f>VLOOKUP( $B70, T_Aop[], 4, 1)</f>
        <v>50</v>
      </c>
      <c r="J70" s="155"/>
      <c r="K70" s="155">
        <v>31575</v>
      </c>
      <c r="L70" s="155"/>
      <c r="M70" s="152">
        <f>IF(AND([0]!Godina=2025,MID(Osnovni_podaci!D20,3,1)="v",Osnovni_podaci!L24=2,Osnovni_podaci!G24=1,MID(Osnovni_podaci!D20,3,1)="v",MID(Osnovni_podaci!D20,8,1)="r"),SUM(K70,-L70),A1)</f>
        <v>31575</v>
      </c>
      <c r="N70" s="396">
        <v>347</v>
      </c>
      <c r="P70" s="44"/>
    </row>
    <row r="71" spans="2:16">
      <c r="B71" s="15">
        <v>51</v>
      </c>
      <c r="C71" s="361">
        <f>VLOOKUP( $B71, T_Aop[], 5, 1)</f>
        <v>224</v>
      </c>
      <c r="D71" s="606" t="str">
        <f>VLOOKUP( $B71, T_Aop[], 6, 1)</f>
        <v xml:space="preserve">      1.6. Potraživanja za više plaćen porez na dobit</v>
      </c>
      <c r="E71" s="607"/>
      <c r="F71" s="607"/>
      <c r="G71" s="607"/>
      <c r="H71" s="608"/>
      <c r="I71" s="121">
        <f>VLOOKUP( $B71, T_Aop[], 4, 1)</f>
        <v>51</v>
      </c>
      <c r="J71" s="157"/>
      <c r="K71" s="157"/>
      <c r="L71" s="157"/>
      <c r="M71" s="151">
        <f>IF(AND([0]!Godina=2025,MID(Osnovni_podaci!D20,3,1)="v",Osnovni_podaci!L24=2,Osnovni_podaci!G24=1,MID(Osnovni_podaci!D20,3,1)="v",MID(Osnovni_podaci!D20,8,1)="r"),SUM(K71,-L71),A1)</f>
        <v>0</v>
      </c>
      <c r="N71" s="395"/>
      <c r="P71" s="44"/>
    </row>
    <row r="72" spans="2:16">
      <c r="B72" s="15">
        <v>52</v>
      </c>
      <c r="C72" s="362" t="str">
        <f>VLOOKUP( $B72, T_Aop[], 5, 1)</f>
        <v xml:space="preserve"> </v>
      </c>
      <c r="D72" s="603" t="str">
        <f>VLOOKUP( $B72, T_Aop[], 6, 1)</f>
        <v xml:space="preserve">    2. Kratkoročni finansijski plasmani ( 053 + 058 + 059 + 060)</v>
      </c>
      <c r="E72" s="604"/>
      <c r="F72" s="604"/>
      <c r="G72" s="604"/>
      <c r="H72" s="605"/>
      <c r="I72" s="122">
        <f>VLOOKUP( $B72, T_Aop[], 4, 1)</f>
        <v>52</v>
      </c>
      <c r="J72" s="155"/>
      <c r="K72" s="389">
        <f>IF(AND([0]!Godina=2025,MID(Osnovni_podaci!D20,3,1)="v",Osnovni_podaci!L24=2,Osnovni_podaci!G24=1,MID(Osnovni_podaci!D20,3,1)="v",MID(Osnovni_podaci!D20,8,1)="r"),SUBTOTAL(9,K73:K80),A1)</f>
        <v>0</v>
      </c>
      <c r="L72" s="389">
        <f>SUBTOTAL(9,L73:L80)</f>
        <v>0</v>
      </c>
      <c r="M72" s="389">
        <f>IF(AND([0]!Godina=2025,MID(Osnovni_podaci!D20,3,1)="v",Osnovni_podaci!L24=2,Osnovni_podaci!G24=1,MID(Osnovni_podaci!D20,3,1)="v",MID(Osnovni_podaci!D20,8,1)="r"),SUM(K72,-L72),A1)</f>
        <v>0</v>
      </c>
      <c r="N72" s="399">
        <f>IF(AND([0]!Godina=2025,MID(Osnovni_podaci!D20,3,1)="v",Osnovni_podaci!L24=2,Osnovni_podaci!G24=1,MID(Osnovni_podaci!D20,3,1)="v",MID(Osnovni_podaci!D20,8,1)="r"),SUBTOTAL(9,N73:N80),A1)</f>
        <v>0</v>
      </c>
      <c r="P72" s="44"/>
    </row>
    <row r="73" spans="2:16">
      <c r="B73" s="15">
        <v>53</v>
      </c>
      <c r="C73" s="361" t="str">
        <f>VLOOKUP( $B73, T_Aop[], 5, 1)</f>
        <v xml:space="preserve"> </v>
      </c>
      <c r="D73" s="606" t="str">
        <f>VLOOKUP( $B73, T_Aop[], 6, 1)</f>
        <v xml:space="preserve">      2.1. Finansijska sredstva po amortizovanoj vrijednosti (054 do 057)</v>
      </c>
      <c r="E73" s="607"/>
      <c r="F73" s="607"/>
      <c r="G73" s="607"/>
      <c r="H73" s="608"/>
      <c r="I73" s="121">
        <f>VLOOKUP( $B73, T_Aop[], 4, 1)</f>
        <v>53</v>
      </c>
      <c r="J73" s="157"/>
      <c r="K73" s="32">
        <f>IF(AND([0]!Godina=2025,MID(Osnovni_podaci!D20,3,1)="v",Osnovni_podaci!L24=2,Osnovni_podaci!G24=1,MID(Osnovni_podaci!D20,3,1)="v",MID(Osnovni_podaci!D20,8,1)="r"),SUBTOTAL(9,K74:K77),A1)</f>
        <v>0</v>
      </c>
      <c r="L73" s="32">
        <f>SUBTOTAL(9,L74:L77)</f>
        <v>0</v>
      </c>
      <c r="M73" s="394">
        <f>IF(AND([0]!Godina=2025,MID(Osnovni_podaci!D20,3,1)="v",Osnovni_podaci!L24=2,Osnovni_podaci!G24=1,MID(Osnovni_podaci!D20,3,1)="v",MID(Osnovni_podaci!D20,8,1)="r"),SUM(K73,-L73),A1)</f>
        <v>0</v>
      </c>
      <c r="N73" s="400">
        <f>IF(AND([0]!Godina=2025,MID(Osnovni_podaci!D20,3,1)="v",Osnovni_podaci!L24=2,Osnovni_podaci!G24=1,MID(Osnovni_podaci!D20,3,1)="v",MID(Osnovni_podaci!D20,8,1)="r"),SUBTOTAL(9,N74:N77),A1)</f>
        <v>0</v>
      </c>
      <c r="P73" s="44"/>
    </row>
    <row r="74" spans="2:16">
      <c r="B74" s="15">
        <v>54</v>
      </c>
      <c r="C74" s="362" t="str">
        <f>VLOOKUP( $B74, T_Aop[], 5, 1)</f>
        <v>230, dio 238</v>
      </c>
      <c r="D74" s="603" t="str">
        <f>VLOOKUP( $B74, T_Aop[], 6, 1)</f>
        <v xml:space="preserve">        a) Kratkoročni krediti povezanim pravnim licima</v>
      </c>
      <c r="E74" s="604"/>
      <c r="F74" s="604"/>
      <c r="G74" s="604"/>
      <c r="H74" s="605"/>
      <c r="I74" s="122">
        <f>VLOOKUP( $B74, T_Aop[], 4, 1)</f>
        <v>54</v>
      </c>
      <c r="J74" s="155"/>
      <c r="K74" s="155"/>
      <c r="L74" s="155"/>
      <c r="M74" s="152">
        <f>IF(AND([0]!Godina=2025,MID(Osnovni_podaci!D20,3,1)="v",Osnovni_podaci!L24=2,Osnovni_podaci!G24=1,MID(Osnovni_podaci!D20,3,1)="v",MID(Osnovni_podaci!D20,8,1)="r"),SUM(K74,-L74),A1)</f>
        <v>0</v>
      </c>
      <c r="N74" s="396"/>
      <c r="P74" s="44"/>
    </row>
    <row r="75" spans="2:16">
      <c r="B75" s="15">
        <v>55</v>
      </c>
      <c r="C75" s="361" t="str">
        <f>VLOOKUP( $B75, T_Aop[], 5, 1)</f>
        <v>231, dio 238</v>
      </c>
      <c r="D75" s="606" t="str">
        <f>VLOOKUP( $B75, T_Aop[], 6, 1)</f>
        <v xml:space="preserve">        b) Kratkoročni krediti u zemlji</v>
      </c>
      <c r="E75" s="607"/>
      <c r="F75" s="607"/>
      <c r="G75" s="607"/>
      <c r="H75" s="608"/>
      <c r="I75" s="121">
        <f>VLOOKUP( $B75, T_Aop[], 4, 1)</f>
        <v>55</v>
      </c>
      <c r="J75" s="157"/>
      <c r="K75" s="157"/>
      <c r="L75" s="157"/>
      <c r="M75" s="151">
        <f>IF(AND([0]!Godina=2025,MID(Osnovni_podaci!D20,3,1)="v",Osnovni_podaci!L24=2,Osnovni_podaci!G24=1,MID(Osnovni_podaci!D20,3,1)="v",MID(Osnovni_podaci!D20,8,1)="r"),SUM(K75,-L75),A1)</f>
        <v>0</v>
      </c>
      <c r="N75" s="395"/>
      <c r="P75" s="44"/>
    </row>
    <row r="76" spans="2:16">
      <c r="B76" s="15">
        <v>56</v>
      </c>
      <c r="C76" s="362" t="str">
        <f>VLOOKUP( $B76, T_Aop[], 5, 1)</f>
        <v>232, dio 238</v>
      </c>
      <c r="D76" s="603" t="str">
        <f>VLOOKUP( $B76, T_Aop[], 6, 1)</f>
        <v xml:space="preserve">        c) Kratkoročni krediti u inostranstvu</v>
      </c>
      <c r="E76" s="604"/>
      <c r="F76" s="604"/>
      <c r="G76" s="604"/>
      <c r="H76" s="605"/>
      <c r="I76" s="122">
        <f>VLOOKUP( $B76, T_Aop[], 4, 1)</f>
        <v>56</v>
      </c>
      <c r="J76" s="155"/>
      <c r="K76" s="155"/>
      <c r="L76" s="155"/>
      <c r="M76" s="152">
        <f>IF(AND([0]!Godina=2025,MID(Osnovni_podaci!D20,3,1)="v",Osnovni_podaci!L24=2,Osnovni_podaci!G24=1,MID(Osnovni_podaci!D20,3,1)="v",MID(Osnovni_podaci!D20,8,1)="r"),SUM(K76,-L76),A1)</f>
        <v>0</v>
      </c>
      <c r="N76" s="396"/>
      <c r="P76" s="44"/>
    </row>
    <row r="77" spans="2:16">
      <c r="B77" s="15">
        <v>57</v>
      </c>
      <c r="C77" s="361" t="str">
        <f>VLOOKUP( $B77, T_Aop[], 5, 1)</f>
        <v>233, dio 238</v>
      </c>
      <c r="D77" s="606" t="str">
        <f>VLOOKUP( $B77, T_Aop[], 6, 1)</f>
        <v xml:space="preserve">        d) Ostala finansijska sredstva po amortizovanoj vrijednosti</v>
      </c>
      <c r="E77" s="607"/>
      <c r="F77" s="607"/>
      <c r="G77" s="607"/>
      <c r="H77" s="608"/>
      <c r="I77" s="121">
        <f>VLOOKUP( $B77, T_Aop[], 4, 1)</f>
        <v>57</v>
      </c>
      <c r="J77" s="157"/>
      <c r="K77" s="157"/>
      <c r="L77" s="157"/>
      <c r="M77" s="151">
        <f>IF(AND([0]!Godina=2025,MID(Osnovni_podaci!D20,3,1)="v",Osnovni_podaci!L24=2,Osnovni_podaci!G24=1,MID(Osnovni_podaci!D20,3,1)="v",MID(Osnovni_podaci!D20,8,1)="r"),SUM(K77,-L77),A1)</f>
        <v>0</v>
      </c>
      <c r="N77" s="395"/>
      <c r="P77" s="44"/>
    </row>
    <row r="78" spans="2:16">
      <c r="B78" s="15">
        <v>58</v>
      </c>
      <c r="C78" s="362" t="str">
        <f>VLOOKUP( $B78, T_Aop[], 5, 1)</f>
        <v>235 i 236</v>
      </c>
      <c r="D78" s="603" t="str">
        <f>VLOOKUP( $B78, T_Aop[], 6, 1)</f>
        <v xml:space="preserve">      2.2. Finansijska sredstva po fer vrijednosti kroz bilans uspjeha</v>
      </c>
      <c r="E78" s="604"/>
      <c r="F78" s="604"/>
      <c r="G78" s="604"/>
      <c r="H78" s="605"/>
      <c r="I78" s="122">
        <f>VLOOKUP( $B78, T_Aop[], 4, 1)</f>
        <v>58</v>
      </c>
      <c r="J78" s="155"/>
      <c r="K78" s="155"/>
      <c r="L78" s="155"/>
      <c r="M78" s="152">
        <f>IF(AND([0]!Godina=2025,MID(Osnovni_podaci!D20,3,1)="v",Osnovni_podaci!L24=2,Osnovni_podaci!G24=1,MID(Osnovni_podaci!D20,3,1)="v",MID(Osnovni_podaci!D20,8,1)="r"),SUM(K78,-L78),A1)</f>
        <v>0</v>
      </c>
      <c r="N78" s="396"/>
      <c r="P78" s="44"/>
    </row>
    <row r="79" spans="2:16">
      <c r="B79" s="15">
        <v>59</v>
      </c>
      <c r="C79" s="361" t="str">
        <f>VLOOKUP( $B79, T_Aop[], 5, 1)</f>
        <v>234, 239</v>
      </c>
      <c r="D79" s="606" t="str">
        <f>VLOOKUP( $B79, T_Aop[], 6, 1)</f>
        <v xml:space="preserve">      2.3. Potraživanje po finansijskom lizingu</v>
      </c>
      <c r="E79" s="607"/>
      <c r="F79" s="607"/>
      <c r="G79" s="607"/>
      <c r="H79" s="608"/>
      <c r="I79" s="121">
        <f>VLOOKUP( $B79, T_Aop[], 4, 1)</f>
        <v>59</v>
      </c>
      <c r="J79" s="157"/>
      <c r="K79" s="157"/>
      <c r="L79" s="157"/>
      <c r="M79" s="151">
        <f>IF(AND([0]!Godina=2025,MID(Osnovni_podaci!D20,3,1)="v",Osnovni_podaci!L24=2,Osnovni_podaci!G24=1,MID(Osnovni_podaci!D20,3,1)="v",MID(Osnovni_podaci!D20,8,1)="r"),SUM(K79,-L79),A1)</f>
        <v>0</v>
      </c>
      <c r="N79" s="395"/>
      <c r="P79" s="44"/>
    </row>
    <row r="80" spans="2:16">
      <c r="B80" s="15">
        <v>60</v>
      </c>
      <c r="C80" s="362">
        <f>VLOOKUP( $B80, T_Aop[], 5, 1)</f>
        <v>214</v>
      </c>
      <c r="D80" s="603" t="str">
        <f>VLOOKUP( $B80, T_Aop[], 6, 1)</f>
        <v xml:space="preserve">      2.4. Derivatna finansijska sredstva</v>
      </c>
      <c r="E80" s="604"/>
      <c r="F80" s="604"/>
      <c r="G80" s="604"/>
      <c r="H80" s="605"/>
      <c r="I80" s="122">
        <f>VLOOKUP( $B80, T_Aop[], 4, 1)</f>
        <v>60</v>
      </c>
      <c r="J80" s="155"/>
      <c r="K80" s="155"/>
      <c r="L80" s="155"/>
      <c r="M80" s="152">
        <f>IF(AND([0]!Godina=2025,MID(Osnovni_podaci!D20,3,1)="v",Osnovni_podaci!L24=2,Osnovni_podaci!G24=1,MID(Osnovni_podaci!D20,3,1)="v",MID(Osnovni_podaci!D20,8,1)="r"),SUM(K80,-L80),A1)</f>
        <v>0</v>
      </c>
      <c r="N80" s="396"/>
      <c r="P80" s="44"/>
    </row>
    <row r="81" spans="2:16">
      <c r="B81" s="15">
        <v>61</v>
      </c>
      <c r="C81" s="361">
        <f>VLOOKUP( $B81, T_Aop[], 5, 1)</f>
        <v>24</v>
      </c>
      <c r="D81" s="606" t="str">
        <f>VLOOKUP( $B81, T_Aop[], 6, 1)</f>
        <v xml:space="preserve">    3. Gotovinski ekvivalenti i gotovina (062 + 063)</v>
      </c>
      <c r="E81" s="607"/>
      <c r="F81" s="607"/>
      <c r="G81" s="607"/>
      <c r="H81" s="608"/>
      <c r="I81" s="121">
        <f>VLOOKUP( $B81, T_Aop[], 4, 1)</f>
        <v>61</v>
      </c>
      <c r="J81" s="157"/>
      <c r="K81" s="32">
        <f>IF(AND([0]!Godina=2025,MID(Osnovni_podaci!D20,3,1)="v",Osnovni_podaci!L24=2,Osnovni_podaci!G24=1,MID(Osnovni_podaci!D20,3,1)="v",MID(Osnovni_podaci!D20,8,1)="r"),SUBTOTAL(9,K82:K83),A1)</f>
        <v>14726</v>
      </c>
      <c r="L81" s="32">
        <f>IF(AND([0]!Godina=2025,MID(Osnovni_podaci!D20,3,1)="v",Osnovni_podaci!L24=2,Osnovni_podaci!G24=1,MID(Osnovni_podaci!D20,3,1)="v",MID(Osnovni_podaci!D20,8,1)="r"),SUBTOTAL(9,L82:L83),A1)</f>
        <v>0</v>
      </c>
      <c r="M81" s="32">
        <f t="shared" ref="M81:M86" si="1">SUM(K81,-L81)</f>
        <v>14726</v>
      </c>
      <c r="N81" s="400">
        <f>SUBTOTAL(9,N82:N83)</f>
        <v>10470</v>
      </c>
      <c r="P81" s="44"/>
    </row>
    <row r="82" spans="2:16">
      <c r="B82" s="15">
        <v>62</v>
      </c>
      <c r="C82" s="362" t="str">
        <f>VLOOKUP( $B82, T_Aop[], 5, 1)</f>
        <v>240, dio 249</v>
      </c>
      <c r="D82" s="603" t="str">
        <f>VLOOKUP( $B82, T_Aop[], 6, 1)</f>
        <v xml:space="preserve">      3.1. Gotovinski ekvivalenti </v>
      </c>
      <c r="E82" s="604"/>
      <c r="F82" s="604"/>
      <c r="G82" s="604"/>
      <c r="H82" s="605"/>
      <c r="I82" s="122">
        <f>VLOOKUP( $B82, T_Aop[], 4, 1)</f>
        <v>62</v>
      </c>
      <c r="J82" s="155"/>
      <c r="K82" s="239"/>
      <c r="L82" s="155"/>
      <c r="M82" s="152">
        <f t="shared" si="1"/>
        <v>0</v>
      </c>
      <c r="N82" s="401"/>
      <c r="P82" s="44"/>
    </row>
    <row r="83" spans="2:16">
      <c r="B83" s="15">
        <v>63</v>
      </c>
      <c r="C83" s="361" t="str">
        <f>VLOOKUP( $B83, T_Aop[], 5, 1)</f>
        <v>241 do 249</v>
      </c>
      <c r="D83" s="606" t="str">
        <f>VLOOKUP( $B83, T_Aop[], 6, 1)</f>
        <v xml:space="preserve">      3.2. Gotovina</v>
      </c>
      <c r="E83" s="607"/>
      <c r="F83" s="607"/>
      <c r="G83" s="607"/>
      <c r="H83" s="608"/>
      <c r="I83" s="121">
        <f>VLOOKUP( $B83, T_Aop[], 4, 1)</f>
        <v>63</v>
      </c>
      <c r="J83" s="157"/>
      <c r="K83" s="430">
        <v>14726</v>
      </c>
      <c r="L83" s="157"/>
      <c r="M83" s="151">
        <f t="shared" si="1"/>
        <v>14726</v>
      </c>
      <c r="N83" s="395">
        <v>10470</v>
      </c>
      <c r="P83" s="44"/>
    </row>
    <row r="84" spans="2:16">
      <c r="B84" s="15">
        <v>64</v>
      </c>
      <c r="C84" s="362" t="str">
        <f>VLOOKUP( $B84, T_Aop[], 5, 1)</f>
        <v>270 do 279</v>
      </c>
      <c r="D84" s="603" t="str">
        <f>VLOOKUP( $B84, T_Aop[], 6, 1)</f>
        <v xml:space="preserve">    4. Porez na dodatu vrijednost</v>
      </c>
      <c r="E84" s="604"/>
      <c r="F84" s="604"/>
      <c r="G84" s="604"/>
      <c r="H84" s="605"/>
      <c r="I84" s="122">
        <f>VLOOKUP( $B84, T_Aop[], 4, 1)</f>
        <v>64</v>
      </c>
      <c r="J84" s="155"/>
      <c r="K84" s="429"/>
      <c r="L84" s="155"/>
      <c r="M84" s="152">
        <f t="shared" si="1"/>
        <v>0</v>
      </c>
      <c r="N84" s="396"/>
      <c r="P84" s="44"/>
    </row>
    <row r="85" spans="2:16">
      <c r="B85" s="15">
        <v>65</v>
      </c>
      <c r="C85" s="361" t="str">
        <f>VLOOKUP( $B85, T_Aop[], 5, 1)</f>
        <v>280 do 289</v>
      </c>
      <c r="D85" s="606" t="str">
        <f>VLOOKUP( $B85, T_Aop[], 6, 1)</f>
        <v xml:space="preserve">    5. Kratkoročna  razgraničenja</v>
      </c>
      <c r="E85" s="607"/>
      <c r="F85" s="607"/>
      <c r="G85" s="607"/>
      <c r="H85" s="608"/>
      <c r="I85" s="121">
        <f>VLOOKUP( $B85, T_Aop[], 4, 1)</f>
        <v>65</v>
      </c>
      <c r="J85" s="157"/>
      <c r="K85" s="428"/>
      <c r="L85" s="157"/>
      <c r="M85" s="151">
        <f t="shared" si="1"/>
        <v>0</v>
      </c>
      <c r="N85" s="395"/>
      <c r="P85" s="44"/>
    </row>
    <row r="86" spans="2:16">
      <c r="B86" s="15">
        <v>66</v>
      </c>
      <c r="C86" s="362"/>
      <c r="D86" s="609" t="str">
        <f>VLOOKUP( $B86, T_Aop[], 6, 1)</f>
        <v xml:space="preserve">  G. BILANSNA AKTIVA (001 + 035 + 036)</v>
      </c>
      <c r="E86" s="610"/>
      <c r="F86" s="610"/>
      <c r="G86" s="610"/>
      <c r="H86" s="611"/>
      <c r="I86" s="172">
        <f>VLOOKUP( $B86, T_Aop[], 4, 1)</f>
        <v>66</v>
      </c>
      <c r="J86" s="155"/>
      <c r="K86" s="31">
        <f>IF(AND([0]!Godina=2025,MID(Osnovni_podaci!D20,3,1)="v",Osnovni_podaci!L24=2,Osnovni_podaci!G24=1,MID(Osnovni_podaci!D20,3,1)="v",MID(Osnovni_podaci!D20,8,1)="r"),SUBTOTAL( 9, K21:K85),A1)</f>
        <v>1026894</v>
      </c>
      <c r="L86" s="31">
        <f>IF(AND([0]!Godina=2025,MID(Osnovni_podaci!D20,3,1)="v",Osnovni_podaci!L24=2,Osnovni_podaci!G24=1,MID(Osnovni_podaci!D20,3,1)="v",MID(Osnovni_podaci!D20,8,1)="r"),SUBTOTAL( 9, L21:L85),A1)</f>
        <v>600509</v>
      </c>
      <c r="M86" s="81">
        <f t="shared" si="1"/>
        <v>426385</v>
      </c>
      <c r="N86" s="240">
        <f>SUBTOTAL( 9, N21:N85)</f>
        <v>175172</v>
      </c>
      <c r="P86" s="44"/>
    </row>
    <row r="87" spans="2:16">
      <c r="B87" s="15">
        <v>67</v>
      </c>
      <c r="C87" s="363" t="str">
        <f>VLOOKUP( $B87, T_Aop[], 5, 1)</f>
        <v>880 do 888</v>
      </c>
      <c r="D87" s="612" t="str">
        <f>VLOOKUP( $B87, T_Aop[], 6, 1)</f>
        <v xml:space="preserve">  D. VANBILANSNA AKTIVA</v>
      </c>
      <c r="E87" s="613"/>
      <c r="F87" s="613"/>
      <c r="G87" s="613"/>
      <c r="H87" s="614"/>
      <c r="I87" s="173">
        <f>VLOOKUP( $B87, T_Aop[], 4, 1)</f>
        <v>67</v>
      </c>
      <c r="J87" s="402"/>
      <c r="K87" s="435"/>
      <c r="L87" s="435"/>
      <c r="M87" s="35">
        <f>SUM(K87,-L87)</f>
        <v>0</v>
      </c>
      <c r="N87" s="436"/>
      <c r="P87" s="44"/>
    </row>
    <row r="88" spans="2:16">
      <c r="C88" s="123"/>
      <c r="D88" s="123"/>
      <c r="E88" s="123"/>
      <c r="F88" s="123"/>
      <c r="G88" s="123"/>
      <c r="H88" s="123"/>
      <c r="I88" s="123"/>
      <c r="J88" s="123"/>
      <c r="K88" s="123"/>
      <c r="L88" s="123"/>
      <c r="M88" s="124"/>
      <c r="N88" s="123"/>
      <c r="P88" s="44"/>
    </row>
    <row r="89" spans="2:16">
      <c r="C89" s="615" t="str">
        <f>Tabele_zaglavlje_Grupa_racuna</f>
        <v>Grupa računa, račun</v>
      </c>
      <c r="D89" s="633" t="str">
        <f>Tabele_zaglavlje_Pozicija</f>
        <v>POZICIJA</v>
      </c>
      <c r="E89" s="634"/>
      <c r="F89" s="634"/>
      <c r="G89" s="634"/>
      <c r="H89" s="635"/>
      <c r="I89" s="643" t="str">
        <f>Tabele_zaglavlje_Oznaka_aop</f>
        <v>Oznaka za AOP</v>
      </c>
      <c r="J89" s="617" t="str">
        <f>Tabele_zaglavlje_Napomena_aop</f>
        <v>Napomena</v>
      </c>
      <c r="K89" s="639"/>
      <c r="L89" s="640"/>
      <c r="M89" s="645" t="str">
        <f>Tabele_zaglavlje_BS_iznos_tekuca</f>
        <v>Iznos na dan bilansa tekuće godine</v>
      </c>
      <c r="N89" s="631" t="str">
        <f>Tabele_zaglavlje_BS_iznos_prethodna</f>
        <v>Iznos na dan bilansa prethodne godine (PS)</v>
      </c>
      <c r="P89" s="44"/>
    </row>
    <row r="90" spans="2:16" ht="39.75" customHeight="1">
      <c r="C90" s="616"/>
      <c r="D90" s="636"/>
      <c r="E90" s="637"/>
      <c r="F90" s="637"/>
      <c r="G90" s="637"/>
      <c r="H90" s="638"/>
      <c r="I90" s="644"/>
      <c r="J90" s="618"/>
      <c r="K90" s="641"/>
      <c r="L90" s="642"/>
      <c r="M90" s="644"/>
      <c r="N90" s="632"/>
      <c r="P90" s="44"/>
    </row>
    <row r="91" spans="2:16">
      <c r="C91" s="24">
        <v>1</v>
      </c>
      <c r="D91" s="619">
        <v>2</v>
      </c>
      <c r="E91" s="620"/>
      <c r="F91" s="620"/>
      <c r="G91" s="620"/>
      <c r="H91" s="621"/>
      <c r="I91" s="235">
        <v>3</v>
      </c>
      <c r="J91" s="241">
        <v>4</v>
      </c>
      <c r="K91" s="404"/>
      <c r="L91" s="405"/>
      <c r="M91" s="234">
        <v>5</v>
      </c>
      <c r="N91" s="26">
        <v>6</v>
      </c>
      <c r="P91" s="44"/>
    </row>
    <row r="92" spans="2:16" ht="22.9" customHeight="1">
      <c r="B92" s="15">
        <v>68</v>
      </c>
      <c r="C92" s="169">
        <f>VLOOKUP( $B92, T_Aop[], 5, 1)</f>
        <v>0</v>
      </c>
      <c r="D92" s="622" t="str">
        <f>IF(AND([0]!Godina=2025,MID(Osnovni_podaci!D20,3,1)="v",Osnovni_podaci!L24=2,Osnovni_podaci!G24=1,MID(Osnovni_podaci!D20,3,1)="v",MID(Osnovni_podaci!D20,8,1)="r"),VLOOKUP( $B92, T_Aop[], 6, 1),A1)</f>
        <v xml:space="preserve">  BILANSNA PASIVA
A. KAPITAL  (102 -110 + 113 - 114 + 115 + 119 + 122 - 123 + 124 - 128 + 131)</v>
      </c>
      <c r="E92" s="623"/>
      <c r="F92" s="623"/>
      <c r="G92" s="623"/>
      <c r="H92" s="624"/>
      <c r="I92" s="170">
        <f>VLOOKUP( $B92, T_Aop[], 4, 1)</f>
        <v>101</v>
      </c>
      <c r="J92" s="427"/>
      <c r="K92" s="672"/>
      <c r="L92" s="673"/>
      <c r="M92" s="522">
        <f>SUBTOTAL( 9, M95:M100,M104,M107:M109, M111:M113,M116:M118,M122) - SUBTOTAL( 9, M102:M103, M114, M120:M121) -SUBTOTAL(9, M105)</f>
        <v>90805</v>
      </c>
      <c r="N92" s="523">
        <f>SUBTOTAL( 9, N95:N100, N104, N107:N109, N111:N113, N116:N118, N122) - SUBTOTAL( 9, N102:N103, N114, N120:N121)-SUBTOTAL(9,N105)</f>
        <v>-185948</v>
      </c>
      <c r="P92" s="44"/>
    </row>
    <row r="93" spans="2:16">
      <c r="B93" s="15">
        <v>69</v>
      </c>
      <c r="C93" s="357">
        <f>VLOOKUP( $B93, T_Aop[], 5, 1)</f>
        <v>30</v>
      </c>
      <c r="D93" s="625" t="str">
        <f>IF(AND([0]!Godina=2025,MID(Osnovni_podaci!D20,3,1)="v",Osnovni_podaci!L24=2,Osnovni_podaci!G24=1,MID(Osnovni_podaci!D20,3,1)="v",MID(Osnovni_podaci!D20,8,1)="r"),VLOOKUP( $B93, T_Aop[], 6, 1),A1)</f>
        <v xml:space="preserve">  I OSNOVNI KAPITAL (103 + 106 + 107 + 108 + 109)</v>
      </c>
      <c r="E93" s="626"/>
      <c r="F93" s="626"/>
      <c r="G93" s="626"/>
      <c r="H93" s="627"/>
      <c r="I93" s="242">
        <f>VLOOKUP( $B93, T_Aop[], 4, 1)</f>
        <v>102</v>
      </c>
      <c r="J93" s="425"/>
      <c r="K93" s="674"/>
      <c r="L93" s="675"/>
      <c r="M93" s="524">
        <f>SUBTOTAL( 9, M94:M100)</f>
        <v>87859</v>
      </c>
      <c r="N93" s="525">
        <f>SUBTOTAL( 9, N94:N100)</f>
        <v>87589</v>
      </c>
      <c r="P93" s="44"/>
    </row>
    <row r="94" spans="2:16">
      <c r="B94" s="15">
        <v>70</v>
      </c>
      <c r="C94" s="358">
        <f>VLOOKUP( $B94, T_Aop[], 5, 1)</f>
        <v>300</v>
      </c>
      <c r="D94" s="606" t="str">
        <f>IF(AND([0]!Godina=2025,MID(Osnovni_podaci!D20,3,1)="v",Osnovni_podaci!L24=2,Osnovni_podaci!G24=1,MID(Osnovni_podaci!D20,3,1)="v",MID(Osnovni_podaci!D20,8,1)="r"),VLOOKUP( $B94, T_Aop[], 6, 1),A1)</f>
        <v xml:space="preserve">    1. Akcijski kapital (104 + 105)</v>
      </c>
      <c r="E94" s="607"/>
      <c r="F94" s="607"/>
      <c r="G94" s="607"/>
      <c r="H94" s="608"/>
      <c r="I94" s="170">
        <f>VLOOKUP( $B94, T_Aop[], 4, 1)</f>
        <v>103</v>
      </c>
      <c r="J94" s="157"/>
      <c r="K94" s="672"/>
      <c r="L94" s="673"/>
      <c r="M94" s="48">
        <f>SUBTOTAL( 9, M95:M96)</f>
        <v>87859</v>
      </c>
      <c r="N94" s="49">
        <f>SUBTOTAL( 9, N95:N96)</f>
        <v>87589</v>
      </c>
      <c r="P94" s="44"/>
    </row>
    <row r="95" spans="2:16">
      <c r="B95" s="15">
        <v>71</v>
      </c>
      <c r="C95" s="359"/>
      <c r="D95" s="603" t="str">
        <f>IF(AND([0]!Godina=2025,MID(Osnovni_podaci!D20,3,1)="v",Osnovni_podaci!L24=2,Osnovni_podaci!G24=1,MID(Osnovni_podaci!D20,3,1)="v",MID(Osnovni_podaci!D20,8,1)="r"),VLOOKUP( $B95, T_Aop[], 6, 1),A1)</f>
        <v xml:space="preserve">      1.1. Akcijski kapital - obične akcije </v>
      </c>
      <c r="E95" s="604"/>
      <c r="F95" s="604"/>
      <c r="G95" s="604"/>
      <c r="H95" s="605"/>
      <c r="I95" s="122">
        <f>VLOOKUP( $B95, T_Aop[], 4, 1)</f>
        <v>104</v>
      </c>
      <c r="J95" s="155"/>
      <c r="K95" s="674"/>
      <c r="L95" s="675"/>
      <c r="M95" s="195">
        <v>87859</v>
      </c>
      <c r="N95" s="196">
        <v>87589</v>
      </c>
      <c r="P95" s="44"/>
    </row>
    <row r="96" spans="2:16">
      <c r="B96" s="15">
        <v>72</v>
      </c>
      <c r="C96" s="358"/>
      <c r="D96" s="606" t="str">
        <f>IF(AND([0]!Godina=2025,MID(Osnovni_podaci!D20,3,1)="v",Osnovni_podaci!L24=2,Osnovni_podaci!G24=1,MID(Osnovni_podaci!D20,3,1)="v",MID(Osnovni_podaci!D20,8,1)="r"),VLOOKUP( $B96, T_Aop[], 6, 1),A1)</f>
        <v xml:space="preserve">      1.2. Akcijski kapital – povlašćene (prioritetne) akcije</v>
      </c>
      <c r="E96" s="607"/>
      <c r="F96" s="607"/>
      <c r="G96" s="607"/>
      <c r="H96" s="608"/>
      <c r="I96" s="121">
        <f>VLOOKUP( $B96, T_Aop[], 4, 1)</f>
        <v>105</v>
      </c>
      <c r="J96" s="157"/>
      <c r="K96" s="672"/>
      <c r="L96" s="673"/>
      <c r="M96" s="197"/>
      <c r="N96" s="198"/>
      <c r="P96" s="44"/>
    </row>
    <row r="97" spans="2:16">
      <c r="B97" s="15">
        <v>73</v>
      </c>
      <c r="C97" s="359">
        <f>VLOOKUP( $B97, T_Aop[], 5, 1)</f>
        <v>302</v>
      </c>
      <c r="D97" s="603" t="str">
        <f>IF(AND([0]!Godina=2025,MID(Osnovni_podaci!D20,3,1)="v",Osnovni_podaci!L24=2,Osnovni_podaci!G24=1,MID(Osnovni_podaci!D20,3,1)="v",MID(Osnovni_podaci!D20,8,1)="r"),VLOOKUP( $B97, T_Aop[], 6, 1),A1)</f>
        <v xml:space="preserve">    2. Udjeli društva sa ograničenom odgovornošću</v>
      </c>
      <c r="E97" s="604"/>
      <c r="F97" s="604"/>
      <c r="G97" s="604"/>
      <c r="H97" s="605"/>
      <c r="I97" s="122">
        <f>VLOOKUP( $B97, T_Aop[], 4, 1)</f>
        <v>106</v>
      </c>
      <c r="J97" s="155"/>
      <c r="K97" s="674"/>
      <c r="L97" s="675"/>
      <c r="M97" s="195"/>
      <c r="N97" s="196"/>
      <c r="P97" s="44"/>
    </row>
    <row r="98" spans="2:16">
      <c r="B98" s="15">
        <v>74</v>
      </c>
      <c r="C98" s="358">
        <f>VLOOKUP( $B98, T_Aop[], 5, 1)</f>
        <v>304</v>
      </c>
      <c r="D98" s="606" t="str">
        <f>IF(AND([0]!Godina=2025,MID(Osnovni_podaci!D20,3,1)="v",Osnovni_podaci!L24=2,Osnovni_podaci!G24=1,MID(Osnovni_podaci!D20,3,1)="v",MID(Osnovni_podaci!D20,8,1)="r"),VLOOKUP( $B98, T_Aop[], 6, 1),A1)</f>
        <v xml:space="preserve">    3. Ulozi</v>
      </c>
      <c r="E98" s="607"/>
      <c r="F98" s="607"/>
      <c r="G98" s="607"/>
      <c r="H98" s="608"/>
      <c r="I98" s="121">
        <f>VLOOKUP( $B98, T_Aop[], 4, 1)</f>
        <v>107</v>
      </c>
      <c r="J98" s="157"/>
      <c r="K98" s="672"/>
      <c r="L98" s="673"/>
      <c r="M98" s="197"/>
      <c r="N98" s="198"/>
      <c r="P98" s="44"/>
    </row>
    <row r="99" spans="2:16">
      <c r="B99" s="15">
        <v>75</v>
      </c>
      <c r="C99" s="359">
        <f>VLOOKUP( $B99, T_Aop[], 5, 1)</f>
        <v>305</v>
      </c>
      <c r="D99" s="603" t="str">
        <f>IF(AND([0]!Godina=2025,MID(Osnovni_podaci!D20,3,1)="v",Osnovni_podaci!L24=2,Osnovni_podaci!G24=1,MID(Osnovni_podaci!D20,3,1)="v",MID(Osnovni_podaci!D20,8,1)="r"),VLOOKUP( $B99, T_Aop[], 6, 1),A1)</f>
        <v xml:space="preserve">    4. Državni kapital</v>
      </c>
      <c r="E99" s="604"/>
      <c r="F99" s="604"/>
      <c r="G99" s="604"/>
      <c r="H99" s="605"/>
      <c r="I99" s="122">
        <f>VLOOKUP( $B99, T_Aop[], 4, 1)</f>
        <v>108</v>
      </c>
      <c r="J99" s="155"/>
      <c r="K99" s="674"/>
      <c r="L99" s="675"/>
      <c r="M99" s="195"/>
      <c r="N99" s="196"/>
      <c r="P99" s="44"/>
    </row>
    <row r="100" spans="2:16">
      <c r="B100" s="15">
        <v>76</v>
      </c>
      <c r="C100" s="358" t="str">
        <f>IF(AND([0]!Godina=2025,MID(Osnovni_podaci!D20,3,1)="v",Osnovni_podaci!L24=2,Osnovni_podaci!G24=1,MID(Osnovni_podaci!D20,3,1)="v",MID(Osnovni_podaci!D20,8,1)="r"),VLOOKUP( $B100, T_Aop[], 5, 1),A1)</f>
        <v>309</v>
      </c>
      <c r="D100" s="606" t="str">
        <f>IF(AND([0]!Godina=2025,MID(Osnovni_podaci!D20,3,1)="v",Osnovni_podaci!L24=2,Osnovni_podaci!G24=1,MID(Osnovni_podaci!D20,3,1)="v",MID(Osnovni_podaci!D20,8,1)="r"),VLOOKUP( $B100, T_Aop[], 6, 1),A1)</f>
        <v xml:space="preserve">    5. Ostali osnovni kapital</v>
      </c>
      <c r="E100" s="607"/>
      <c r="F100" s="607"/>
      <c r="G100" s="607"/>
      <c r="H100" s="608"/>
      <c r="I100" s="121">
        <f>IF(AND([0]!Godina=2025,MID(Osnovni_podaci!D20,3,1)="v",Osnovni_podaci!L24=2,Osnovni_podaci!G24=1,MID(Osnovni_podaci!D20,3,1)="v",MID(Osnovni_podaci!D20,8,1)="r"),VLOOKUP( $B100, T_Aop[], 4, 1),A1)</f>
        <v>109</v>
      </c>
      <c r="J100" s="157"/>
      <c r="K100" s="672"/>
      <c r="L100" s="673"/>
      <c r="M100" s="197"/>
      <c r="N100" s="198"/>
      <c r="P100" s="44"/>
    </row>
    <row r="101" spans="2:16">
      <c r="B101" s="15">
        <v>77</v>
      </c>
      <c r="C101" s="359">
        <f>IF(AND([0]!Godina=2025,MID(Osnovni_podaci!D20,3,1)="v",Osnovni_podaci!L24=2,Osnovni_podaci!G24=1,MID(Osnovni_podaci!D20,3,1)="v",MID(Osnovni_podaci!D20,8,1)="r"),VLOOKUP( $B101, T_Aop[], 5, 1),A1)</f>
        <v>31</v>
      </c>
      <c r="D101" s="609" t="str">
        <f>IF(AND([0]!Godina=2025,MID(Osnovni_podaci!D20,3,1)="v",Osnovni_podaci!L24=2,Osnovni_podaci!G24=1,MID(Osnovni_podaci!D20,3,1)="v",MID(Osnovni_podaci!D20,8,1)="r"),VLOOKUP( $B101, T_Aop[], 6, 1),A1)</f>
        <v xml:space="preserve">  II OTKUPLJENE SOPSTVENE AKCIJE I UPISANI NEUPLAĆENI KAPITAL (111 + 112)</v>
      </c>
      <c r="E101" s="610"/>
      <c r="F101" s="610"/>
      <c r="G101" s="610"/>
      <c r="H101" s="611"/>
      <c r="I101" s="171">
        <f>IF(AND([0]!Godina=2025,MID(Osnovni_podaci!D20,3,1)="v",Osnovni_podaci!L24=2,Osnovni_podaci!G24=1,MID(Osnovni_podaci!D20,3,1)="v",MID(Osnovni_podaci!D20,8,1)="r"),VLOOKUP( $B101, T_Aop[], 4, 1),A1)</f>
        <v>110</v>
      </c>
      <c r="J101" s="155"/>
      <c r="K101" s="674"/>
      <c r="L101" s="675"/>
      <c r="M101" s="50">
        <f>SUBTOTAL( 9, M102:M103)</f>
        <v>0</v>
      </c>
      <c r="N101" s="51">
        <f>SUBTOTAL( 9, N102:N103)</f>
        <v>0</v>
      </c>
      <c r="P101" s="44"/>
    </row>
    <row r="102" spans="2:16">
      <c r="B102" s="15">
        <v>78</v>
      </c>
      <c r="C102" s="358">
        <f>IF(AND([0]!Godina=2025,MID(Osnovni_podaci!D20,3,1)="v",Osnovni_podaci!L24=2,Osnovni_podaci!G24=1,MID(Osnovni_podaci!D20,3,1)="v",MID(Osnovni_podaci!D20,8,1)="r"),VLOOKUP( $B102, T_Aop[], 5, 1),A1)</f>
        <v>310</v>
      </c>
      <c r="D102" s="606" t="str">
        <f>IF(AND([0]!Godina=2025,MID(Osnovni_podaci!D20,3,1)="v",Osnovni_podaci!L24=2,Osnovni_podaci!G24=1,MID(Osnovni_podaci!D20,3,1)="v",MID(Osnovni_podaci!D20,8,1)="r"),VLOOKUP( $B102, T_Aop[], 6, 1),A1)</f>
        <v xml:space="preserve">    1. Otkupljene sopstvene akcije i udjeli </v>
      </c>
      <c r="E102" s="607"/>
      <c r="F102" s="607"/>
      <c r="G102" s="607"/>
      <c r="H102" s="608"/>
      <c r="I102" s="121">
        <f>IF(AND([0]!Godina=2025,MID(Osnovni_podaci!D20,3,1)="v",Osnovni_podaci!L24=2,Osnovni_podaci!G24=1,MID(Osnovni_podaci!D20,3,1)="v",MID(Osnovni_podaci!D20,8,1)="r"),VLOOKUP( $B102, T_Aop[], 4, 1),A1)</f>
        <v>111</v>
      </c>
      <c r="J102" s="157"/>
      <c r="K102" s="672"/>
      <c r="L102" s="673"/>
      <c r="M102" s="201"/>
      <c r="N102" s="202"/>
      <c r="P102" s="44"/>
    </row>
    <row r="103" spans="2:16">
      <c r="B103" s="15">
        <v>79</v>
      </c>
      <c r="C103" s="359">
        <f>IF(AND([0]!Godina=2025,MID(Osnovni_podaci!D20,3,1)="v",Osnovni_podaci!L24=2,Osnovni_podaci!G24=1,MID(Osnovni_podaci!D20,3,1)="v",MID(Osnovni_podaci!D20,8,1)="r"),VLOOKUP( $B103, T_Aop[], 5, 1),A1)</f>
        <v>311</v>
      </c>
      <c r="D103" s="603" t="str">
        <f>IF(AND([0]!Godina=2025,MID(Osnovni_podaci!D20,3,1)="v",Osnovni_podaci!L24=2,Osnovni_podaci!G24=1,MID(Osnovni_podaci!D20,3,1)="v",MID(Osnovni_podaci!D20,8,1)="r"),VLOOKUP( $B103, T_Aop[], 6, 1),A1)</f>
        <v xml:space="preserve">    2. Upisani neuplaćeni kapital</v>
      </c>
      <c r="E103" s="604"/>
      <c r="F103" s="604"/>
      <c r="G103" s="604"/>
      <c r="H103" s="605"/>
      <c r="I103" s="122">
        <f>IF(AND([0]!Godina=2025,MID(Osnovni_podaci!D20,3,1)="v",Osnovni_podaci!L24=2,Osnovni_podaci!G24=1,MID(Osnovni_podaci!D20,3,1)="v",MID(Osnovni_podaci!D20,8,1)="r"),VLOOKUP( $B103, T_Aop[], 4, 1),A1)</f>
        <v>112</v>
      </c>
      <c r="J103" s="155"/>
      <c r="K103" s="674"/>
      <c r="L103" s="675"/>
      <c r="M103" s="199"/>
      <c r="N103" s="200"/>
      <c r="P103" s="44"/>
    </row>
    <row r="104" spans="2:16">
      <c r="B104" s="15">
        <v>80</v>
      </c>
      <c r="C104" s="358">
        <f>IF(AND([0]!Godina=2025,MID(Osnovni_podaci!D20,3,1)="v",Osnovni_podaci!L24=2,Osnovni_podaci!G24=1,MID(Osnovni_podaci!D20,3,1)="v",MID(Osnovni_podaci!D20,8,1)="r"),VLOOKUP( $B104, T_Aop[], 5, 1),A1)</f>
        <v>320</v>
      </c>
      <c r="D104" s="628" t="str">
        <f>IF(AND([0]!Godina=2025,MID(Osnovni_podaci!D20,3,1)="v",Osnovni_podaci!L24=2,Osnovni_podaci!G24=1,MID(Osnovni_podaci!D20,3,1)="v",MID(Osnovni_podaci!D20,8,1)="r"),VLOOKUP( $B104, T_Aop[], 6, 1),A1)</f>
        <v xml:space="preserve">  III EMISIONA PREMIJA</v>
      </c>
      <c r="E104" s="629"/>
      <c r="F104" s="629"/>
      <c r="G104" s="629"/>
      <c r="H104" s="630"/>
      <c r="I104" s="170">
        <f>IF(AND([0]!Godina=2025,MID(Osnovni_podaci!D20,3,1)="v",Osnovni_podaci!L24=2,Osnovni_podaci!G24=1,MID(Osnovni_podaci!D20,3,1)="v",MID(Osnovni_podaci!D20,8,1)="r"),VLOOKUP( $B104, T_Aop[], 4, 1),A1)</f>
        <v>113</v>
      </c>
      <c r="J104" s="157"/>
      <c r="K104" s="672"/>
      <c r="L104" s="673"/>
      <c r="M104" s="201"/>
      <c r="N104" s="202"/>
      <c r="P104" s="44"/>
    </row>
    <row r="105" spans="2:16">
      <c r="B105" s="15">
        <v>81</v>
      </c>
      <c r="C105" s="359">
        <f>IF(AND([0]!Godina=2025,MID(Osnovni_podaci!D20,3,1)="v",Osnovni_podaci!L24=2,Osnovni_podaci!G24=1,MID(Osnovni_podaci!D20,3,1)="v",MID(Osnovni_podaci!D20,8,1)="r"),VLOOKUP( $B105, T_Aop[], 5, 1),A1)</f>
        <v>321</v>
      </c>
      <c r="D105" s="609" t="str">
        <f>IF(AND([0]!Godina=2025,MID(Osnovni_podaci!D20,3,1)="v",Osnovni_podaci!L24=2,Osnovni_podaci!G24=1,MID(Osnovni_podaci!D20,3,1)="v",MID(Osnovni_podaci!D20,8,1)="r"),VLOOKUP( $B105, T_Aop[], 6, 1),A1)</f>
        <v xml:space="preserve">  IV EMISIONI GUBITAK</v>
      </c>
      <c r="E105" s="610"/>
      <c r="F105" s="610"/>
      <c r="G105" s="610"/>
      <c r="H105" s="611"/>
      <c r="I105" s="171">
        <f>IF(AND([0]!Godina=2025,MID(Osnovni_podaci!D20,3,1)="v",Osnovni_podaci!L24=2,Osnovni_podaci!G24=1,MID(Osnovni_podaci!D20,3,1)="v",MID(Osnovni_podaci!D20,8,1)="r"),VLOOKUP( $B105, T_Aop[], 4, 1),A1)</f>
        <v>114</v>
      </c>
      <c r="J105" s="155"/>
      <c r="K105" s="674"/>
      <c r="L105" s="675"/>
      <c r="M105" s="199"/>
      <c r="N105" s="200"/>
      <c r="P105" s="44"/>
    </row>
    <row r="106" spans="2:16">
      <c r="B106" s="15">
        <v>82</v>
      </c>
      <c r="C106" s="358" t="str">
        <f>IF(AND([0]!Godina=2025,MID(Osnovni_podaci!D20,3,1)="v",Osnovni_podaci!L24=2,Osnovni_podaci!G24=1,MID(Osnovni_podaci!D20,3,1)="v",MID(Osnovni_podaci!D20,8,1)="r"),VLOOKUP( $B106, T_Aop[], 5, 1),A1)</f>
        <v>dio 32</v>
      </c>
      <c r="D106" s="628" t="str">
        <f>IF(AND([0]!Godina=2025,MID(Osnovni_podaci!D20,3,1)="v",Osnovni_podaci!L24=2,Osnovni_podaci!G24=1,MID(Osnovni_podaci!D20,3,1)="v",MID(Osnovni_podaci!D20,8,1)="r"),VLOOKUP( $B106, T_Aop[], 6, 1),A1)</f>
        <v xml:space="preserve">  V REZERVE (116 do 118)</v>
      </c>
      <c r="E106" s="629"/>
      <c r="F106" s="629"/>
      <c r="G106" s="629"/>
      <c r="H106" s="630"/>
      <c r="I106" s="170">
        <f>IF(AND([0]!Godina=2025,MID(Osnovni_podaci!D20,3,1)="v",Osnovni_podaci!L24=2,Osnovni_podaci!G24=1,MID(Osnovni_podaci!D20,3,1)="v",MID(Osnovni_podaci!D20,8,1)="r"),VLOOKUP( $B106, T_Aop[], 4, 1),A1)</f>
        <v>115</v>
      </c>
      <c r="J106" s="157"/>
      <c r="K106" s="672"/>
      <c r="L106" s="673"/>
      <c r="M106" s="48">
        <f>SUBTOTAL( 9, M107:M109)</f>
        <v>528</v>
      </c>
      <c r="N106" s="49">
        <f>SUBTOTAL( 9, N107:N109)</f>
        <v>528</v>
      </c>
      <c r="P106" s="44"/>
    </row>
    <row r="107" spans="2:16">
      <c r="B107" s="15">
        <v>83</v>
      </c>
      <c r="C107" s="359">
        <f>IF(AND([0]!Godina=2025,MID(Osnovni_podaci!D20,3,1)="v",Osnovni_podaci!L24=2,Osnovni_podaci!G24=1,MID(Osnovni_podaci!D20,3,1)="v",MID(Osnovni_podaci!D20,8,1)="r"),VLOOKUP( $B107, T_Aop[], 5, 1),A1)</f>
        <v>322</v>
      </c>
      <c r="D107" s="603" t="str">
        <f>IF(AND([0]!Godina=2025,MID(Osnovni_podaci!D20,3,1)="v",Osnovni_podaci!L24=2,Osnovni_podaci!G24=1,MID(Osnovni_podaci!D20,3,1)="v",MID(Osnovni_podaci!D20,8,1)="r"),VLOOKUP( $B107, T_Aop[], 6, 1),A1)</f>
        <v xml:space="preserve">    1. Zakonske rezerve</v>
      </c>
      <c r="E107" s="604"/>
      <c r="F107" s="604"/>
      <c r="G107" s="604"/>
      <c r="H107" s="605"/>
      <c r="I107" s="122">
        <f>IF(AND([0]!Godina=2025,MID(Osnovni_podaci!D20,3,1)="v",Osnovni_podaci!L24=2,Osnovni_podaci!G24=1,MID(Osnovni_podaci!D20,3,1)="v",MID(Osnovni_podaci!D20,8,1)="r"),VLOOKUP( $B107, T_Aop[], 4, 1),A1)</f>
        <v>116</v>
      </c>
      <c r="J107" s="155"/>
      <c r="K107" s="674"/>
      <c r="L107" s="675"/>
      <c r="M107" s="195">
        <v>528</v>
      </c>
      <c r="N107" s="196">
        <v>528</v>
      </c>
      <c r="P107" s="44"/>
    </row>
    <row r="108" spans="2:16">
      <c r="B108" s="15">
        <v>84</v>
      </c>
      <c r="C108" s="358">
        <f>IF(AND([0]!Godina=2025,MID(Osnovni_podaci!D20,3,1)="v",Osnovni_podaci!L24=2,Osnovni_podaci!G24=1,MID(Osnovni_podaci!D20,3,1)="v",MID(Osnovni_podaci!D20,8,1)="r"),VLOOKUP( $B108, T_Aop[], 5, 1),A1)</f>
        <v>323</v>
      </c>
      <c r="D108" s="606" t="str">
        <f>IF(AND([0]!Godina=2025,MID(Osnovni_podaci!D20,3,1)="v",Osnovni_podaci!L24=2,Osnovni_podaci!G24=1,MID(Osnovni_podaci!D20,3,1)="v",MID(Osnovni_podaci!D20,8,1)="r"),VLOOKUP( $B108, T_Aop[], 6, 1),A1)</f>
        <v xml:space="preserve">    2. Statutarne rezerve</v>
      </c>
      <c r="E108" s="607"/>
      <c r="F108" s="607"/>
      <c r="G108" s="607"/>
      <c r="H108" s="608"/>
      <c r="I108" s="121">
        <f>IF(AND([0]!Godina=2025,MID(Osnovni_podaci!D20,3,1)="v",Osnovni_podaci!L24=2,Osnovni_podaci!G24=1,MID(Osnovni_podaci!D20,3,1)="v",MID(Osnovni_podaci!D20,8,1)="r"),VLOOKUP( $B108, T_Aop[], 4, 1),A1)</f>
        <v>117</v>
      </c>
      <c r="J108" s="157"/>
      <c r="K108" s="672"/>
      <c r="L108" s="673"/>
      <c r="M108" s="159"/>
      <c r="N108" s="395"/>
      <c r="P108" s="44"/>
    </row>
    <row r="109" spans="2:16">
      <c r="B109" s="15">
        <v>85</v>
      </c>
      <c r="C109" s="359">
        <f>IF(AND([0]!Godina=2025,MID(Osnovni_podaci!D20,3,1)="v",Osnovni_podaci!L24=2,Osnovni_podaci!G24=1,MID(Osnovni_podaci!D20,3,1)="v",MID(Osnovni_podaci!D20,8,1)="r"),VLOOKUP( $B109, T_Aop[], 5, 1),A1)</f>
        <v>329</v>
      </c>
      <c r="D109" s="603" t="str">
        <f>IF(AND([0]!Godina=2025,MID(Osnovni_podaci!D20,3,1)="v",Osnovni_podaci!L24=2,Osnovni_podaci!G24=1,MID(Osnovni_podaci!D20,3,1)="v",MID(Osnovni_podaci!D20,8,1)="r"),VLOOKUP( $B109, T_Aop[], 6, 1),A1)</f>
        <v xml:space="preserve">    3. Ostale rezerve</v>
      </c>
      <c r="E109" s="604"/>
      <c r="F109" s="604"/>
      <c r="G109" s="604"/>
      <c r="H109" s="605"/>
      <c r="I109" s="122">
        <f>IF(AND([0]!Godina=2025,MID(Osnovni_podaci!D20,3,1)="v",Osnovni_podaci!L24=2,Osnovni_podaci!G24=1,MID(Osnovni_podaci!D20,3,1)="v",MID(Osnovni_podaci!D20,8,1)="r"),VLOOKUP( $B109, T_Aop[], 4, 1),A1)</f>
        <v>118</v>
      </c>
      <c r="J109" s="155"/>
      <c r="K109" s="674"/>
      <c r="L109" s="675"/>
      <c r="M109" s="195"/>
      <c r="N109" s="396"/>
      <c r="P109" s="44"/>
    </row>
    <row r="110" spans="2:16" ht="11.25" customHeight="1">
      <c r="B110" s="15">
        <v>86</v>
      </c>
      <c r="C110" s="358" t="str">
        <f>IF(AND([0]!Godina=2025,MID(Osnovni_podaci!D20,3,1)="v",Osnovni_podaci!L24=2,Osnovni_podaci!G24=1,MID(Osnovni_podaci!D20,3,1)="v",MID(Osnovni_podaci!D20,8,1)="r"),VLOOKUP( $B110, T_Aop[], 5, 1),A1)</f>
        <v>dio 33</v>
      </c>
      <c r="D110" s="628" t="str">
        <f>IF(AND([0]!Godina=2025,MID(Osnovni_podaci!D20,3,1)="v",Osnovni_podaci!L24=2,Osnovni_podaci!G24=1,MID(Osnovni_podaci!D20,3,1)="v",MID(Osnovni_podaci!D20,8,1)="r"),VLOOKUP( $B110, T_Aop[], 6, 1),A1)</f>
        <v xml:space="preserve">   VI REVALORIZACIONE REZERVE (120 + 121)</v>
      </c>
      <c r="E110" s="629"/>
      <c r="F110" s="629"/>
      <c r="G110" s="629"/>
      <c r="H110" s="630"/>
      <c r="I110" s="170">
        <f>IF(AND([0]!Godina=2025,MID(Osnovni_podaci!D20,3,1)="v",Osnovni_podaci!L24=2,Osnovni_podaci!G24=1,MID(Osnovni_podaci!D20,3,1)="v",MID(Osnovni_podaci!D20,8,1)="r"),VLOOKUP( $B110, T_Aop[], 4, 1),A1)</f>
        <v>119</v>
      </c>
      <c r="J110" s="157"/>
      <c r="K110" s="672"/>
      <c r="L110" s="673"/>
      <c r="M110" s="48">
        <f>SUBTOTAL( 9, M111:M112)</f>
        <v>0</v>
      </c>
      <c r="N110" s="400">
        <f>SUBTOTAL( 9, N111:N112)</f>
        <v>0</v>
      </c>
      <c r="P110" s="44"/>
    </row>
    <row r="111" spans="2:16">
      <c r="B111" s="15">
        <v>87</v>
      </c>
      <c r="C111" s="359">
        <f>IF(AND([0]!Godina=2025,MID(Osnovni_podaci!D20,3,1)="v",Osnovni_podaci!L24=2,Osnovni_podaci!G24=1,MID(Osnovni_podaci!D20,3,1)="v",MID(Osnovni_podaci!D20,8,1)="r"),VLOOKUP( $B111, T_Aop[], 5, 1),A1)</f>
        <v>330</v>
      </c>
      <c r="D111" s="603" t="str">
        <f>IF(AND([0]!Godina=2025,MID(Osnovni_podaci!D20,3,1)="v",Osnovni_podaci!L24=2,Osnovni_podaci!G24=1,MID(Osnovni_podaci!D20,3,1)="v",MID(Osnovni_podaci!D20,8,1)="r"),VLOOKUP( $B111, T_Aop[], 6, 1),A1)</f>
        <v xml:space="preserve">    1. Revalorizacione rezerve za nekretnine, postrojenja, opremu i nematerijalna sredstva</v>
      </c>
      <c r="E111" s="604"/>
      <c r="F111" s="604"/>
      <c r="G111" s="604"/>
      <c r="H111" s="605"/>
      <c r="I111" s="122">
        <f>IF(AND([0]!Godina=2025,MID(Osnovni_podaci!D20,3,1)="v",Osnovni_podaci!L24=2,Osnovni_podaci!G24=1,MID(Osnovni_podaci!D20,3,1)="v",MID(Osnovni_podaci!D20,8,1)="r"),VLOOKUP( $B111, T_Aop[], 4, 1),A1)</f>
        <v>120</v>
      </c>
      <c r="J111" s="155"/>
      <c r="K111" s="674"/>
      <c r="L111" s="675"/>
      <c r="M111" s="195"/>
      <c r="N111" s="396"/>
      <c r="P111" s="44"/>
    </row>
    <row r="112" spans="2:16">
      <c r="B112" s="15">
        <v>88</v>
      </c>
      <c r="C112" s="358" t="str">
        <f>IF(AND([0]!Godina=2025,MID(Osnovni_podaci!D20,3,1)="v",Osnovni_podaci!L24=2,Osnovni_podaci!G24=1,MID(Osnovni_podaci!D20,3,1)="v",MID(Osnovni_podaci!D20,8,1)="r"),VLOOKUP( $B112, T_Aop[], 5, 1),A1)</f>
        <v>331 i 334</v>
      </c>
      <c r="D112" s="606" t="str">
        <f>IF(AND([0]!Godina=2025,MID(Osnovni_podaci!D20,3,1)="v",Osnovni_podaci!L24=2,Osnovni_podaci!G24=1,MID(Osnovni_podaci!D20,3,1)="v",MID(Osnovni_podaci!D20,8,1)="r"),VLOOKUP( $B112, T_Aop[], 6, 1),A1)</f>
        <v xml:space="preserve">    2. Ostale revalorizacione rezerve</v>
      </c>
      <c r="E112" s="607"/>
      <c r="F112" s="607"/>
      <c r="G112" s="607"/>
      <c r="H112" s="608"/>
      <c r="I112" s="121">
        <f>IF(AND([0]!Godina=2025,MID(Osnovni_podaci!D20,3,1)="v",Osnovni_podaci!L24=2,Osnovni_podaci!G24=1,MID(Osnovni_podaci!D20,3,1)="v",MID(Osnovni_podaci!D20,8,1)="r"),VLOOKUP( $B112, T_Aop[], 4, 1),A1)</f>
        <v>121</v>
      </c>
      <c r="J112" s="157"/>
      <c r="K112" s="672"/>
      <c r="L112" s="673"/>
      <c r="M112" s="197"/>
      <c r="N112" s="395"/>
      <c r="P112" s="44"/>
    </row>
    <row r="113" spans="2:16" ht="21" customHeight="1">
      <c r="B113" s="15">
        <v>89</v>
      </c>
      <c r="C113" s="359">
        <f>IF(AND([0]!Godina=2025,MID(Osnovni_podaci!D20,3,1)="v",Osnovni_podaci!L24=2,Osnovni_podaci!G24=1,MID(Osnovni_podaci!D20,3,1)="v",MID(Osnovni_podaci!D20,8,1)="r"),VLOOKUP( $B113, T_Aop[], 5, 1),A1)</f>
        <v>332</v>
      </c>
      <c r="D113" s="661" t="str">
        <f>IF(AND([0]!Godina=2025,MID(Osnovni_podaci!D20,3,1)="v",Osnovni_podaci!L24=2,Osnovni_podaci!G24=1,MID(Osnovni_podaci!D20,3,1)="v",MID(Osnovni_podaci!D20,8,1)="r"),VLOOKUP( $B113, T_Aop[], 6, 1),A1)</f>
        <v xml:space="preserve">  VII POZITIVNI EFEKTI VREDNOVANJA FINANSIJSKIH SREDSTAVA KOJA SE VREDNUJU PO FER VRIJEDNOSTI KROZ OSTALI UKUPNI REZULTAT</v>
      </c>
      <c r="E113" s="662"/>
      <c r="F113" s="662"/>
      <c r="G113" s="662"/>
      <c r="H113" s="663"/>
      <c r="I113" s="171">
        <f>IF(AND([0]!Godina=2025,MID(Osnovni_podaci!D20,3,1)="v",Osnovni_podaci!L24=2,Osnovni_podaci!G24=1,MID(Osnovni_podaci!D20,3,1)="v",MID(Osnovni_podaci!D20,8,1)="r"),VLOOKUP( $B113, T_Aop[], 4, 1),A1)</f>
        <v>122</v>
      </c>
      <c r="J113" s="155"/>
      <c r="K113" s="674"/>
      <c r="L113" s="675"/>
      <c r="M113" s="199"/>
      <c r="N113" s="397"/>
      <c r="P113" s="44"/>
    </row>
    <row r="114" spans="2:16" ht="23.65" customHeight="1">
      <c r="B114" s="15">
        <v>90</v>
      </c>
      <c r="C114" s="358">
        <f>IF(AND([0]!Godina=2025,MID(Osnovni_podaci!D20,3,1)="v",Osnovni_podaci!L24=2,Osnovni_podaci!G24=1,MID(Osnovni_podaci!D20,3,1)="v",MID(Osnovni_podaci!D20,8,1)="r"),VLOOKUP( $B114, T_Aop[], 5, 1),A1)</f>
        <v>333</v>
      </c>
      <c r="D114" s="622" t="str">
        <f>IF(AND([0]!Godina=2025,MID(Osnovni_podaci!D20,3,1)="v",Osnovni_podaci!L24=2,Osnovni_podaci!G24=1,MID(Osnovni_podaci!D20,3,1)="v",MID(Osnovni_podaci!D20,8,1)="r"),VLOOKUP( $B114, T_Aop[], 6, 1),A1)</f>
        <v xml:space="preserve">  VIII NEGATIVNI EFEKTI VREDNOVANJA FINANSIJSKIH SREDSTAVA KOJA SE VREDNUJU PO FER VRIJEDNOSTI KROZ OSTALI UKUPNI REZULTAT</v>
      </c>
      <c r="E114" s="623"/>
      <c r="F114" s="623"/>
      <c r="G114" s="623"/>
      <c r="H114" s="624"/>
      <c r="I114" s="170">
        <f>IF(AND([0]!Godina=2025,MID(Osnovni_podaci!D20,3,1)="v",Osnovni_podaci!L24=2,Osnovni_podaci!G24=1,MID(Osnovni_podaci!D20,3,1)="v",MID(Osnovni_podaci!D20,8,1)="r"),VLOOKUP( $B114, T_Aop[], 4, 1),A1)</f>
        <v>123</v>
      </c>
      <c r="J114" s="157"/>
      <c r="K114" s="672"/>
      <c r="L114" s="673"/>
      <c r="M114" s="201"/>
      <c r="N114" s="398"/>
      <c r="P114" s="44"/>
    </row>
    <row r="115" spans="2:16">
      <c r="B115" s="15">
        <v>91</v>
      </c>
      <c r="C115" s="359">
        <f>IF(AND([0]!Godina=2025,MID(Osnovni_podaci!D20,3,1)="v",Osnovni_podaci!L24=2,Osnovni_podaci!G24=1,MID(Osnovni_podaci!D20,3,1)="v",MID(Osnovni_podaci!D20,8,1)="r"),VLOOKUP( $B115, T_Aop[], 5, 1),A1)</f>
        <v>34</v>
      </c>
      <c r="D115" s="609" t="str">
        <f>IF(AND([0]!Godina=2025,MID(Osnovni_podaci!D20,3,1)="v",Osnovni_podaci!L24=2,Osnovni_podaci!G24=1,MID(Osnovni_podaci!D20,3,1)="v",MID(Osnovni_podaci!D20,8,1)="r"),VLOOKUP( $B115, T_Aop[], 6, 1),A1)</f>
        <v xml:space="preserve">  IX  NERASPOREĐENA DOBIT (125 do 127)</v>
      </c>
      <c r="E115" s="610"/>
      <c r="F115" s="610"/>
      <c r="G115" s="610"/>
      <c r="H115" s="611"/>
      <c r="I115" s="171">
        <f>IF(AND([0]!Godina=2025,MID(Osnovni_podaci!D20,3,1)="v",Osnovni_podaci!L24=2,Osnovni_podaci!G24=1,MID(Osnovni_podaci!D20,3,1)="v",MID(Osnovni_podaci!D20,8,1)="r"),VLOOKUP( $B115, T_Aop[], 4, 1),A1)</f>
        <v>124</v>
      </c>
      <c r="J115" s="155"/>
      <c r="K115" s="674"/>
      <c r="L115" s="675"/>
      <c r="M115" s="50">
        <f>SUBTOTAL( 9, M116:M118)</f>
        <v>252624</v>
      </c>
      <c r="N115" s="240">
        <f>SUBTOTAL( 9, N116:N118)</f>
        <v>0</v>
      </c>
      <c r="P115" s="44"/>
    </row>
    <row r="116" spans="2:16" ht="12" customHeight="1">
      <c r="B116" s="15">
        <v>92</v>
      </c>
      <c r="C116" s="358" t="str">
        <f>IF(AND([0]!Godina=2025,MID(Osnovni_podaci!D20,3,1)="v",Osnovni_podaci!L24=2,Osnovni_podaci!G24=1,MID(Osnovni_podaci!D20,3,1)="v",MID(Osnovni_podaci!D20,8,1)="r"),VLOOKUP( $B116, T_Aop[], 5, 1),A1)</f>
        <v>340 ili 342</v>
      </c>
      <c r="D116" s="664" t="str">
        <f>IF(AND([0]!Godina=2025,MID(Osnovni_podaci!D20,3,1)="v",Osnovni_podaci!L24=2,Osnovni_podaci!G24=1,MID(Osnovni_podaci!D20,3,1)="v",MID(Osnovni_podaci!D20,8,1)="r"),VLOOKUP( $B116, T_Aop[], 6, 1),A1)</f>
        <v xml:space="preserve">    1. Neraspoređena dobit ranijih godina / Neraspoređeni višak prihoda nad rashodima ranijih godina</v>
      </c>
      <c r="E116" s="665"/>
      <c r="F116" s="665"/>
      <c r="G116" s="665"/>
      <c r="H116" s="666"/>
      <c r="I116" s="121">
        <f>IF(AND([0]!Godina=2025,MID(Osnovni_podaci!D20,3,1)="v",Osnovni_podaci!L24=2,Osnovni_podaci!G24=1,MID(Osnovni_podaci!D20,3,1)="v",MID(Osnovni_podaci!D20,8,1)="r"),VLOOKUP( $B116, T_Aop[], 4, 1),A1)</f>
        <v>125</v>
      </c>
      <c r="J116" s="157"/>
      <c r="K116" s="672"/>
      <c r="L116" s="673"/>
      <c r="M116" s="197"/>
      <c r="N116" s="395"/>
      <c r="P116" s="44"/>
    </row>
    <row r="117" spans="2:16" ht="12" customHeight="1">
      <c r="B117" s="15">
        <v>93</v>
      </c>
      <c r="C117" s="359" t="str">
        <f>IF(AND([0]!Godina=2025,MID(Osnovni_podaci!D20,3,1)="v",Osnovni_podaci!L24=2,Osnovni_podaci!G24=1,MID(Osnovni_podaci!D20,3,1)="v",MID(Osnovni_podaci!D20,8,1)="r"),VLOOKUP( $B117, T_Aop[], 5, 1),A1)</f>
        <v>341 ili 343</v>
      </c>
      <c r="D117" s="667" t="str">
        <f>IF(AND([0]!Godina=2025,MID(Osnovni_podaci!D20,3,1)="v",Osnovni_podaci!L24=2,Osnovni_podaci!G24=1,MID(Osnovni_podaci!D20,3,1)="v",MID(Osnovni_podaci!D20,8,1)="r"),VLOOKUP( $B117, T_Aop[], 6, 1),A1)</f>
        <v xml:space="preserve">    2. Neraspoređena dobit tekuće godine / Neraspoređeni višak prihoda nad rashodima tekuće godine</v>
      </c>
      <c r="E117" s="668"/>
      <c r="F117" s="668"/>
      <c r="G117" s="668"/>
      <c r="H117" s="669"/>
      <c r="I117" s="122">
        <f>IF(AND([0]!Godina=2025,MID(Osnovni_podaci!D20,3,1)="v",Osnovni_podaci!L24=2,Osnovni_podaci!G24=1,MID(Osnovni_podaci!D20,3,1)="v",MID(Osnovni_podaci!D20,8,1)="r"),VLOOKUP( $B117, T_Aop[], 4, 1),A1)</f>
        <v>126</v>
      </c>
      <c r="J117" s="155"/>
      <c r="K117" s="674"/>
      <c r="L117" s="675"/>
      <c r="M117" s="195">
        <v>252624</v>
      </c>
      <c r="N117" s="396"/>
      <c r="P117" s="44"/>
    </row>
    <row r="118" spans="2:16">
      <c r="B118" s="15">
        <v>94</v>
      </c>
      <c r="C118" s="358">
        <f>IF(AND([0]!Godina=2025,MID(Osnovni_podaci!D20,3,1)="v",Osnovni_podaci!L24=2,Osnovni_podaci!G24=1,MID(Osnovni_podaci!D20,3,1)="v",MID(Osnovni_podaci!D20,8,1)="r"),VLOOKUP( $B118, T_Aop[], 5, 1),A1)</f>
        <v>344</v>
      </c>
      <c r="D118" s="606" t="str">
        <f>IF(AND([0]!Godina=2025,MID(Osnovni_podaci!D20,3,1)="v",Osnovni_podaci!L24=2,Osnovni_podaci!G24=1,MID(Osnovni_podaci!D20,3,1)="v",MID(Osnovni_podaci!D20,8,1)="r"),VLOOKUP( $B118, T_Aop[], 6, 1),A1)</f>
        <v xml:space="preserve">    3. Neto prihod od samostalne djelatnosti</v>
      </c>
      <c r="E118" s="607"/>
      <c r="F118" s="607"/>
      <c r="G118" s="607"/>
      <c r="H118" s="608"/>
      <c r="I118" s="121">
        <f>IF(AND([0]!Godina=2025,MID(Osnovni_podaci!D20,3,1)="v",Osnovni_podaci!L24=2,Osnovni_podaci!G24=1,MID(Osnovni_podaci!D20,3,1)="v",MID(Osnovni_podaci!D20,8,1)="r"),VLOOKUP( $B118, T_Aop[], 4, 1),A1)</f>
        <v>127</v>
      </c>
      <c r="J118" s="157"/>
      <c r="K118" s="672"/>
      <c r="L118" s="673"/>
      <c r="M118" s="197"/>
      <c r="N118" s="395"/>
      <c r="P118" s="44"/>
    </row>
    <row r="119" spans="2:16">
      <c r="B119" s="15">
        <v>95</v>
      </c>
      <c r="C119" s="359" t="str">
        <f>IF(AND([0]!Godina=2025,MID(Osnovni_podaci!D20,3,1)="v",Osnovni_podaci!L24=2,Osnovni_podaci!G24=1,MID(Osnovni_podaci!D20,3,1)="v",MID(Osnovni_podaci!D20,8,1)="r"),VLOOKUP( $B119, T_Aop[], 5, 1),A1)</f>
        <v>35</v>
      </c>
      <c r="D119" s="609" t="str">
        <f>IF(AND([0]!Godina=2025,MID(Osnovni_podaci!D20,3,1)="v",Osnovni_podaci!L24=2,Osnovni_podaci!G24=1,MID(Osnovni_podaci!D20,3,1)="v",MID(Osnovni_podaci!D20,8,1)="r"),VLOOKUP( $B119, T_Aop[], 6, 1),A1)</f>
        <v xml:space="preserve">  X GUBITAK (129 + 130)  </v>
      </c>
      <c r="E119" s="610"/>
      <c r="F119" s="610"/>
      <c r="G119" s="610"/>
      <c r="H119" s="611"/>
      <c r="I119" s="171">
        <f>IF(AND([0]!Godina=2025,MID(Osnovni_podaci!D20,3,1)="v",Osnovni_podaci!L24=2,Osnovni_podaci!G24=1,MID(Osnovni_podaci!D20,3,1)="v",MID(Osnovni_podaci!D20,8,1)="r"),VLOOKUP( $B119, T_Aop[], 4, 1),A1)</f>
        <v>128</v>
      </c>
      <c r="J119" s="155"/>
      <c r="K119" s="674"/>
      <c r="L119" s="675"/>
      <c r="M119" s="50">
        <f>SUBTOTAL( 9, M120:M121)</f>
        <v>250206</v>
      </c>
      <c r="N119" s="240">
        <f>SUBTOTAL( 9, N120:N121)</f>
        <v>274065</v>
      </c>
      <c r="P119" s="44"/>
    </row>
    <row r="120" spans="2:16">
      <c r="B120" s="15">
        <v>96</v>
      </c>
      <c r="C120" s="358" t="str">
        <f>IF(AND([0]!Godina=2025,MID(Osnovni_podaci!D20,3,1)="v",Osnovni_podaci!L24=2,Osnovni_podaci!G24=1,MID(Osnovni_podaci!D20,3,1)="v",MID(Osnovni_podaci!D20,8,1)="r"),VLOOKUP( $B120, T_Aop[], 5, 1),A1)</f>
        <v>350 ili 352</v>
      </c>
      <c r="D120" s="606" t="str">
        <f>IF(AND([0]!Godina=2025,MID(Osnovni_podaci!D20,3,1)="v",Osnovni_podaci!L24=2,Osnovni_podaci!G24=1,MID(Osnovni_podaci!D20,3,1)="v",MID(Osnovni_podaci!D20,8,1)="r"),VLOOKUP( $B120, T_Aop[], 6, 1),A1)</f>
        <v xml:space="preserve">    1. Gubitak ranijih godina / Višak rashoda nad prihodima ranijih godina</v>
      </c>
      <c r="E120" s="607"/>
      <c r="F120" s="607"/>
      <c r="G120" s="607"/>
      <c r="H120" s="608"/>
      <c r="I120" s="121">
        <f>IF(AND([0]!Godina=2025,MID(Osnovni_podaci!D20,3,1)="v",Osnovni_podaci!L24=2,Osnovni_podaci!G24=1,MID(Osnovni_podaci!D20,3,1)="v",MID(Osnovni_podaci!D20,8,1)="r"),VLOOKUP( $B120, T_Aop[], 4, 1),A1)</f>
        <v>129</v>
      </c>
      <c r="J120" s="157"/>
      <c r="K120" s="672"/>
      <c r="L120" s="673"/>
      <c r="M120" s="197">
        <v>250206</v>
      </c>
      <c r="N120" s="395">
        <v>113237</v>
      </c>
      <c r="P120" s="44"/>
    </row>
    <row r="121" spans="2:16">
      <c r="B121" s="15">
        <v>97</v>
      </c>
      <c r="C121" s="359" t="str">
        <f>IF(AND([0]!Godina=2025,MID(Osnovni_podaci!D20,3,1)="v",Osnovni_podaci!L24=2,Osnovni_podaci!G24=1,MID(Osnovni_podaci!D20,3,1)="v",MID(Osnovni_podaci!D20,8,1)="r"),VLOOKUP( $B121, T_Aop[], 5, 1),A1)</f>
        <v>351 ili 353</v>
      </c>
      <c r="D121" s="603" t="str">
        <f>IF(AND([0]!Godina=2025,MID(Osnovni_podaci!D20,3,1)="v",Osnovni_podaci!L24=2,Osnovni_podaci!G24=1,MID(Osnovni_podaci!D20,3,1)="v",MID(Osnovni_podaci!D20,8,1)="r"),VLOOKUP( $B121, T_Aop[], 6, 1),A1)</f>
        <v xml:space="preserve">    2. Gubitak tekuće godine / Višak rashoda nad prihodima tekuće godine</v>
      </c>
      <c r="E121" s="604"/>
      <c r="F121" s="604"/>
      <c r="G121" s="604"/>
      <c r="H121" s="605"/>
      <c r="I121" s="122">
        <f>IF(AND([0]!Godina=2025,MID(Osnovni_podaci!D20,3,1)="v",Osnovni_podaci!L24=2,Osnovni_podaci!G24=1,MID(Osnovni_podaci!D20,3,1)="v",MID(Osnovni_podaci!D20,8,1)="r"),VLOOKUP( $B121, T_Aop[], 4, 1),A1)</f>
        <v>130</v>
      </c>
      <c r="J121" s="155"/>
      <c r="K121" s="674"/>
      <c r="L121" s="675"/>
      <c r="M121" s="195"/>
      <c r="N121" s="396">
        <v>160828</v>
      </c>
      <c r="P121" s="44"/>
    </row>
    <row r="122" spans="2:16">
      <c r="B122" s="15">
        <v>98</v>
      </c>
      <c r="C122" s="358" t="str">
        <f>IF(AND([0]!Godina=2025,MID(Osnovni_podaci!D20,3,1)="v",Osnovni_podaci!L24=2,Osnovni_podaci!G24=1,MID(Osnovni_podaci!D20,3,1)="v",MID(Osnovni_podaci!D20,8,1)="r"),VLOOKUP( $B122, T_Aop[], 5, 1),A1)</f>
        <v xml:space="preserve"> </v>
      </c>
      <c r="D122" s="628" t="str">
        <f>IF(AND([0]!Godina=2025,MID(Osnovni_podaci!D20,3,1)="v",Osnovni_podaci!L24=2,Osnovni_podaci!G24=1,MID(Osnovni_podaci!D20,3,1)="v",MID(Osnovni_podaci!D20,8,1)="r"),VLOOKUP( $B122, T_Aop[], 6, 1),A1)</f>
        <v xml:space="preserve">  XI UČEŠĆA BEZ PRAVA KONTROLE</v>
      </c>
      <c r="E122" s="629"/>
      <c r="F122" s="629"/>
      <c r="G122" s="629"/>
      <c r="H122" s="630"/>
      <c r="I122" s="170">
        <f>IF(AND([0]!Godina=2025,MID(Osnovni_podaci!D20,3,1)="v",Osnovni_podaci!L24=2,Osnovni_podaci!G24=1,MID(Osnovni_podaci!D20,3,1)="v",MID(Osnovni_podaci!D20,8,1)="r"),VLOOKUP( $B122, T_Aop[], 4, 1),A1)</f>
        <v>131</v>
      </c>
      <c r="J122" s="157"/>
      <c r="K122" s="672"/>
      <c r="L122" s="673"/>
      <c r="M122" s="201"/>
      <c r="N122" s="398"/>
      <c r="P122" s="44"/>
    </row>
    <row r="123" spans="2:16">
      <c r="B123" s="15">
        <v>99</v>
      </c>
      <c r="C123" s="359" t="str">
        <f>IF(AND([0]!Godina=2025,MID(Osnovni_podaci!D20,3,1)="v",Osnovni_podaci!L24=2,Osnovni_podaci!G24=1,MID(Osnovni_podaci!D20,3,1)="v",MID(Osnovni_podaci!D20,8,1)="r"),VLOOKUP( $B123, T_Aop[], 5, 1),A1)</f>
        <v xml:space="preserve"> </v>
      </c>
      <c r="D123" s="609" t="str">
        <f>IF(AND([0]!Godina=2025,MID(Osnovni_podaci!D20,3,1)="v",Osnovni_podaci!L24=2,Osnovni_podaci!G24=1,MID(Osnovni_podaci!D20,3,1)="v",MID(Osnovni_podaci!D20,8,1)="r"),VLOOKUP( $B123, T_Aop[], 6, 1),A1)</f>
        <v xml:space="preserve">  B. DUGOROČNA REZERVISANJA I DUGOROČNE OBAVEZE (133 + 137 + 145)</v>
      </c>
      <c r="E123" s="610"/>
      <c r="F123" s="610"/>
      <c r="G123" s="610"/>
      <c r="H123" s="611"/>
      <c r="I123" s="171">
        <f>IF(AND([0]!Godina=2025,MID(Osnovni_podaci!D20,3,1)="v",Osnovni_podaci!L24=2,Osnovni_podaci!G24=1,MID(Osnovni_podaci!D20,3,1)="v",MID(Osnovni_podaci!D20,8,1)="r"),VLOOKUP( $B123, T_Aop[], 4, 1),A1)</f>
        <v>132</v>
      </c>
      <c r="J123" s="155"/>
      <c r="K123" s="674"/>
      <c r="L123" s="675"/>
      <c r="M123" s="388">
        <f>SUBTOTAL( 9, M124:M136)</f>
        <v>0</v>
      </c>
      <c r="N123" s="399">
        <f>SUBTOTAL( 9, N124:N136)</f>
        <v>0</v>
      </c>
      <c r="P123" s="44"/>
    </row>
    <row r="124" spans="2:16">
      <c r="B124" s="15">
        <v>100</v>
      </c>
      <c r="C124" s="358" t="str">
        <f>IF(AND([0]!Godina=2025,MID(Osnovni_podaci!D20,3,1)="v",Osnovni_podaci!L24=2,Osnovni_podaci!G24=1,MID(Osnovni_podaci!D20,3,1)="v",MID(Osnovni_podaci!D20,8,1)="r"),VLOOKUP( $B124, T_Aop[], 5, 1),A1)</f>
        <v>dio 40</v>
      </c>
      <c r="D124" s="628" t="str">
        <f>IF(AND([0]!Godina=2025,MID(Osnovni_podaci!D20,3,1)="v",Osnovni_podaci!L24=2,Osnovni_podaci!G24=1,MID(Osnovni_podaci!D20,3,1)="v",MID(Osnovni_podaci!D20,8,1)="r"),VLOOKUP( $B124, T_Aop[], 6, 1),A1)</f>
        <v xml:space="preserve">  I DUGOROČNA REZERVISANJA (134 do 136)</v>
      </c>
      <c r="E124" s="629"/>
      <c r="F124" s="629"/>
      <c r="G124" s="629"/>
      <c r="H124" s="630"/>
      <c r="I124" s="170">
        <f>IF(AND([0]!Godina=2025,MID(Osnovni_podaci!D20,3,1)="v",Osnovni_podaci!L24=2,Osnovni_podaci!G24=1,MID(Osnovni_podaci!D20,3,1)="v",MID(Osnovni_podaci!D20,8,1)="r"),VLOOKUP( $B124, T_Aop[], 4, 1),A1)</f>
        <v>133</v>
      </c>
      <c r="J124" s="157"/>
      <c r="K124" s="672"/>
      <c r="L124" s="673"/>
      <c r="M124" s="48">
        <f>SUBTOTAL( 9, M125:M127)</f>
        <v>0</v>
      </c>
      <c r="N124" s="400">
        <f>SUBTOTAL( 9, N125:N127)</f>
        <v>0</v>
      </c>
      <c r="P124" s="44"/>
    </row>
    <row r="125" spans="2:16">
      <c r="B125" s="15">
        <v>101</v>
      </c>
      <c r="C125" s="359">
        <f>IF(AND([0]!Godina=2025,MID(Osnovni_podaci!D20,3,1)="v",Osnovni_podaci!L24=2,Osnovni_podaci!G24=1,MID(Osnovni_podaci!D20,3,1)="v",MID(Osnovni_podaci!D20,8,1)="r"),VLOOKUP( $B125, T_Aop[], 5, 1),A1)</f>
        <v>400</v>
      </c>
      <c r="D125" s="603" t="str">
        <f>IF(AND([0]!Godina=2025,MID(Osnovni_podaci!D20,3,1)="v",Osnovni_podaci!L24=2,Osnovni_podaci!G24=1,MID(Osnovni_podaci!D20,3,1)="v",MID(Osnovni_podaci!D20,8,1)="r"),VLOOKUP( $B125, T_Aop[], 6, 1),A1)</f>
        <v xml:space="preserve">    1. Rezervisanja za troškove u garantnom roku</v>
      </c>
      <c r="E125" s="604"/>
      <c r="F125" s="604"/>
      <c r="G125" s="604"/>
      <c r="H125" s="605"/>
      <c r="I125" s="122">
        <f>IF(AND([0]!Godina=2025,MID(Osnovni_podaci!D20,3,1)="v",Osnovni_podaci!L24=2,Osnovni_podaci!G24=1,MID(Osnovni_podaci!D20,3,1)="v",MID(Osnovni_podaci!D20,8,1)="r"),VLOOKUP( $B125, T_Aop[], 4, 1),A1)</f>
        <v>134</v>
      </c>
      <c r="J125" s="155"/>
      <c r="K125" s="674"/>
      <c r="L125" s="675"/>
      <c r="M125" s="195"/>
      <c r="N125" s="396"/>
      <c r="P125" s="44"/>
    </row>
    <row r="126" spans="2:16">
      <c r="B126" s="15">
        <v>102</v>
      </c>
      <c r="C126" s="358">
        <f>IF(AND([0]!Godina=2025,MID(Osnovni_podaci!D20,3,1)="v",Osnovni_podaci!L24=2,Osnovni_podaci!G24=1,MID(Osnovni_podaci!D20,3,1)="v",MID(Osnovni_podaci!D20,8,1)="r"),VLOOKUP( $B126, T_Aop[], 5, 1),A1)</f>
        <v>404</v>
      </c>
      <c r="D126" s="606" t="str">
        <f>IF(AND([0]!Godina=2025,MID(Osnovni_podaci!D20,3,1)="v",Osnovni_podaci!L24=2,Osnovni_podaci!G24=1,MID(Osnovni_podaci!D20,3,1)="v",MID(Osnovni_podaci!D20,8,1)="r"),VLOOKUP( $B126, T_Aop[], 6, 1),A1)</f>
        <v xml:space="preserve">    2. Rezervisanja za naknade i beneficije zaposlenih</v>
      </c>
      <c r="E126" s="607"/>
      <c r="F126" s="607"/>
      <c r="G126" s="607"/>
      <c r="H126" s="608"/>
      <c r="I126" s="121">
        <f>IF(AND([0]!Godina=2025,MID(Osnovni_podaci!D20,3,1)="v",Osnovni_podaci!L24=2,Osnovni_podaci!G24=1,MID(Osnovni_podaci!D20,3,1)="v",MID(Osnovni_podaci!D20,8,1)="r"),VLOOKUP( $B126, T_Aop[], 4, 1),A1)</f>
        <v>135</v>
      </c>
      <c r="J126" s="157"/>
      <c r="K126" s="672"/>
      <c r="L126" s="673"/>
      <c r="M126" s="197"/>
      <c r="N126" s="395"/>
      <c r="P126" s="44"/>
    </row>
    <row r="127" spans="2:16">
      <c r="B127" s="15">
        <v>103</v>
      </c>
      <c r="C127" s="359" t="str">
        <f>IF(AND([0]!Godina=2025,MID(Osnovni_podaci!D20,3,1)="v",Osnovni_podaci!L24=2,Osnovni_podaci!G24=1,MID(Osnovni_podaci!D20,3,1)="v",MID(Osnovni_podaci!D20,8,1)="r"),VLOOKUP( $B127, T_Aop[], 5, 1),A1)</f>
        <v>401, 402, 403, dio 409</v>
      </c>
      <c r="D127" s="603" t="str">
        <f>IF(AND([0]!Godina=2025,MID(Osnovni_podaci!D20,3,1)="v",Osnovni_podaci!L24=2,Osnovni_podaci!G24=1,MID(Osnovni_podaci!D20,3,1)="v",MID(Osnovni_podaci!D20,8,1)="r"),VLOOKUP( $B127, T_Aop[], 6, 1),A1)</f>
        <v xml:space="preserve">    3. Ostala dugoročna rezervisanja</v>
      </c>
      <c r="E127" s="604"/>
      <c r="F127" s="604"/>
      <c r="G127" s="604"/>
      <c r="H127" s="605"/>
      <c r="I127" s="122">
        <f>IF(AND([0]!Godina=2025,MID(Osnovni_podaci!D20,3,1)="v",Osnovni_podaci!L24=2,Osnovni_podaci!G24=1,MID(Osnovni_podaci!D20,3,1)="v",MID(Osnovni_podaci!D20,8,1)="r"),VLOOKUP( $B127, T_Aop[], 4, 1),A1)</f>
        <v>136</v>
      </c>
      <c r="J127" s="155"/>
      <c r="K127" s="674"/>
      <c r="L127" s="675"/>
      <c r="M127" s="195"/>
      <c r="N127" s="396"/>
      <c r="P127" s="44"/>
    </row>
    <row r="128" spans="2:16">
      <c r="B128" s="15">
        <v>104</v>
      </c>
      <c r="C128" s="358" t="str">
        <f>IF(AND([0]!Godina=2025,MID(Osnovni_podaci!D20,3,1)="v",Osnovni_podaci!L24=2,Osnovni_podaci!G24=1,MID(Osnovni_podaci!D20,3,1)="v",MID(Osnovni_podaci!D20,8,1)="r"),VLOOKUP( $B128, T_Aop[], 5, 1),A1)</f>
        <v xml:space="preserve"> </v>
      </c>
      <c r="D128" s="628" t="str">
        <f>IF(AND([0]!Godina=2025,MID(Osnovni_podaci!D20,3,1)="v",Osnovni_podaci!L24=2,Osnovni_podaci!G24=1,MID(Osnovni_podaci!D20,3,1)="v",MID(Osnovni_podaci!D20,8,1)="r"),VLOOKUP( $B128, T_Aop[], 6, 1),A1)</f>
        <v xml:space="preserve">  II DUGOROČNE OBAVEZE (138 do 144)</v>
      </c>
      <c r="E128" s="629"/>
      <c r="F128" s="629"/>
      <c r="G128" s="629"/>
      <c r="H128" s="630"/>
      <c r="I128" s="170">
        <f>IF(AND([0]!Godina=2025,MID(Osnovni_podaci!D20,3,1)="v",Osnovni_podaci!L24=2,Osnovni_podaci!G24=1,MID(Osnovni_podaci!D20,3,1)="v",MID(Osnovni_podaci!D20,8,1)="r"),VLOOKUP( $B128, T_Aop[], 4, 1),A1)</f>
        <v>137</v>
      </c>
      <c r="J128" s="157"/>
      <c r="K128" s="672"/>
      <c r="L128" s="673"/>
      <c r="M128" s="48">
        <f>SUBTOTAL( 9, M129:M135)</f>
        <v>0</v>
      </c>
      <c r="N128" s="400">
        <f>SUBTOTAL( 9, N129:N135)</f>
        <v>0</v>
      </c>
      <c r="P128" s="44"/>
    </row>
    <row r="129" spans="2:16">
      <c r="B129" s="15">
        <v>105</v>
      </c>
      <c r="C129" s="359">
        <f>IF(AND([0]!Godina=2025,MID(Osnovni_podaci!D20,3,1)="v",Osnovni_podaci!L24=2,Osnovni_podaci!G24=1,MID(Osnovni_podaci!D20,3,1)="v",MID(Osnovni_podaci!D20,8,1)="r"),VLOOKUP( $B129, T_Aop[], 5, 1),A1)</f>
        <v>411</v>
      </c>
      <c r="D129" s="603" t="str">
        <f>IF(AND([0]!Godina=2025,MID(Osnovni_podaci!D20,3,1)="v",Osnovni_podaci!L24=2,Osnovni_podaci!G24=1,MID(Osnovni_podaci!D20,3,1)="v",MID(Osnovni_podaci!D20,8,1)="r"),VLOOKUP( $B129, T_Aop[], 6, 1),A1)</f>
        <v xml:space="preserve">    1. Obaveze prema povezanim pravnim licima</v>
      </c>
      <c r="E129" s="604"/>
      <c r="F129" s="604"/>
      <c r="G129" s="604"/>
      <c r="H129" s="605"/>
      <c r="I129" s="122">
        <f>IF(AND([0]!Godina=2025,MID(Osnovni_podaci!D20,3,1)="v",Osnovni_podaci!L24=2,Osnovni_podaci!G24=1,MID(Osnovni_podaci!D20,3,1)="v",MID(Osnovni_podaci!D20,8,1)="r"),VLOOKUP( $B129, T_Aop[], 4, 1),A1)</f>
        <v>138</v>
      </c>
      <c r="J129" s="155"/>
      <c r="K129" s="674"/>
      <c r="L129" s="675"/>
      <c r="M129" s="195"/>
      <c r="N129" s="396"/>
      <c r="P129" s="44"/>
    </row>
    <row r="130" spans="2:16">
      <c r="B130" s="15">
        <v>106</v>
      </c>
      <c r="C130" s="358">
        <f>IF(AND([0]!Godina=2025,MID(Osnovni_podaci!D20,3,1)="v",Osnovni_podaci!L24=2,Osnovni_podaci!G24=1,MID(Osnovni_podaci!D20,3,1)="v",MID(Osnovni_podaci!D20,8,1)="r"),VLOOKUP( $B130, T_Aop[], 5, 1),A1)</f>
        <v>413</v>
      </c>
      <c r="D130" s="606" t="str">
        <f>IF(AND([0]!Godina=2025,MID(Osnovni_podaci!D20,3,1)="v",Osnovni_podaci!L24=2,Osnovni_podaci!G24=1,MID(Osnovni_podaci!D20,3,1)="v",MID(Osnovni_podaci!D20,8,1)="r"),VLOOKUP( $B130, T_Aop[], 6, 1),A1)</f>
        <v xml:space="preserve">    2. Dugoročni krediti u zemlji</v>
      </c>
      <c r="E130" s="607"/>
      <c r="F130" s="607"/>
      <c r="G130" s="607"/>
      <c r="H130" s="608"/>
      <c r="I130" s="121">
        <f>IF(AND([0]!Godina=2025,MID(Osnovni_podaci!D20,3,1)="v",Osnovni_podaci!L24=2,Osnovni_podaci!G24=1,MID(Osnovni_podaci!D20,3,1)="v",MID(Osnovni_podaci!D20,8,1)="r"),VLOOKUP( $B130, T_Aop[], 4, 1),A1)</f>
        <v>139</v>
      </c>
      <c r="J130" s="157"/>
      <c r="K130" s="672"/>
      <c r="L130" s="673"/>
      <c r="M130" s="197"/>
      <c r="N130" s="395"/>
      <c r="P130" s="44"/>
    </row>
    <row r="131" spans="2:16">
      <c r="B131" s="15">
        <v>107</v>
      </c>
      <c r="C131" s="359">
        <f>IF(AND([0]!Godina=2025,MID(Osnovni_podaci!D20,3,1)="v",Osnovni_podaci!L24=2,Osnovni_podaci!G24=1,MID(Osnovni_podaci!D20,3,1)="v",MID(Osnovni_podaci!D20,8,1)="r"),VLOOKUP( $B131, T_Aop[], 5, 1),A1)</f>
        <v>414</v>
      </c>
      <c r="D131" s="603" t="str">
        <f>IF(AND([0]!Godina=2025,MID(Osnovni_podaci!D20,3,1)="v",Osnovni_podaci!L24=2,Osnovni_podaci!G24=1,MID(Osnovni_podaci!D20,3,1)="v",MID(Osnovni_podaci!D20,8,1)="r"),VLOOKUP( $B131, T_Aop[], 6, 1),A1)</f>
        <v xml:space="preserve">    3. Dugoročni krediti u inostranstvu</v>
      </c>
      <c r="E131" s="604"/>
      <c r="F131" s="604"/>
      <c r="G131" s="604"/>
      <c r="H131" s="605"/>
      <c r="I131" s="122">
        <f>IF(AND([0]!Godina=2025,MID(Osnovni_podaci!D20,3,1)="v",Osnovni_podaci!L24=2,Osnovni_podaci!G24=1,MID(Osnovni_podaci!D20,3,1)="v",MID(Osnovni_podaci!D20,8,1)="r"),VLOOKUP( $B131, T_Aop[], 4, 1),A1)</f>
        <v>140</v>
      </c>
      <c r="J131" s="155"/>
      <c r="K131" s="674"/>
      <c r="L131" s="675"/>
      <c r="M131" s="195"/>
      <c r="N131" s="196"/>
      <c r="P131" s="44"/>
    </row>
    <row r="132" spans="2:16">
      <c r="B132" s="15">
        <v>108</v>
      </c>
      <c r="C132" s="358">
        <f>IF(AND([0]!Godina=2025,MID(Osnovni_podaci!D20,3,1)="v",Osnovni_podaci!L24=2,Osnovni_podaci!G24=1,MID(Osnovni_podaci!D20,3,1)="v",MID(Osnovni_podaci!D20,8,1)="r"),VLOOKUP( $B132, T_Aop[], 5, 1),A1)</f>
        <v>412</v>
      </c>
      <c r="D132" s="606" t="str">
        <f>IF(AND([0]!Godina=2025,MID(Osnovni_podaci!D20,3,1)="v",Osnovni_podaci!L24=2,Osnovni_podaci!G24=1,MID(Osnovni_podaci!D20,3,1)="v",MID(Osnovni_podaci!D20,8,1)="r"),VLOOKUP( $B132, T_Aop[], 6, 1),A1)</f>
        <v xml:space="preserve">    4. Obaveze po emitovanim dužničkim instrumentima</v>
      </c>
      <c r="E132" s="607"/>
      <c r="F132" s="607"/>
      <c r="G132" s="607"/>
      <c r="H132" s="608"/>
      <c r="I132" s="121">
        <f>IF(AND([0]!Godina=2025,MID(Osnovni_podaci!D20,3,1)="v",Osnovni_podaci!L24=2,Osnovni_podaci!G24=1,MID(Osnovni_podaci!D20,3,1)="v",MID(Osnovni_podaci!D20,8,1)="r"),VLOOKUP( $B132, T_Aop[], 4, 1),A1)</f>
        <v>141</v>
      </c>
      <c r="J132" s="157"/>
      <c r="K132" s="672"/>
      <c r="L132" s="673"/>
      <c r="M132" s="197"/>
      <c r="N132" s="198"/>
      <c r="P132" s="44"/>
    </row>
    <row r="133" spans="2:16">
      <c r="B133" s="15">
        <v>109</v>
      </c>
      <c r="C133" s="359" t="str">
        <f>IF(AND([0]!Godina=2025,MID(Osnovni_podaci!D20,3,1)="v",Osnovni_podaci!L24=2,Osnovni_podaci!G24=1,MID(Osnovni_podaci!D20,3,1)="v",MID(Osnovni_podaci!D20,8,1)="r"),VLOOKUP( $B133, T_Aop[], 5, 1),A1)</f>
        <v>415, 416</v>
      </c>
      <c r="D133" s="603" t="str">
        <f>IF(AND([0]!Godina=2025,MID(Osnovni_podaci!D20,3,1)="v",Osnovni_podaci!L24=2,Osnovni_podaci!G24=1,MID(Osnovni_podaci!D20,3,1)="v",MID(Osnovni_podaci!D20,8,1)="r"),VLOOKUP( $B133, T_Aop[], 6, 1),A1)</f>
        <v xml:space="preserve">    5. Dugoročne obaveze po lizingu</v>
      </c>
      <c r="E133" s="604"/>
      <c r="F133" s="604"/>
      <c r="G133" s="604"/>
      <c r="H133" s="605"/>
      <c r="I133" s="122">
        <f>IF(AND([0]!Godina=2025,MID(Osnovni_podaci!D20,3,1)="v",Osnovni_podaci!L24=2,Osnovni_podaci!G24=1,MID(Osnovni_podaci!D20,3,1)="v",MID(Osnovni_podaci!D20,8,1)="r"),VLOOKUP( $B133, T_Aop[], 4, 1),A1)</f>
        <v>142</v>
      </c>
      <c r="J133" s="155"/>
      <c r="K133" s="674"/>
      <c r="L133" s="675"/>
      <c r="M133" s="195"/>
      <c r="N133" s="196"/>
      <c r="P133" s="44"/>
    </row>
    <row r="134" spans="2:16">
      <c r="B134" s="15">
        <v>110</v>
      </c>
      <c r="C134" s="358" t="str">
        <f>IF(AND([0]!Godina=2025,MID(Osnovni_podaci!D20,3,1)="v",Osnovni_podaci!L24=2,Osnovni_podaci!G24=1,MID(Osnovni_podaci!D20,3,1)="v",MID(Osnovni_podaci!D20,8,1)="r"),VLOOKUP( $B134, T_Aop[], 5, 1),A1)</f>
        <v>418</v>
      </c>
      <c r="D134" s="606" t="str">
        <f>IF(AND([0]!Godina=2025,MID(Osnovni_podaci!D20,3,1)="v",Osnovni_podaci!L24=2,Osnovni_podaci!G24=1,MID(Osnovni_podaci!D20,3,1)="v",MID(Osnovni_podaci!D20,8,1)="r"),VLOOKUP( $B134, T_Aop[], 6, 1),A1)</f>
        <v xml:space="preserve">    6. Ostale dugoročne finansijske obaveze po amortizovanoj vrijednosti</v>
      </c>
      <c r="E134" s="607"/>
      <c r="F134" s="607"/>
      <c r="G134" s="607"/>
      <c r="H134" s="608"/>
      <c r="I134" s="121">
        <f>IF(AND([0]!Godina=2025,MID(Osnovni_podaci!D20,3,1)="v",Osnovni_podaci!L24=2,Osnovni_podaci!G24=1,MID(Osnovni_podaci!D20,3,1)="v",MID(Osnovni_podaci!D20,8,1)="r"),VLOOKUP( $B134, T_Aop[], 4, 1),A1)</f>
        <v>143</v>
      </c>
      <c r="J134" s="157"/>
      <c r="K134" s="672"/>
      <c r="L134" s="673"/>
      <c r="M134" s="197"/>
      <c r="N134" s="198"/>
      <c r="P134" s="44"/>
    </row>
    <row r="135" spans="2:16">
      <c r="B135" s="15">
        <v>111</v>
      </c>
      <c r="C135" s="359" t="str">
        <f>IF(AND([0]!Godina=2025,MID(Osnovni_podaci!D20,3,1)="v",Osnovni_podaci!L24=2,Osnovni_podaci!G24=1,MID(Osnovni_podaci!D20,3,1)="v",MID(Osnovni_podaci!D20,8,1)="r"),VLOOKUP( $B135, T_Aop[], 5, 1),A1)</f>
        <v>dio 409, 410, 419</v>
      </c>
      <c r="D135" s="603" t="str">
        <f>IF(AND([0]!Godina=2025,MID(Osnovni_podaci!D20,3,1)="v",Osnovni_podaci!L24=2,Osnovni_podaci!G24=1,MID(Osnovni_podaci!D20,3,1)="v",MID(Osnovni_podaci!D20,8,1)="r"),VLOOKUP( $B135, T_Aop[], 6, 1),A1)</f>
        <v xml:space="preserve">    7. Ostale dugoročne obaveze, uključujući razgraničenja</v>
      </c>
      <c r="E135" s="604"/>
      <c r="F135" s="604"/>
      <c r="G135" s="604"/>
      <c r="H135" s="605"/>
      <c r="I135" s="122">
        <f>IF(AND([0]!Godina=2025,MID(Osnovni_podaci!D20,3,1)="v",Osnovni_podaci!L24=2,Osnovni_podaci!G24=1,MID(Osnovni_podaci!D20,3,1)="v",MID(Osnovni_podaci!D20,8,1)="r"),VLOOKUP( $B135, T_Aop[], 4, 1),A1)</f>
        <v>144</v>
      </c>
      <c r="J135" s="155"/>
      <c r="K135" s="674"/>
      <c r="L135" s="675"/>
      <c r="M135" s="195"/>
      <c r="N135" s="196"/>
      <c r="P135" s="44"/>
    </row>
    <row r="136" spans="2:16">
      <c r="B136" s="15">
        <v>112</v>
      </c>
      <c r="C136" s="358">
        <f>IF(AND([0]!Godina=2025,MID(Osnovni_podaci!D20,3,1)="v",Osnovni_podaci!L24=2,Osnovni_podaci!G24=1,MID(Osnovni_podaci!D20,3,1)="v",MID(Osnovni_podaci!D20,8,1)="r"),VLOOKUP( $B136, T_Aop[], 5, 1),A1)</f>
        <v>408</v>
      </c>
      <c r="D136" s="628" t="str">
        <f>IF(AND([0]!Godina=2025,MID(Osnovni_podaci!D20,3,1)="v",Osnovni_podaci!L24=2,Osnovni_podaci!G24=1,MID(Osnovni_podaci!D20,3,1)="v",MID(Osnovni_podaci!D20,8,1)="r"),VLOOKUP( $B136, T_Aop[], 6, 1),A1)</f>
        <v xml:space="preserve">  III RAZGRANIČENI PRIHODI I PRIMLJENE DONACIJE</v>
      </c>
      <c r="E136" s="629"/>
      <c r="F136" s="629"/>
      <c r="G136" s="629"/>
      <c r="H136" s="630"/>
      <c r="I136" s="170">
        <f>IF(AND([0]!Godina=2025,MID(Osnovni_podaci!D20,3,1)="v",Osnovni_podaci!L24=2,Osnovni_podaci!G24=1,MID(Osnovni_podaci!D20,3,1)="v",MID(Osnovni_podaci!D20,8,1)="r"),VLOOKUP( $B136, T_Aop[], 4, 1),A1)</f>
        <v>145</v>
      </c>
      <c r="J136" s="157"/>
      <c r="K136" s="672"/>
      <c r="L136" s="673"/>
      <c r="M136" s="201"/>
      <c r="N136" s="202"/>
      <c r="P136" s="44"/>
    </row>
    <row r="137" spans="2:16">
      <c r="B137" s="15">
        <v>113</v>
      </c>
      <c r="C137" s="359">
        <f>IF(AND([0]!Godina=2025,MID(Osnovni_podaci!D20,3,1)="v",Osnovni_podaci!L24=2,Osnovni_podaci!G24=1,MID(Osnovni_podaci!D20,3,1)="v",MID(Osnovni_podaci!D20,8,1)="r"),VLOOKUP( $B137, T_Aop[], 5, 1),A1)</f>
        <v>407</v>
      </c>
      <c r="D137" s="609" t="str">
        <f>IF(AND([0]!Godina=2025,MID(Osnovni_podaci!D20,3,1)="v",Osnovni_podaci!L24=2,Osnovni_podaci!G24=1,MID(Osnovni_podaci!D20,3,1)="v",MID(Osnovni_podaci!D20,8,1)="r"),VLOOKUP( $B137, T_Aop[], 6, 1),A1)</f>
        <v xml:space="preserve">  V. ODLOŽENE PORESKE OBAVEZE </v>
      </c>
      <c r="E137" s="610"/>
      <c r="F137" s="610"/>
      <c r="G137" s="610"/>
      <c r="H137" s="611"/>
      <c r="I137" s="171">
        <f>IF(AND([0]!Godina=2025,MID(Osnovni_podaci!D20,3,1)="v",Osnovni_podaci!L24=2,Osnovni_podaci!G24=1,MID(Osnovni_podaci!D20,3,1)="v",MID(Osnovni_podaci!D20,8,1)="r"),VLOOKUP( $B137, T_Aop[], 4, 1),A1)</f>
        <v>146</v>
      </c>
      <c r="J137" s="155"/>
      <c r="K137" s="674"/>
      <c r="L137" s="675"/>
      <c r="M137" s="199"/>
      <c r="N137" s="200"/>
      <c r="P137" s="44"/>
    </row>
    <row r="138" spans="2:16" ht="23.65" customHeight="1">
      <c r="B138" s="15">
        <v>114</v>
      </c>
      <c r="C138" s="358" t="str">
        <f>IF(AND([0]!Godina=2025,MID(Osnovni_podaci!D20,3,1)="v",Osnovni_podaci!L24=2,Osnovni_podaci!G24=1,MID(Osnovni_podaci!D20,3,1)="v",MID(Osnovni_podaci!D20,8,1)="r"),VLOOKUP( $B138, T_Aop[], 5, 1),A1)</f>
        <v>42 do 49</v>
      </c>
      <c r="D138" s="628" t="str">
        <f>IF(AND([0]!Godina=2025,MID(Osnovni_podaci!D20,3,1)="v",Osnovni_podaci!L24=2,Osnovni_podaci!G24=1,MID(Osnovni_podaci!D20,3,1)="v",MID(Osnovni_podaci!D20,8,1)="r"),VLOOKUP( $B138, T_Aop[], 6, 1),A1)</f>
        <v xml:space="preserve">   G. KRATKOROČNE OBAVEZE I KRATKOROČNA REZERVISANJA(148 + 155 + 161 + 162 + 163 + 164 + 165 + 166 + 167 + 168)</v>
      </c>
      <c r="E138" s="629"/>
      <c r="F138" s="629"/>
      <c r="G138" s="629"/>
      <c r="H138" s="630"/>
      <c r="I138" s="170">
        <f>IF(AND([0]!Godina=2025,MID(Osnovni_podaci!D20,3,1)="v",Osnovni_podaci!L24=2,Osnovni_podaci!G24=1,MID(Osnovni_podaci!D20,3,1)="v",MID(Osnovni_podaci!D20,8,1)="r"),VLOOKUP( $B138, T_Aop[], 4, 1),A1)</f>
        <v>147</v>
      </c>
      <c r="J138" s="157"/>
      <c r="K138" s="672"/>
      <c r="L138" s="673"/>
      <c r="M138" s="48">
        <f>SUBTOTAL( 9, M139:M159)</f>
        <v>335580</v>
      </c>
      <c r="N138" s="49">
        <f>SUBTOTAL( 9, N139:N159)</f>
        <v>361120</v>
      </c>
      <c r="P138" s="44"/>
    </row>
    <row r="139" spans="2:16">
      <c r="B139" s="15">
        <v>115</v>
      </c>
      <c r="C139" s="359">
        <f>IF(AND([0]!Godina=2025,MID(Osnovni_podaci!D20,3,1)="v",Osnovni_podaci!L24=2,Osnovni_podaci!G24=1,MID(Osnovni_podaci!D20,3,1)="v",MID(Osnovni_podaci!D20,8,1)="r"),VLOOKUP( $B139, T_Aop[], 5, 1),A1)</f>
        <v>42</v>
      </c>
      <c r="D139" s="603" t="str">
        <f>IF(AND([0]!Godina=2025,MID(Osnovni_podaci!D20,3,1)="v",Osnovni_podaci!L24=2,Osnovni_podaci!G24=1,MID(Osnovni_podaci!D20,3,1)="v",MID(Osnovni_podaci!D20,8,1)="r"),VLOOKUP( $B139, T_Aop[], 6, 1),A1)</f>
        <v xml:space="preserve">    1. Kratkoročne finansijske obaveze (149 do 154)</v>
      </c>
      <c r="E139" s="604"/>
      <c r="F139" s="604"/>
      <c r="G139" s="604"/>
      <c r="H139" s="605"/>
      <c r="I139" s="122">
        <f>IF(AND([0]!Godina=2025,MID(Osnovni_podaci!D20,3,1)="v",Osnovni_podaci!L24=2,Osnovni_podaci!G24=1,MID(Osnovni_podaci!D20,3,1)="v",MID(Osnovni_podaci!D20,8,1)="r"),VLOOKUP( $B139, T_Aop[], 4, 1),A1)</f>
        <v>148</v>
      </c>
      <c r="J139" s="155"/>
      <c r="K139" s="674"/>
      <c r="L139" s="675"/>
      <c r="M139" s="50">
        <f>SUBTOTAL( 9, M140:M145)</f>
        <v>0</v>
      </c>
      <c r="N139" s="51">
        <f>SUBTOTAL( 9, N140:N145)</f>
        <v>0</v>
      </c>
      <c r="P139" s="44"/>
    </row>
    <row r="140" spans="2:16">
      <c r="B140" s="15">
        <v>116</v>
      </c>
      <c r="C140" s="358">
        <f>IF(AND([0]!Godina=2025,MID(Osnovni_podaci!D20,3,1)="v",Osnovni_podaci!L24=2,Osnovni_podaci!G24=1,MID(Osnovni_podaci!D20,3,1)="v",MID(Osnovni_podaci!D20,8,1)="r"),VLOOKUP( $B140, T_Aop[], 5, 1),A1)</f>
        <v>420</v>
      </c>
      <c r="D140" s="606" t="str">
        <f>IF(AND([0]!Godina=2025,MID(Osnovni_podaci!D20,3,1)="v",Osnovni_podaci!L24=2,Osnovni_podaci!G24=1,MID(Osnovni_podaci!D20,3,1)="v",MID(Osnovni_podaci!D20,8,1)="r"),VLOOKUP( $B140, T_Aop[], 6, 1),A1)</f>
        <v xml:space="preserve">      1.1. Kratkoročne finansijske obaveze prema povezanim pravnim licima</v>
      </c>
      <c r="E140" s="607"/>
      <c r="F140" s="607"/>
      <c r="G140" s="607"/>
      <c r="H140" s="608"/>
      <c r="I140" s="121">
        <f>IF(AND([0]!Godina=2025,MID(Osnovni_podaci!D20,3,1)="v",Osnovni_podaci!L24=2,Osnovni_podaci!G24=1,MID(Osnovni_podaci!D20,3,1)="v",MID(Osnovni_podaci!D20,8,1)="r"),VLOOKUP( $B140, T_Aop[], 4, 1),A1)</f>
        <v>149</v>
      </c>
      <c r="J140" s="157"/>
      <c r="K140" s="672"/>
      <c r="L140" s="673"/>
      <c r="M140" s="197"/>
      <c r="N140" s="198"/>
      <c r="P140" s="44"/>
    </row>
    <row r="141" spans="2:16">
      <c r="B141" s="15">
        <v>117</v>
      </c>
      <c r="C141" s="359" t="str">
        <f>IF(AND([0]!Godina=2025,MID(Osnovni_podaci!D20,3,1)="v",Osnovni_podaci!L24=2,Osnovni_podaci!G24=1,MID(Osnovni_podaci!D20,3,1)="v",MID(Osnovni_podaci!D20,8,1)="r"),VLOOKUP( $B141, T_Aop[], 5, 1),A1)</f>
        <v>421 do 424</v>
      </c>
      <c r="D141" s="603" t="str">
        <f>IF(AND([0]!Godina=2025,MID(Osnovni_podaci!D20,3,1)="v",Osnovni_podaci!L24=2,Osnovni_podaci!G24=1,MID(Osnovni_podaci!D20,3,1)="v",MID(Osnovni_podaci!D20,8,1)="r"),VLOOKUP( $B141, T_Aop[], 6, 1),A1)</f>
        <v xml:space="preserve">      1.2. Kratkoročni krediti i obaveze po emitovanim kratkoročnim hartijama od vrijednosti</v>
      </c>
      <c r="E141" s="604"/>
      <c r="F141" s="604"/>
      <c r="G141" s="604"/>
      <c r="H141" s="605"/>
      <c r="I141" s="122">
        <f>IF(AND([0]!Godina=2025,MID(Osnovni_podaci!D20,3,1)="v",Osnovni_podaci!L24=2,Osnovni_podaci!G24=1,MID(Osnovni_podaci!D20,3,1)="v",MID(Osnovni_podaci!D20,8,1)="r"),VLOOKUP( $B141, T_Aop[], 4, 1),A1)</f>
        <v>150</v>
      </c>
      <c r="J141" s="155"/>
      <c r="K141" s="674"/>
      <c r="L141" s="675"/>
      <c r="M141" s="195"/>
      <c r="N141" s="196"/>
      <c r="P141" s="44"/>
    </row>
    <row r="142" spans="2:16">
      <c r="B142" s="15">
        <v>118</v>
      </c>
      <c r="C142" s="358" t="str">
        <f>IF(AND([0]!Godina=2025,MID(Osnovni_podaci!D20,3,1)="v",Osnovni_podaci!L24=2,Osnovni_podaci!G24=1,MID(Osnovni_podaci!D20,3,1)="v",MID(Osnovni_podaci!D20,8,1)="r"),VLOOKUP( $B142, T_Aop[], 5, 1),A1)</f>
        <v>425 i 426</v>
      </c>
      <c r="D142" s="606" t="str">
        <f>IF(AND([0]!Godina=2025,MID(Osnovni_podaci!D20,3,1)="v",Osnovni_podaci!L24=2,Osnovni_podaci!G24=1,MID(Osnovni_podaci!D20,3,1)="v",MID(Osnovni_podaci!D20,8,1)="r"),VLOOKUP( $B142, T_Aop[], 6, 1),A1)</f>
        <v xml:space="preserve">      1.3. Kratkoročne obaveze po lizingu</v>
      </c>
      <c r="E142" s="607"/>
      <c r="F142" s="607"/>
      <c r="G142" s="607"/>
      <c r="H142" s="608"/>
      <c r="I142" s="121">
        <f>IF(AND([0]!Godina=2025,MID(Osnovni_podaci!D20,3,1)="v",Osnovni_podaci!L24=2,Osnovni_podaci!G24=1,MID(Osnovni_podaci!D20,3,1)="v",MID(Osnovni_podaci!D20,8,1)="r"),VLOOKUP( $B142, T_Aop[], 4, 1),A1)</f>
        <v>151</v>
      </c>
      <c r="J142" s="157"/>
      <c r="K142" s="672"/>
      <c r="L142" s="673"/>
      <c r="M142" s="197"/>
      <c r="N142" s="198"/>
      <c r="P142" s="44"/>
    </row>
    <row r="143" spans="2:16">
      <c r="B143" s="15">
        <v>119</v>
      </c>
      <c r="C143" s="359">
        <f>IF(AND([0]!Godina=2025,MID(Osnovni_podaci!D20,3,1)="v",Osnovni_podaci!L24=2,Osnovni_podaci!G24=1,MID(Osnovni_podaci!D20,3,1)="v",MID(Osnovni_podaci!D20,8,1)="r"),VLOOKUP( $B143, T_Aop[], 5, 1),A1)</f>
        <v>427</v>
      </c>
      <c r="D143" s="603" t="str">
        <f>IF(AND([0]!Godina=2025,MID(Osnovni_podaci!D20,3,1)="v",Osnovni_podaci!L24=2,Osnovni_podaci!G24=1,MID(Osnovni_podaci!D20,3,1)="v",MID(Osnovni_podaci!D20,8,1)="r"),VLOOKUP( $B143, T_Aop[], 6, 1),A1)</f>
        <v xml:space="preserve">      1.4. Kratkoročne obaveze po fer vrijednosti kroz bilans uspjeha</v>
      </c>
      <c r="E143" s="604"/>
      <c r="F143" s="604"/>
      <c r="G143" s="604"/>
      <c r="H143" s="605"/>
      <c r="I143" s="122">
        <f>IF(AND([0]!Godina=2025,MID(Osnovni_podaci!D20,3,1)="v",Osnovni_podaci!L24=2,Osnovni_podaci!G24=1,MID(Osnovni_podaci!D20,3,1)="v",MID(Osnovni_podaci!D20,8,1)="r"),VLOOKUP( $B143, T_Aop[], 4, 1),A1)</f>
        <v>152</v>
      </c>
      <c r="J143" s="155"/>
      <c r="K143" s="674"/>
      <c r="L143" s="675"/>
      <c r="M143" s="195"/>
      <c r="N143" s="196"/>
      <c r="P143" s="44"/>
    </row>
    <row r="144" spans="2:16">
      <c r="B144" s="15">
        <v>120</v>
      </c>
      <c r="C144" s="358">
        <f>IF(AND([0]!Godina=2025,MID(Osnovni_podaci!D20,3,1)="v",Osnovni_podaci!L24=2,Osnovni_podaci!G24=1,MID(Osnovni_podaci!D20,3,1)="v",MID(Osnovni_podaci!D20,8,1)="r"),VLOOKUP( $B144, T_Aop[], 5, 1),A1)</f>
        <v>428</v>
      </c>
      <c r="D144" s="606" t="str">
        <f>IF(AND([0]!Godina=2025,MID(Osnovni_podaci!D20,3,1)="v",Osnovni_podaci!L24=2,Osnovni_podaci!G24=1,MID(Osnovni_podaci!D20,3,1)="v",MID(Osnovni_podaci!D20,8,1)="r"),VLOOKUP( $B144, T_Aop[], 6, 1),A1)</f>
        <v xml:space="preserve">      1.5. Derivatne finansijske obaveze</v>
      </c>
      <c r="E144" s="607"/>
      <c r="F144" s="607"/>
      <c r="G144" s="607"/>
      <c r="H144" s="608"/>
      <c r="I144" s="121">
        <f>IF(AND([0]!Godina=2025,MID(Osnovni_podaci!D20,3,1)="v",Osnovni_podaci!L24=2,Osnovni_podaci!G24=1,MID(Osnovni_podaci!D20,3,1)="v",MID(Osnovni_podaci!D20,8,1)="r"),VLOOKUP( $B144, T_Aop[], 4, 1),A1)</f>
        <v>153</v>
      </c>
      <c r="J144" s="157"/>
      <c r="K144" s="672"/>
      <c r="L144" s="673"/>
      <c r="M144" s="197"/>
      <c r="N144" s="198"/>
      <c r="P144" s="44"/>
    </row>
    <row r="145" spans="2:16">
      <c r="B145" s="15">
        <v>121</v>
      </c>
      <c r="C145" s="359">
        <f>IF(AND([0]!Godina=2025,MID(Osnovni_podaci!D20,3,1)="v",Osnovni_podaci!L24=2,Osnovni_podaci!G24=1,MID(Osnovni_podaci!D20,3,1)="v",MID(Osnovni_podaci!D20,8,1)="r"),VLOOKUP( $B145, T_Aop[], 5, 1),A1)</f>
        <v>429</v>
      </c>
      <c r="D145" s="603" t="str">
        <f>IF(AND([0]!Godina=2025,MID(Osnovni_podaci!D20,3,1)="v",Osnovni_podaci!L24=2,Osnovni_podaci!G24=1,MID(Osnovni_podaci!D20,3,1)="v",MID(Osnovni_podaci!D20,8,1)="r"),VLOOKUP( $B145, T_Aop[], 6, 1),A1)</f>
        <v xml:space="preserve">      1.6. Ostale obaveze po amortizovanoj vrijednosti</v>
      </c>
      <c r="E145" s="604"/>
      <c r="F145" s="604"/>
      <c r="G145" s="604"/>
      <c r="H145" s="605"/>
      <c r="I145" s="122">
        <f>IF(AND([0]!Godina=2025,MID(Osnovni_podaci!D20,3,1)="v",Osnovni_podaci!L24=2,Osnovni_podaci!G24=1,MID(Osnovni_podaci!D20,3,1)="v",MID(Osnovni_podaci!D20,8,1)="r"),VLOOKUP( $B145, T_Aop[], 4, 1),A1)</f>
        <v>154</v>
      </c>
      <c r="J145" s="155"/>
      <c r="K145" s="674"/>
      <c r="L145" s="675"/>
      <c r="M145" s="195"/>
      <c r="N145" s="196"/>
      <c r="P145" s="44"/>
    </row>
    <row r="146" spans="2:16">
      <c r="B146" s="15">
        <v>122</v>
      </c>
      <c r="C146" s="358">
        <f>IF(AND([0]!Godina=2025,MID(Osnovni_podaci!D20,3,1)="v",Osnovni_podaci!L24=2,Osnovni_podaci!G24=1,MID(Osnovni_podaci!D20,3,1)="v",MID(Osnovni_podaci!D20,8,1)="r"),VLOOKUP( $B146, T_Aop[], 5, 1),A1)</f>
        <v>43</v>
      </c>
      <c r="D146" s="606" t="str">
        <f>IF(AND([0]!Godina=2025,MID(Osnovni_podaci!D20,3,1)="v",Osnovni_podaci!L24=2,Osnovni_podaci!G24=1,MID(Osnovni_podaci!D20,3,1)="v",MID(Osnovni_podaci!D20,8,1)="r"),VLOOKUP( $B146, T_Aop[], 6, 1),A1)</f>
        <v xml:space="preserve">    2. Obaveze iz poslovanja (156 do 160)</v>
      </c>
      <c r="E146" s="607"/>
      <c r="F146" s="607"/>
      <c r="G146" s="607"/>
      <c r="H146" s="608"/>
      <c r="I146" s="121">
        <f>IF(AND([0]!Godina=2025,MID(Osnovni_podaci!D20,3,1)="v",Osnovni_podaci!L24=2,Osnovni_podaci!G24=1,MID(Osnovni_podaci!D20,3,1)="v",MID(Osnovni_podaci!D20,8,1)="r"),VLOOKUP( $B146, T_Aop[], 4, 1),A1)</f>
        <v>155</v>
      </c>
      <c r="J146" s="157"/>
      <c r="K146" s="672"/>
      <c r="L146" s="673"/>
      <c r="M146" s="445">
        <f>SUBTOTAL( 9, M147:M151)</f>
        <v>128601</v>
      </c>
      <c r="N146" s="450">
        <f>SUBTOTAL( 9, N147:N151)</f>
        <v>81624</v>
      </c>
      <c r="P146" s="44"/>
    </row>
    <row r="147" spans="2:16">
      <c r="B147" s="15">
        <v>123</v>
      </c>
      <c r="C147" s="359" t="str">
        <f>IF(AND([0]!Godina=2025,MID(Osnovni_podaci!D20,3,1)="v",Osnovni_podaci!L24=2,Osnovni_podaci!G24=1,MID(Osnovni_podaci!D20,3,1)="v",MID(Osnovni_podaci!D20,8,1)="r"),VLOOKUP( $B147, T_Aop[], 5, 1),A1)</f>
        <v>430 i 436</v>
      </c>
      <c r="D147" s="603" t="str">
        <f>IF(AND([0]!Godina=2025,MID(Osnovni_podaci!D20,3,1)="v",Osnovni_podaci!L24=2,Osnovni_podaci!G24=1,MID(Osnovni_podaci!D20,3,1)="v",MID(Osnovni_podaci!D20,8,1)="r"),VLOOKUP( $B147, T_Aop[], 6, 1),A1)</f>
        <v xml:space="preserve">      2.1. Primljeni avansi, depoziti i kaucije</v>
      </c>
      <c r="E147" s="604"/>
      <c r="F147" s="604"/>
      <c r="G147" s="604"/>
      <c r="H147" s="605"/>
      <c r="I147" s="122">
        <f>IF(AND([0]!Godina=2025,MID(Osnovni_podaci!D20,3,1)="v",Osnovni_podaci!L24=2,Osnovni_podaci!G24=1,MID(Osnovni_podaci!D20,3,1)="v",MID(Osnovni_podaci!D20,8,1)="r"),VLOOKUP( $B147, T_Aop[], 4, 1),A1)</f>
        <v>156</v>
      </c>
      <c r="J147" s="155"/>
      <c r="K147" s="674"/>
      <c r="L147" s="675"/>
      <c r="M147" s="195"/>
      <c r="N147" s="196"/>
      <c r="P147" s="44"/>
    </row>
    <row r="148" spans="2:16">
      <c r="B148" s="15">
        <v>124</v>
      </c>
      <c r="C148" s="358">
        <f>IF(AND([0]!Godina=2025,MID(Osnovni_podaci!D20,3,1)="v",Osnovni_podaci!L24=2,Osnovni_podaci!G24=1,MID(Osnovni_podaci!D20,3,1)="v",MID(Osnovni_podaci!D20,8,1)="r"),VLOOKUP( $B148, T_Aop[], 5, 1),A1)</f>
        <v>431</v>
      </c>
      <c r="D148" s="606" t="str">
        <f>IF(AND([0]!Godina=2025,MID(Osnovni_podaci!D20,3,1)="v",Osnovni_podaci!L24=2,Osnovni_podaci!G24=1,MID(Osnovni_podaci!D20,3,1)="v",MID(Osnovni_podaci!D20,8,1)="r"),VLOOKUP( $B148, T_Aop[], 6, 1),A1)</f>
        <v xml:space="preserve">      2.2. Dobavljači – povezana pravna lica</v>
      </c>
      <c r="E148" s="607"/>
      <c r="F148" s="607"/>
      <c r="G148" s="607"/>
      <c r="H148" s="608"/>
      <c r="I148" s="121">
        <f>IF(AND([0]!Godina=2025,MID(Osnovni_podaci!D20,3,1)="v",Osnovni_podaci!L24=2,Osnovni_podaci!G24=1,MID(Osnovni_podaci!D20,3,1)="v",MID(Osnovni_podaci!D20,8,1)="r"),VLOOKUP( $B148, T_Aop[], 4, 1),A1)</f>
        <v>157</v>
      </c>
      <c r="J148" s="157"/>
      <c r="K148" s="672"/>
      <c r="L148" s="673"/>
      <c r="M148" s="197">
        <v>282</v>
      </c>
      <c r="N148" s="198">
        <v>188</v>
      </c>
      <c r="P148" s="44"/>
    </row>
    <row r="149" spans="2:16">
      <c r="B149" s="15">
        <v>125</v>
      </c>
      <c r="C149" s="359" t="str">
        <f>IF(AND([0]!Godina=2025,MID(Osnovni_podaci!D20,3,1)="v",Osnovni_podaci!L24=2,Osnovni_podaci!G24=1,MID(Osnovni_podaci!D20,3,1)="v",MID(Osnovni_podaci!D20,8,1)="r"),VLOOKUP( $B149, T_Aop[], 5, 1),A1)</f>
        <v>432, 433, 434</v>
      </c>
      <c r="D149" s="603" t="str">
        <f>IF(AND([0]!Godina=2025,MID(Osnovni_podaci!D20,3,1)="v",Osnovni_podaci!L24=2,Osnovni_podaci!G24=1,MID(Osnovni_podaci!D20,3,1)="v",MID(Osnovni_podaci!D20,8,1)="r"),VLOOKUP( $B149, T_Aop[], 6, 1),A1)</f>
        <v xml:space="preserve">      2.3. Dobavljači u zemlji</v>
      </c>
      <c r="E149" s="604"/>
      <c r="F149" s="604"/>
      <c r="G149" s="604"/>
      <c r="H149" s="605"/>
      <c r="I149" s="122">
        <f>IF(AND([0]!Godina=2025,MID(Osnovni_podaci!D20,3,1)="v",Osnovni_podaci!L24=2,Osnovni_podaci!G24=1,MID(Osnovni_podaci!D20,3,1)="v",MID(Osnovni_podaci!D20,8,1)="r"),VLOOKUP( $B149, T_Aop[], 4, 1),A1)</f>
        <v>158</v>
      </c>
      <c r="J149" s="155"/>
      <c r="K149" s="674"/>
      <c r="L149" s="675"/>
      <c r="M149" s="195">
        <v>128319</v>
      </c>
      <c r="N149" s="196">
        <v>81436</v>
      </c>
      <c r="P149" s="44"/>
    </row>
    <row r="150" spans="2:16">
      <c r="B150" s="15">
        <v>126</v>
      </c>
      <c r="C150" s="358">
        <f>IF(AND([0]!Godina=2025,MID(Osnovni_podaci!D20,3,1)="v",Osnovni_podaci!L24=2,Osnovni_podaci!G24=1,MID(Osnovni_podaci!D20,3,1)="v",MID(Osnovni_podaci!D20,8,1)="r"),VLOOKUP( $B150, T_Aop[], 5, 1),A1)</f>
        <v>435</v>
      </c>
      <c r="D150" s="606" t="str">
        <f>IF(AND([0]!Godina=2025,MID(Osnovni_podaci!D20,3,1)="v",Osnovni_podaci!L24=2,Osnovni_podaci!G24=1,MID(Osnovni_podaci!D20,3,1)="v",MID(Osnovni_podaci!D20,8,1)="r"),VLOOKUP( $B150, T_Aop[], 6, 1),A1)</f>
        <v xml:space="preserve">      2.4. Dobavljači iz inostranstva</v>
      </c>
      <c r="E150" s="607"/>
      <c r="F150" s="607"/>
      <c r="G150" s="607"/>
      <c r="H150" s="608"/>
      <c r="I150" s="121">
        <f>IF(AND([0]!Godina=2025,MID(Osnovni_podaci!D20,3,1)="v",Osnovni_podaci!L24=2,Osnovni_podaci!G24=1,MID(Osnovni_podaci!D20,3,1)="v",MID(Osnovni_podaci!D20,8,1)="r"),VLOOKUP( $B150, T_Aop[], 4, 1),A1)</f>
        <v>159</v>
      </c>
      <c r="J150" s="157"/>
      <c r="K150" s="672"/>
      <c r="L150" s="673"/>
      <c r="M150" s="197"/>
      <c r="N150" s="198"/>
      <c r="P150" s="44"/>
    </row>
    <row r="151" spans="2:16">
      <c r="B151" s="15">
        <v>127</v>
      </c>
      <c r="C151" s="359" t="str">
        <f>IF(AND([0]!Godina=2025,MID(Osnovni_podaci!D20,3,1)="v",Osnovni_podaci!L24=2,Osnovni_podaci!G24=1,MID(Osnovni_podaci!D20,3,1)="v",MID(Osnovni_podaci!D20,8,1)="r"),VLOOKUP( $B151, T_Aop[], 5, 1),A1)</f>
        <v>437, 439</v>
      </c>
      <c r="D151" s="603" t="str">
        <f>IF(AND([0]!Godina=2025,MID(Osnovni_podaci!D20,3,1)="v",Osnovni_podaci!L24=2,Osnovni_podaci!G24=1,MID(Osnovni_podaci!D20,3,1)="v",MID(Osnovni_podaci!D20,8,1)="r"),VLOOKUP( $B151, T_Aop[], 6, 1),A1)</f>
        <v xml:space="preserve">      2.5. Ostale obaveze iz poslovanja</v>
      </c>
      <c r="E151" s="604"/>
      <c r="F151" s="604"/>
      <c r="G151" s="604"/>
      <c r="H151" s="605"/>
      <c r="I151" s="122">
        <f>IF(AND([0]!Godina=2025,MID(Osnovni_podaci!D20,3,1)="v",Osnovni_podaci!L24=2,Osnovni_podaci!G24=1,MID(Osnovni_podaci!D20,3,1)="v",MID(Osnovni_podaci!D20,8,1)="r"),VLOOKUP( $B151, T_Aop[], 4, 1),A1)</f>
        <v>160</v>
      </c>
      <c r="J151" s="155"/>
      <c r="K151" s="674"/>
      <c r="L151" s="675"/>
      <c r="M151" s="195"/>
      <c r="N151" s="196"/>
      <c r="P151" s="44"/>
    </row>
    <row r="152" spans="2:16">
      <c r="B152" s="15">
        <v>128</v>
      </c>
      <c r="C152" s="358" t="str">
        <f>IF(AND([0]!Godina=2025,MID(Osnovni_podaci!D20,3,1)="v",Osnovni_podaci!L24=2,Osnovni_podaci!G24=1,MID(Osnovni_podaci!D20,3,1)="v",MID(Osnovni_podaci!D20,8,1)="r"),VLOOKUP( $B152, T_Aop[], 5, 1),A1)</f>
        <v>440 do 449</v>
      </c>
      <c r="D152" s="606" t="str">
        <f>IF(AND([0]!Godina=2025,MID(Osnovni_podaci!D20,3,1)="v",Osnovni_podaci!L24=2,Osnovni_podaci!G24=1,MID(Osnovni_podaci!D20,3,1)="v",MID(Osnovni_podaci!D20,8,1)="r"),VLOOKUP( $B152, T_Aop[], 6, 1),A1)</f>
        <v xml:space="preserve">    3. Obaveze iz specifičnih poslova</v>
      </c>
      <c r="E152" s="607"/>
      <c r="F152" s="607"/>
      <c r="G152" s="607"/>
      <c r="H152" s="608"/>
      <c r="I152" s="121">
        <f>IF(AND([0]!Godina=2025,MID(Osnovni_podaci!D20,3,1)="v",Osnovni_podaci!L24=2,Osnovni_podaci!G24=1,MID(Osnovni_podaci!D20,3,1)="v",MID(Osnovni_podaci!D20,8,1)="r"),VLOOKUP( $B152, T_Aop[], 4, 1),A1)</f>
        <v>161</v>
      </c>
      <c r="J152" s="157"/>
      <c r="K152" s="672"/>
      <c r="L152" s="673"/>
      <c r="M152" s="197"/>
      <c r="N152" s="395"/>
      <c r="P152" s="44"/>
    </row>
    <row r="153" spans="2:16">
      <c r="B153" s="15">
        <v>129</v>
      </c>
      <c r="C153" s="359" t="str">
        <f>IF(AND([0]!Godina=2025,MID(Osnovni_podaci!D20,3,1)="v",Osnovni_podaci!L24=2,Osnovni_podaci!G24=1,MID(Osnovni_podaci!D20,3,1)="v",MID(Osnovni_podaci!D20,8,1)="r"),VLOOKUP( $B153, T_Aop[], 5, 1),A1)</f>
        <v>450 do 458</v>
      </c>
      <c r="D153" s="603" t="str">
        <f>IF(AND([0]!Godina=2025,MID(Osnovni_podaci!D20,3,1)="v",Osnovni_podaci!L24=2,Osnovni_podaci!G24=1,MID(Osnovni_podaci!D20,3,1)="v",MID(Osnovni_podaci!D20,8,1)="r"),VLOOKUP( $B153, T_Aop[], 6, 1),A1)</f>
        <v xml:space="preserve">    4. Obaveze za plate i naknade plata</v>
      </c>
      <c r="E153" s="604"/>
      <c r="F153" s="604"/>
      <c r="G153" s="604"/>
      <c r="H153" s="605"/>
      <c r="I153" s="122">
        <f>IF(AND([0]!Godina=2025,MID(Osnovni_podaci!D20,3,1)="v",Osnovni_podaci!L24=2,Osnovni_podaci!G24=1,MID(Osnovni_podaci!D20,3,1)="v",MID(Osnovni_podaci!D20,8,1)="r"),VLOOKUP( $B153, T_Aop[], 4, 1),A1)</f>
        <v>162</v>
      </c>
      <c r="J153" s="155"/>
      <c r="K153" s="674"/>
      <c r="L153" s="675"/>
      <c r="M153" s="195">
        <v>182502</v>
      </c>
      <c r="N153" s="396">
        <v>253144</v>
      </c>
      <c r="P153" s="44"/>
    </row>
    <row r="154" spans="2:16">
      <c r="B154" s="15">
        <v>130</v>
      </c>
      <c r="C154" s="358" t="str">
        <f>IF(AND([0]!Godina=2025,MID(Osnovni_podaci!D20,3,1)="v",Osnovni_podaci!L24=2,Osnovni_podaci!G24=1,MID(Osnovni_podaci!D20,3,1)="v",MID(Osnovni_podaci!D20,8,1)="r"),VLOOKUP( $B154, T_Aop[], 5, 1),A1)</f>
        <v>460 do 469</v>
      </c>
      <c r="D154" s="606" t="str">
        <f>IF(AND([0]!Godina=2025,MID(Osnovni_podaci!D20,3,1)="v",Osnovni_podaci!L24=2,Osnovni_podaci!G24=1,MID(Osnovni_podaci!D20,3,1)="v",MID(Osnovni_podaci!D20,8,1)="r"),VLOOKUP( $B154, T_Aop[], 6, 1),A1)</f>
        <v xml:space="preserve">    5. Ostale obaveze</v>
      </c>
      <c r="E154" s="607"/>
      <c r="F154" s="607"/>
      <c r="G154" s="607"/>
      <c r="H154" s="608"/>
      <c r="I154" s="121">
        <f>IF(AND([0]!Godina=2025,MID(Osnovni_podaci!D20,3,1)="v",Osnovni_podaci!L24=2,Osnovni_podaci!G24=1,MID(Osnovni_podaci!D20,3,1)="v",MID(Osnovni_podaci!D20,8,1)="r"),VLOOKUP( $B154, T_Aop[], 4, 1),A1)</f>
        <v>163</v>
      </c>
      <c r="J154" s="157"/>
      <c r="K154" s="672"/>
      <c r="L154" s="673"/>
      <c r="M154" s="197">
        <v>540</v>
      </c>
      <c r="N154" s="395">
        <v>540</v>
      </c>
      <c r="P154" s="44"/>
    </row>
    <row r="155" spans="2:16">
      <c r="B155" s="15">
        <v>131</v>
      </c>
      <c r="C155" s="359" t="str">
        <f>IF(AND([0]!Godina=2025,MID(Osnovni_podaci!D20,3,1)="v",Osnovni_podaci!L24=2,Osnovni_podaci!G24=1,MID(Osnovni_podaci!D20,3,1)="v",MID(Osnovni_podaci!D20,8,1)="r"),VLOOKUP( $B155, T_Aop[], 5, 1),A1)</f>
        <v>470 do 479</v>
      </c>
      <c r="D155" s="603" t="str">
        <f>IF(AND([0]!Godina=2025,MID(Osnovni_podaci!D20,3,1)="v",Osnovni_podaci!L24=2,Osnovni_podaci!G24=1,MID(Osnovni_podaci!D20,3,1)="v",MID(Osnovni_podaci!D20,8,1)="r"),VLOOKUP( $B155, T_Aop[], 6, 1),A1)</f>
        <v xml:space="preserve">    6. Porez na dodatu vrijednost</v>
      </c>
      <c r="E155" s="604"/>
      <c r="F155" s="604"/>
      <c r="G155" s="604"/>
      <c r="H155" s="605"/>
      <c r="I155" s="122">
        <f>IF(AND([0]!Godina=2025,MID(Osnovni_podaci!D20,3,1)="v",Osnovni_podaci!L24=2,Osnovni_podaci!G24=1,MID(Osnovni_podaci!D20,3,1)="v",MID(Osnovni_podaci!D20,8,1)="r"),VLOOKUP( $B155, T_Aop[], 4, 1),A1)</f>
        <v>164</v>
      </c>
      <c r="J155" s="155"/>
      <c r="K155" s="674"/>
      <c r="L155" s="675"/>
      <c r="M155" s="195">
        <v>5033</v>
      </c>
      <c r="N155" s="396">
        <v>8019</v>
      </c>
      <c r="P155" s="44"/>
    </row>
    <row r="156" spans="2:16" ht="12.75" customHeight="1">
      <c r="B156" s="15">
        <v>132</v>
      </c>
      <c r="C156" s="358" t="str">
        <f>IF(AND([0]!Godina=2025,MID(Osnovni_podaci!D20,3,1)="v",Osnovni_podaci!L24=2,Osnovni_podaci!G24=1,MID(Osnovni_podaci!D20,3,1)="v",MID(Osnovni_podaci!D20,8,1)="r"),VLOOKUP( $B156, T_Aop[], 5, 1),A1)</f>
        <v>48, osim 481</v>
      </c>
      <c r="D156" s="606" t="str">
        <f>IF(AND([0]!Godina=2025,MID(Osnovni_podaci!D20,3,1)="v",Osnovni_podaci!L24=2,Osnovni_podaci!G24=1,MID(Osnovni_podaci!D20,3,1)="v",MID(Osnovni_podaci!D20,8,1)="r"),VLOOKUP( $B156, T_Aop[], 6, 1),A1)</f>
        <v xml:space="preserve">    7. Obaveze za ostale poreze, doprinose i druge dažbine</v>
      </c>
      <c r="E156" s="607"/>
      <c r="F156" s="607"/>
      <c r="G156" s="607"/>
      <c r="H156" s="608"/>
      <c r="I156" s="121">
        <f>IF(AND([0]!Godina=2025,MID(Osnovni_podaci!D20,3,1)="v",Osnovni_podaci!L24=2,Osnovni_podaci!G24=1,MID(Osnovni_podaci!D20,3,1)="v",MID(Osnovni_podaci!D20,8,1)="r"),VLOOKUP( $B156, T_Aop[], 4, 1),A1)</f>
        <v>165</v>
      </c>
      <c r="J156" s="157"/>
      <c r="K156" s="672"/>
      <c r="L156" s="673"/>
      <c r="M156" s="197">
        <v>12637</v>
      </c>
      <c r="N156" s="395">
        <v>11525</v>
      </c>
      <c r="P156" s="44"/>
    </row>
    <row r="157" spans="2:16" ht="10.5" customHeight="1">
      <c r="B157" s="15">
        <v>133</v>
      </c>
      <c r="C157" s="359">
        <f>IF(AND([0]!Godina=2025,MID(Osnovni_podaci!D20,3,1)="v",Osnovni_podaci!L24=2,Osnovni_podaci!G24=1,MID(Osnovni_podaci!D20,3,1)="v",MID(Osnovni_podaci!D20,8,1)="r"),VLOOKUP( $B157, T_Aop[], 5, 1),A1)</f>
        <v>481</v>
      </c>
      <c r="D157" s="603" t="str">
        <f>IF(AND([0]!Godina=2025,MID(Osnovni_podaci!D20,3,1)="v",Osnovni_podaci!L24=2,Osnovni_podaci!G24=1,MID(Osnovni_podaci!D20,3,1)="v",MID(Osnovni_podaci!D20,8,1)="r"),VLOOKUP( $B157, T_Aop[], 6, 1),A1)</f>
        <v xml:space="preserve">    8. Obaveze za porez na dobit</v>
      </c>
      <c r="E157" s="604"/>
      <c r="F157" s="604"/>
      <c r="G157" s="604"/>
      <c r="H157" s="605"/>
      <c r="I157" s="122">
        <f>IF(AND([0]!Godina=2025,MID(Osnovni_podaci!D20,3,1)="v",Osnovni_podaci!L24=2,Osnovni_podaci!G24=1,MID(Osnovni_podaci!D20,3,1)="v",MID(Osnovni_podaci!D20,8,1)="r"),VLOOKUP( $B157, T_Aop[], 4, 1),A1)</f>
        <v>166</v>
      </c>
      <c r="J157" s="155"/>
      <c r="K157" s="674"/>
      <c r="L157" s="675"/>
      <c r="M157" s="195">
        <v>6267</v>
      </c>
      <c r="N157" s="396">
        <v>6268</v>
      </c>
      <c r="P157" s="44"/>
    </row>
    <row r="158" spans="2:16" ht="12.75" customHeight="1">
      <c r="B158" s="15">
        <v>134</v>
      </c>
      <c r="C158" s="358" t="str">
        <f>IF(AND([0]!Godina=2025,MID(Osnovni_podaci!D20,3,1)="v",Osnovni_podaci!L24=2,Osnovni_podaci!G24=1,MID(Osnovni_podaci!D20,3,1)="v",MID(Osnovni_podaci!D20,8,1)="r"),VLOOKUP( $B158, T_Aop[], 5, 1),A1)</f>
        <v>49, osim 496</v>
      </c>
      <c r="D158" s="606" t="str">
        <f>IF(AND([0]!Godina=2025,MID(Osnovni_podaci!D20,3,1)="v",Osnovni_podaci!L24=2,Osnovni_podaci!G24=1,MID(Osnovni_podaci!D20,3,1)="v",MID(Osnovni_podaci!D20,8,1)="r"),VLOOKUP( $B158, T_Aop[], 6, 1),A1)</f>
        <v xml:space="preserve">    9. Kratkoročna razgraničenja</v>
      </c>
      <c r="E158" s="607"/>
      <c r="F158" s="607"/>
      <c r="G158" s="607"/>
      <c r="H158" s="608"/>
      <c r="I158" s="121">
        <f>IF(AND([0]!Godina=2025,MID(Osnovni_podaci!D20,3,1)="v",Osnovni_podaci!L24=2,Osnovni_podaci!G24=1,MID(Osnovni_podaci!D20,3,1)="v",MID(Osnovni_podaci!D20,8,1)="r"),VLOOKUP( $B158, T_Aop[], 4, 1),A1)</f>
        <v>167</v>
      </c>
      <c r="J158" s="157"/>
      <c r="K158" s="672"/>
      <c r="L158" s="673"/>
      <c r="M158" s="197"/>
      <c r="N158" s="198"/>
      <c r="P158" s="44"/>
    </row>
    <row r="159" spans="2:16" ht="12.75" customHeight="1">
      <c r="B159" s="15">
        <v>135</v>
      </c>
      <c r="C159" s="359">
        <f>VLOOKUP( $B159, T_Aop[], 5, 1)</f>
        <v>496</v>
      </c>
      <c r="D159" s="603" t="str">
        <f>IF(AND([0]!Godina=2025,MID(Osnovni_podaci!D20,3,1)="v",Osnovni_podaci!L24=2,Osnovni_podaci!G24=1,MID(Osnovni_podaci!D20,3,1)="v",MID(Osnovni_podaci!D20,8,1)="r"),VLOOKUP( $B159, T_Aop[], 6, 1),A1)</f>
        <v xml:space="preserve">    10. Kratkoročna rezervisanja</v>
      </c>
      <c r="E159" s="604"/>
      <c r="F159" s="604"/>
      <c r="G159" s="604"/>
      <c r="H159" s="605"/>
      <c r="I159" s="122">
        <f>IF(AND([0]!Godina=2025,MID(Osnovni_podaci!D20,3,1)="v",Osnovni_podaci!L24=2,Osnovni_podaci!G24=1,MID(Osnovni_podaci!D20,3,1)="v",MID(Osnovni_podaci!D20,8,1)="r"),VLOOKUP( $B159, T_Aop[], 4, 1),A1)</f>
        <v>168</v>
      </c>
      <c r="J159" s="155"/>
      <c r="K159" s="674"/>
      <c r="L159" s="675"/>
      <c r="M159" s="195"/>
      <c r="N159" s="196"/>
    </row>
    <row r="160" spans="2:16" ht="6.2" customHeight="1">
      <c r="B160" s="15">
        <v>136</v>
      </c>
      <c r="C160" s="358"/>
      <c r="D160" s="606" t="str">
        <f>IF(AND([0]!Godina=2025,MID(Osnovni_podaci!D20,3,1)="v",Osnovni_podaci!L24=2,Osnovni_podaci!G24=1,MID(Osnovni_podaci!D20,3,1)="v",MID(Osnovni_podaci!D20,8,1)="r"),VLOOKUP( $B160, T_Aop[], 6, 1),A1)</f>
        <v/>
      </c>
      <c r="E160" s="607"/>
      <c r="F160" s="607"/>
      <c r="G160" s="607"/>
      <c r="H160" s="608"/>
      <c r="I160" s="170">
        <f>IF(AND([0]!Godina=2025,MID(Osnovni_podaci!D20,3,1)="v",Osnovni_podaci!L24=2,Osnovni_podaci!G24=1,MID(Osnovni_podaci!D20,3,1)="v",MID(Osnovni_podaci!D20,8,1)="r"),VLOOKUP( $B160, T_Aop[], 4, 1),A1)</f>
        <v>0</v>
      </c>
      <c r="J160" s="157"/>
      <c r="K160" s="672"/>
      <c r="L160" s="673"/>
      <c r="M160" s="197"/>
      <c r="N160" s="198"/>
    </row>
    <row r="161" spans="2:20" ht="12.75" customHeight="1">
      <c r="B161" s="15">
        <v>137</v>
      </c>
      <c r="C161" s="359"/>
      <c r="D161" s="609" t="str">
        <f>IF(AND([0]!Godina=2025,MID(Osnovni_podaci!D20,3,1)="v",Osnovni_podaci!L24=2,Osnovni_podaci!G24=1,MID(Osnovni_podaci!D20,3,1)="v",MID(Osnovni_podaci!D20,8,1)="r"),VLOOKUP( $B161, T_Aop[], 6, 1),A1)</f>
        <v xml:space="preserve">  D. BILANSNA PASIVA (101 + 132 + 146 + 147)</v>
      </c>
      <c r="E161" s="610"/>
      <c r="F161" s="610"/>
      <c r="G161" s="610"/>
      <c r="H161" s="611"/>
      <c r="I161" s="171">
        <f>IF(AND([0]!Godina=2025,MID(Osnovni_podaci!D20,3,1)="v",Osnovni_podaci!L24=2,Osnovni_podaci!G24=1,MID(Osnovni_podaci!D20,3,1)="v",MID(Osnovni_podaci!D20,8,1)="r"),VLOOKUP( $B161, T_Aop[], 4, 1),A1)</f>
        <v>169</v>
      </c>
      <c r="J161" s="155"/>
      <c r="K161" s="674"/>
      <c r="L161" s="675"/>
      <c r="M161" s="388">
        <f>SUBTOTAL( 9, M93:M100, M106:M109,M104, M110:M112,M113,M115:M118,M122:M159) - SUBTOTAL( 9, M114, M101:M103, M105,  M119:M121)</f>
        <v>426385</v>
      </c>
      <c r="N161" s="399">
        <f>SUBTOTAL( 9, N93:N100, N106:N109,N104, N110:N112,N113,N115:N118,N122:N159) - SUBTOTAL( 9, N114, N101:N103, N105,  N119:N121)</f>
        <v>175172</v>
      </c>
    </row>
    <row r="162" spans="2:20" ht="9.75" customHeight="1">
      <c r="B162" s="15">
        <v>138</v>
      </c>
      <c r="C162" s="364" t="str">
        <f>VLOOKUP( $B162, T_Aop[], 5, 1)</f>
        <v>890 do 898</v>
      </c>
      <c r="D162" s="612" t="str">
        <f>IF(AND([0]!Godina=2025,MID(Osnovni_podaci!D20,3,1)="v",Osnovni_podaci!L24=2,Osnovni_podaci!G24=1,MID(Osnovni_podaci!D20,3,1)="v",MID(Osnovni_podaci!D20,8,1)="r"),VLOOKUP( $B162, T_Aop[], 6, 1),A1)</f>
        <v xml:space="preserve">  Đ. VANBILANSNA PASIVA</v>
      </c>
      <c r="E162" s="613"/>
      <c r="F162" s="613"/>
      <c r="G162" s="613"/>
      <c r="H162" s="614"/>
      <c r="I162" s="173">
        <f>IF(AND([0]!Godina=2025,MID(Osnovni_podaci!D20,3,1)="v",Osnovni_podaci!L24=2,Osnovni_podaci!G24=1,MID(Osnovni_podaci!D20,3,1)="v",MID(Osnovni_podaci!D20,8,1)="r"),VLOOKUP( $B162, T_Aop[], 4, 1),A1)</f>
        <v>170</v>
      </c>
      <c r="J162" s="511"/>
      <c r="K162" s="676"/>
      <c r="L162" s="677"/>
      <c r="M162" s="439"/>
      <c r="N162" s="438"/>
    </row>
    <row r="163" spans="2:20" ht="9.75" customHeight="1"/>
    <row r="164" spans="2:20" ht="3" hidden="1" customHeight="1"/>
    <row r="165" spans="2:20" ht="0.75" hidden="1" customHeight="1">
      <c r="C165" s="180"/>
      <c r="D165" s="519"/>
      <c r="E165"/>
      <c r="F165" s="56"/>
    </row>
    <row r="166" spans="2:20" ht="25.5" customHeight="1">
      <c r="C166" s="180" t="str">
        <f>Podnozje_U</f>
        <v>U:</v>
      </c>
      <c r="D166" s="419" t="str">
        <f>Podatak_U</f>
        <v>Bileći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c r="D167" s="127"/>
      <c r="E167" t="s">
        <v>786</v>
      </c>
      <c r="F167" s="601" t="str">
        <f>Podatak_Lice_sa_licencom</f>
        <v>Dragana Popara</v>
      </c>
      <c r="G167" s="601"/>
      <c r="H167" s="8" t="str">
        <f>Podatak_Broj_Licence</f>
        <v>SR 1639/25</v>
      </c>
      <c r="I167" s="78"/>
      <c r="L167" s="510" t="str">
        <f>Podatak_Direktor</f>
        <v>Božo Delić</v>
      </c>
      <c r="M167" s="510"/>
      <c r="N167" s="510"/>
      <c r="O167" s="14"/>
      <c r="P167" s="14"/>
      <c r="R167" s="14"/>
      <c r="S167" s="14"/>
      <c r="T167" s="29"/>
    </row>
    <row r="168" spans="2:20" ht="24.2" customHeight="1">
      <c r="C168" s="180" t="str">
        <f>Podnozje_Dana</f>
        <v>Dana:</v>
      </c>
      <c r="D168" s="418" t="str">
        <f>Podatak_Dana</f>
        <v>31.07.2025.</v>
      </c>
      <c r="E168"/>
      <c r="F168" s="417"/>
      <c r="G168"/>
      <c r="H168" s="8"/>
      <c r="I168" s="8"/>
      <c r="J168" s="9"/>
      <c r="L168" s="521"/>
      <c r="M168" s="521"/>
      <c r="N168" s="520"/>
      <c r="O168" s="14"/>
      <c r="P168" s="14"/>
      <c r="Q168" s="14"/>
      <c r="R168" s="14"/>
      <c r="S168" s="14"/>
      <c r="T168" s="29"/>
    </row>
    <row r="169" spans="2:20" ht="18.75" customHeight="1"/>
    <row r="170" spans="2:20" ht="14.65" customHeight="1">
      <c r="C170" s="180"/>
      <c r="D170" s="519"/>
      <c r="E170"/>
      <c r="F170" s="56"/>
      <c r="G170" s="8"/>
      <c r="H170" s="8" t="e">
        <f ca="1">_xlfn.TEXTJOIN(" ",FALSE,Osnovni_podaci!D66,Osnovni_podaci!D68)</f>
        <v>#NAME?</v>
      </c>
      <c r="I170" s="37"/>
      <c r="J170" s="600"/>
      <c r="K170" s="600"/>
      <c r="L170" s="600"/>
    </row>
    <row r="171" spans="2:20" hidden="1">
      <c r="D171" s="127"/>
      <c r="E171"/>
      <c r="F171" s="601"/>
      <c r="G171" s="601"/>
      <c r="H171" s="8"/>
      <c r="I171" s="78"/>
      <c r="J171" s="602" t="s">
        <v>472</v>
      </c>
      <c r="K171" s="602"/>
      <c r="L171" s="602"/>
    </row>
    <row r="172" spans="2:20" hidden="1">
      <c r="C172" s="180"/>
      <c r="D172" s="418"/>
      <c r="E172"/>
      <c r="F172" s="417"/>
      <c r="G172"/>
      <c r="H172" s="8"/>
      <c r="I172" s="8"/>
      <c r="J172" s="9"/>
      <c r="K172" s="262"/>
      <c r="L172" s="262"/>
    </row>
    <row r="173" spans="2:20" hidden="1">
      <c r="C173" s="8"/>
      <c r="D173" s="9"/>
      <c r="E173" s="40"/>
      <c r="F173" s="8"/>
      <c r="G173" s="39"/>
      <c r="H173"/>
      <c r="I173" s="8"/>
      <c r="J173" s="8"/>
    </row>
    <row r="174" spans="2:20" hidden="1">
      <c r="C174" s="37"/>
      <c r="D174" s="40"/>
      <c r="E174" s="40"/>
      <c r="F174" s="40"/>
      <c r="G174" s="40"/>
      <c r="H174" s="8"/>
      <c r="I174" s="9"/>
      <c r="J174" s="37"/>
      <c r="K174" s="37"/>
    </row>
    <row r="175" spans="2:20"/>
  </sheetData>
  <sheetProtection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103" yWindow="368"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10;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worksheet>
</file>

<file path=xl/worksheets/sheet4.xml><?xml version="1.0" encoding="utf-8"?>
<worksheet xmlns="http://schemas.openxmlformats.org/spreadsheetml/2006/main" xmlns:r="http://schemas.openxmlformats.org/officeDocument/2006/relationships">
  <sheetPr codeName="Sheet02a">
    <tabColor rgb="FFB2B2B2"/>
  </sheetPr>
  <dimension ref="B1:XFC168"/>
  <sheetViews>
    <sheetView showGridLines="0" showRowColHeaders="0" showWhiteSpace="0" zoomScaleSheetLayoutView="100" workbookViewId="0">
      <pane xSplit="2" ySplit="4" topLeftCell="C131" activePane="bottomRight" state="frozen"/>
      <selection activeCell="K31" sqref="K31"/>
      <selection pane="topRight" activeCell="K31" sqref="K31"/>
      <selection pane="bottomLeft" activeCell="K31" sqref="K31"/>
      <selection pane="bottomRight" activeCell="L139" sqref="L139"/>
    </sheetView>
  </sheetViews>
  <sheetFormatPr defaultColWidth="0" defaultRowHeight="12.75" zeroHeight="1"/>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c r="C1" s="18"/>
      <c r="D1" s="18"/>
      <c r="E1" s="18"/>
      <c r="F1" s="18"/>
      <c r="G1" s="18"/>
      <c r="H1" s="18"/>
      <c r="I1" s="18"/>
      <c r="J1" s="18"/>
      <c r="K1" s="18"/>
    </row>
    <row r="2" spans="3:12">
      <c r="C2" s="18"/>
      <c r="D2" s="18"/>
      <c r="E2" s="18"/>
      <c r="F2" s="18"/>
      <c r="G2" s="18"/>
      <c r="H2" s="18"/>
      <c r="I2" s="18"/>
      <c r="J2" s="18"/>
      <c r="K2" s="18"/>
    </row>
    <row r="3" spans="3:12">
      <c r="C3" s="18"/>
      <c r="D3" s="18"/>
      <c r="E3" s="18"/>
      <c r="F3" s="18"/>
      <c r="G3" s="18"/>
      <c r="H3" s="18"/>
      <c r="I3" s="18"/>
      <c r="J3" s="18"/>
      <c r="K3" s="18"/>
    </row>
    <row r="4" spans="3:12">
      <c r="C4" s="138"/>
      <c r="D4" s="138"/>
      <c r="E4" s="138"/>
      <c r="F4" s="138"/>
      <c r="G4" s="138"/>
      <c r="H4" s="138"/>
      <c r="I4" s="138"/>
      <c r="J4" s="138"/>
      <c r="K4" s="138"/>
    </row>
    <row r="5" spans="3:12">
      <c r="C5" s="646" t="s">
        <v>2772</v>
      </c>
      <c r="D5" s="646"/>
      <c r="E5" s="646"/>
      <c r="L5" s="574" t="str">
        <f>Podatak_MB</f>
        <v>01937189</v>
      </c>
    </row>
    <row r="6" spans="3:12">
      <c r="C6" s="646"/>
      <c r="D6" s="646"/>
      <c r="E6" s="646"/>
      <c r="F6" s="9"/>
      <c r="L6" s="421" t="s">
        <v>2747</v>
      </c>
    </row>
    <row r="7" spans="3:12" ht="14.65" customHeight="1">
      <c r="C7" s="658" t="str">
        <f>Podatak_Naziv_preduzeca</f>
        <v>Javno preduzeće Komus akcionarsko društvo</v>
      </c>
      <c r="D7" s="658"/>
      <c r="E7" s="658"/>
      <c r="F7" s="17"/>
      <c r="K7" s="9"/>
      <c r="L7" s="574" t="str">
        <f>Podatak_Sifra_djelatnosti</f>
        <v>38.11</v>
      </c>
    </row>
    <row r="8" spans="3:12" ht="12.75" customHeight="1">
      <c r="C8" s="125" t="str">
        <f>Zaglavlje_Sjediste</f>
        <v>Sjedište:</v>
      </c>
      <c r="D8" s="670" t="str">
        <f>Podatak_Sjediste</f>
        <v>Svetog Vasilija Ostroškog 5 Bileća</v>
      </c>
      <c r="E8" s="670"/>
      <c r="F8" s="17"/>
      <c r="K8" s="9"/>
      <c r="L8" s="421" t="str">
        <f>Zaglavlje_Sifra_djelatnosti</f>
        <v>Šifra djelatnosti</v>
      </c>
    </row>
    <row r="9" spans="3:12" ht="12.75" customHeight="1">
      <c r="C9" s="657" t="str">
        <f>Zaglavlje_Ziro_racun</f>
        <v>Račun kod ovlašćene organizacije za platni promet:</v>
      </c>
      <c r="D9" s="657"/>
      <c r="E9" s="657"/>
      <c r="F9" s="244"/>
      <c r="K9" s="9"/>
      <c r="L9" s="574" t="str">
        <f>Podatak_JIB</f>
        <v>4401376020001</v>
      </c>
    </row>
    <row r="10" spans="3:12" ht="12.75" customHeight="1">
      <c r="C10" s="659" t="str">
        <f>Podatak_Ziro_racun_1</f>
        <v>562-008-00000026-25</v>
      </c>
      <c r="D10" s="659"/>
      <c r="E10" s="659"/>
      <c r="F10" s="14"/>
      <c r="G10" s="13"/>
      <c r="H10" s="13"/>
      <c r="I10" s="13"/>
      <c r="J10" s="13"/>
      <c r="K10" s="706" t="str">
        <f>Zaglavlje_JIB</f>
        <v>JIB</v>
      </c>
      <c r="L10" s="706"/>
    </row>
    <row r="11" spans="3:12" ht="12.75" customHeight="1">
      <c r="C11" s="659" t="str">
        <f>Podatak_Ziro_racun_2</f>
        <v>552-003-00007081-13</v>
      </c>
      <c r="D11" s="659"/>
      <c r="E11" s="659"/>
      <c r="F11" s="14"/>
      <c r="J11" s="245"/>
      <c r="K11" s="245"/>
    </row>
    <row r="12" spans="3:12" ht="12.75" customHeight="1">
      <c r="C12" s="691" t="str">
        <f>Podatak_Ziro_racun_3</f>
        <v/>
      </c>
      <c r="D12" s="691"/>
      <c r="E12" s="691"/>
      <c r="F12" s="14"/>
      <c r="J12" s="245"/>
      <c r="K12" s="245"/>
    </row>
    <row r="13" spans="3:12" ht="12.75" customHeight="1">
      <c r="C13" s="691" t="str">
        <f>Podatak_Ziro_racun_4</f>
        <v/>
      </c>
      <c r="D13" s="691"/>
      <c r="E13" s="691"/>
      <c r="F13" s="18"/>
      <c r="G13" s="18"/>
      <c r="H13" s="18"/>
      <c r="I13" s="18"/>
      <c r="J13"/>
      <c r="K13"/>
    </row>
    <row r="14" spans="3:12" ht="12.75" customHeight="1">
      <c r="C14" s="671" t="str">
        <f>IF( Id_Konsolidovani, Nazivi_bilansa_Konsolidovani_naziv &amp; LOWER( Nazivi_bilansa_BUa), Nazivi_bilansa_BUa)</f>
        <v>Bilans uspjeha</v>
      </c>
      <c r="D14" s="671"/>
      <c r="E14" s="671"/>
      <c r="F14" s="671"/>
      <c r="G14" s="671"/>
      <c r="H14" s="671"/>
      <c r="I14" s="671"/>
      <c r="J14" s="671"/>
      <c r="K14" s="671"/>
      <c r="L14" s="671"/>
    </row>
    <row r="15" spans="3:12" ht="12.75" customHeight="1">
      <c r="C15" s="656" t="str">
        <f>Nazivi_bilansa_BUa1</f>
        <v>(Izvještaj o ukupnom rezultatu u periodu)</v>
      </c>
      <c r="D15" s="656"/>
      <c r="E15" s="656"/>
      <c r="F15" s="656"/>
      <c r="G15" s="656"/>
      <c r="H15" s="656"/>
      <c r="I15" s="656"/>
      <c r="J15" s="656"/>
      <c r="K15" s="656"/>
      <c r="L15" s="656"/>
    </row>
    <row r="16" spans="3:12" ht="12.75" customHeight="1">
      <c r="C16" s="656" t="str">
        <f>Datumi_Datum_BU</f>
        <v>za period od 01.01. do 30.06.2025. godine</v>
      </c>
      <c r="D16" s="656"/>
      <c r="E16" s="656"/>
      <c r="F16" s="656"/>
      <c r="G16" s="656"/>
      <c r="H16" s="656"/>
      <c r="I16" s="656"/>
      <c r="J16" s="656"/>
      <c r="K16" s="656"/>
      <c r="L16" s="656"/>
    </row>
    <row r="17" spans="2:16" ht="12.75" customHeight="1">
      <c r="C17" s="41"/>
      <c r="D17" s="41"/>
      <c r="E17" s="41"/>
      <c r="F17" s="41"/>
      <c r="G17" s="41"/>
      <c r="H17" s="41"/>
      <c r="I17" s="41"/>
      <c r="J17" s="41"/>
      <c r="L17" s="449" t="str">
        <f>Tabele_zaglavlje_Valuta</f>
        <v>- u konvertibilnim markama -</v>
      </c>
    </row>
    <row r="18" spans="2:16" ht="12.75" customHeight="1">
      <c r="C18" s="707" t="str">
        <f>Tabele_zaglavlje_Grupa_racuna</f>
        <v>Grupa računa, račun</v>
      </c>
      <c r="D18" s="709" t="str">
        <f>Tabele_zaglavlje_Pozicija</f>
        <v>POZICIJA</v>
      </c>
      <c r="E18" s="710"/>
      <c r="F18" s="710"/>
      <c r="G18" s="710"/>
      <c r="H18" s="711"/>
      <c r="I18" s="684" t="str">
        <f>Tabele_zaglavlje_Oznaka_aop</f>
        <v>Oznaka za AOP</v>
      </c>
      <c r="J18" s="684" t="str">
        <f>Tabele_zaglavlje_Napomena_aop</f>
        <v>Napomena</v>
      </c>
      <c r="K18" s="686" t="str">
        <f>Tabele_zaglavlje_Iznos</f>
        <v>Iznos</v>
      </c>
      <c r="L18" s="687"/>
    </row>
    <row r="19" spans="2:16" ht="20.25" customHeight="1">
      <c r="C19" s="708"/>
      <c r="D19" s="712"/>
      <c r="E19" s="713"/>
      <c r="F19" s="713"/>
      <c r="G19" s="713"/>
      <c r="H19" s="714"/>
      <c r="I19" s="685"/>
      <c r="J19" s="685"/>
      <c r="K19" s="42" t="str">
        <f>Tabele_zaglavlje_Tekuca_godina</f>
        <v>Tekuća godina</v>
      </c>
      <c r="L19" s="43" t="str">
        <f>Tabele_zaglavlje_Prethodna_godina</f>
        <v>Prethodna godina</v>
      </c>
      <c r="P19" s="134" t="s">
        <v>490</v>
      </c>
    </row>
    <row r="20" spans="2:16" ht="12.75" customHeight="1">
      <c r="B20" s="44" t="s">
        <v>123</v>
      </c>
      <c r="C20" s="447">
        <v>1</v>
      </c>
      <c r="D20" s="715">
        <v>2</v>
      </c>
      <c r="E20" s="716"/>
      <c r="F20" s="716"/>
      <c r="G20" s="716"/>
      <c r="H20" s="717"/>
      <c r="I20" s="408">
        <v>3</v>
      </c>
      <c r="J20" s="408">
        <v>4</v>
      </c>
      <c r="K20" s="408">
        <v>5</v>
      </c>
      <c r="L20" s="409">
        <v>6</v>
      </c>
    </row>
    <row r="21" spans="2:16" ht="25.5" customHeight="1">
      <c r="B21" s="15">
        <v>139</v>
      </c>
      <c r="C21" s="453">
        <f>VLOOKUP( $B21, T_Aop[], 5, 1)</f>
        <v>0</v>
      </c>
      <c r="D21" s="718" t="str">
        <f>VLOOKUP( $B21, T_Aop[], 6, 1)</f>
        <v xml:space="preserve">  A. POSLOVNI PRIHODI I RASHODI
I POSLOVNI PRIHODI 
(202 + 206 + 210 + 214 – 215 + 216 – 217 + 218)</v>
      </c>
      <c r="E21" s="719"/>
      <c r="F21" s="719"/>
      <c r="G21" s="719"/>
      <c r="H21" s="720"/>
      <c r="I21" s="503">
        <f>VLOOKUP( $B21, T_Aop[], 4, 1)</f>
        <v>201</v>
      </c>
      <c r="J21" s="498"/>
      <c r="K21" s="406">
        <f>IF(AND([0]!Godina=2025,MID(Osnovni_podaci!D20,3,1)="v",Osnovni_podaci!L24=2,Osnovni_podaci!G24=1,MID(Osnovni_podaci!D20,3,1)="v",MID(Osnovni_podaci!D20,8,1)="r"),SUBTOTAL(9,K22:K33,K34,K36,K38)-SUBTOTAL(9,K35,K37),A1)</f>
        <v>555036</v>
      </c>
      <c r="L21" s="407">
        <f>IF(AND([0]!Godina=2025,MID(Osnovni_podaci!D20,3,1)="v",Osnovni_podaci!L24=2,Osnovni_podaci!G24=1,MID(Osnovni_podaci!D20,3,1)="v",MID(Osnovni_podaci!D20,8,1)="r"),SUBTOTAL(9,L22:L33,L34,L36,L38)-SUBTOTAL(9,L35,L37),A1)</f>
        <v>190324</v>
      </c>
      <c r="N21" s="44"/>
      <c r="P21" s="183"/>
    </row>
    <row r="22" spans="2:16" ht="13.9" customHeight="1">
      <c r="B22" s="15">
        <v>140</v>
      </c>
      <c r="C22" s="58">
        <f>VLOOKUP( $B22, T_Aop[], 5, 1)</f>
        <v>60</v>
      </c>
      <c r="D22" s="678" t="str">
        <f>VLOOKUP( $B22, T_Aop[], 6, 1)</f>
        <v xml:space="preserve">    1. Prihodi od prodaje robe (203 do 205)</v>
      </c>
      <c r="E22" s="679"/>
      <c r="F22" s="679"/>
      <c r="G22" s="679"/>
      <c r="H22" s="680"/>
      <c r="I22" s="59">
        <f>VLOOKUP( $B22, T_Aop[], 4, 1)</f>
        <v>202</v>
      </c>
      <c r="J22" s="456"/>
      <c r="K22" s="458">
        <f>IF(AND([0]!Godina=2025,MID(Osnovni_podaci!D20,3,1)="v",Osnovni_podaci!L24=2,Osnovni_podaci!G24=1,MID(Osnovni_podaci!D20,3,1)="v",MID(Osnovni_podaci!D20,8,1)="r"),SUBTOTAL( 9, K23:K25),A1)</f>
        <v>0</v>
      </c>
      <c r="L22" s="459">
        <f>IF(AND([0]!Godina=2025,MID(Osnovni_podaci!D20,3,1)="v",Osnovni_podaci!L24=2,Osnovni_podaci!G24=1,MID(Osnovni_podaci!D20,3,1)="v",MID(Osnovni_podaci!D20,8,1)="r"),SUBTOTAL( 9, L23:L25),A1)</f>
        <v>0</v>
      </c>
      <c r="N22" s="44"/>
      <c r="P22" s="183"/>
    </row>
    <row r="23" spans="2:16" ht="13.9" customHeight="1">
      <c r="B23" s="15">
        <v>141</v>
      </c>
      <c r="C23" s="62" t="str">
        <f>VLOOKUP( $B23, T_Aop[], 5, 1)</f>
        <v>600, dio 605</v>
      </c>
      <c r="D23" s="681" t="str">
        <f>VLOOKUP( $B23, T_Aop[], 6, 1)</f>
        <v xml:space="preserve">      a) Prihodi od prodaje robe povezanim pravnim licima</v>
      </c>
      <c r="E23" s="682"/>
      <c r="F23" s="682"/>
      <c r="G23" s="682"/>
      <c r="H23" s="683"/>
      <c r="I23" s="63">
        <f>VLOOKUP( $B23, T_Aop[], 4, 1)</f>
        <v>203</v>
      </c>
      <c r="J23" s="454"/>
      <c r="K23" s="454"/>
      <c r="L23" s="455"/>
      <c r="N23" s="44"/>
      <c r="P23" s="183"/>
    </row>
    <row r="24" spans="2:16" ht="22.9" customHeight="1">
      <c r="B24" s="15">
        <v>142</v>
      </c>
      <c r="C24" s="58" t="str">
        <f>VLOOKUP( $B24, T_Aop[], 5, 1)</f>
        <v>601, 602, 603,dio 605</v>
      </c>
      <c r="D24" s="678" t="str">
        <f>VLOOKUP( $B24, T_Aop[], 6, 1)</f>
        <v xml:space="preserve">      b) Prihodi od prodaje robe na domaćem tržištu</v>
      </c>
      <c r="E24" s="679"/>
      <c r="F24" s="679"/>
      <c r="G24" s="679"/>
      <c r="H24" s="680"/>
      <c r="I24" s="59">
        <f>VLOOKUP( $B24, T_Aop[], 4, 1)</f>
        <v>204</v>
      </c>
      <c r="J24" s="456"/>
      <c r="K24" s="456"/>
      <c r="L24" s="457"/>
      <c r="N24" s="44"/>
      <c r="P24" s="183"/>
    </row>
    <row r="25" spans="2:16" ht="13.9" customHeight="1">
      <c r="B25" s="15">
        <v>143</v>
      </c>
      <c r="C25" s="62" t="str">
        <f>VLOOKUP( $B25, T_Aop[], 5, 1)</f>
        <v>604, dio 605</v>
      </c>
      <c r="D25" s="681" t="str">
        <f>VLOOKUP( $B25, T_Aop[], 6, 1)</f>
        <v xml:space="preserve">      c) Prihodi od prodaje robe na inostranom tržištu</v>
      </c>
      <c r="E25" s="682"/>
      <c r="F25" s="682"/>
      <c r="G25" s="682"/>
      <c r="H25" s="683"/>
      <c r="I25" s="63">
        <f>VLOOKUP( $B25, T_Aop[], 4, 1)</f>
        <v>205</v>
      </c>
      <c r="J25" s="454"/>
      <c r="K25" s="454"/>
      <c r="L25" s="455"/>
      <c r="N25" s="44"/>
      <c r="P25" s="183"/>
    </row>
    <row r="26" spans="2:16" ht="13.9" customHeight="1">
      <c r="B26" s="15">
        <v>144</v>
      </c>
      <c r="C26" s="58" t="str">
        <f>VLOOKUP( $B26, T_Aop[], 5, 1)</f>
        <v>61</v>
      </c>
      <c r="D26" s="678" t="str">
        <f>VLOOKUP( $B26, T_Aop[], 6, 1)</f>
        <v xml:space="preserve">    2. Prihodi od prodaje proizvoda (207 do 209)</v>
      </c>
      <c r="E26" s="679"/>
      <c r="F26" s="679"/>
      <c r="G26" s="679"/>
      <c r="H26" s="680"/>
      <c r="I26" s="59">
        <f>VLOOKUP( $B26, T_Aop[], 4, 1)</f>
        <v>206</v>
      </c>
      <c r="J26" s="456"/>
      <c r="K26" s="458">
        <f>IF(AND([0]!Godina=2025,MID(Osnovni_podaci!D20,3,1)="v",Osnovni_podaci!L24=2,Osnovni_podaci!G24=1,MID(Osnovni_podaci!D20,3,1)="v",MID(Osnovni_podaci!D20,8,1)="r"),SUBTOTAL( 9, K27:K29),A1)</f>
        <v>0</v>
      </c>
      <c r="L26" s="459">
        <f>IF(AND([0]!Godina=2025,MID(Osnovni_podaci!D20,3,1)="v",Osnovni_podaci!L24=2,Osnovni_podaci!G24=1,MID(Osnovni_podaci!D20,3,1)="v",MID(Osnovni_podaci!D20,8,1)="r"),SUBTOTAL( 9, L27:L29),A1)</f>
        <v>0</v>
      </c>
      <c r="N26" s="44"/>
      <c r="P26" s="183"/>
    </row>
    <row r="27" spans="2:16" ht="13.9" customHeight="1">
      <c r="B27" s="15">
        <v>145</v>
      </c>
      <c r="C27" s="62" t="str">
        <f>VLOOKUP( $B27, T_Aop[], 5, 1)</f>
        <v>610, dio 615</v>
      </c>
      <c r="D27" s="681" t="str">
        <f>VLOOKUP( $B27, T_Aop[], 6, 1)</f>
        <v xml:space="preserve">      a) Prihodi od prodaje proizvoda povezanim pravnim licima</v>
      </c>
      <c r="E27" s="682"/>
      <c r="F27" s="682"/>
      <c r="G27" s="682"/>
      <c r="H27" s="683"/>
      <c r="I27" s="63">
        <f>VLOOKUP( $B27, T_Aop[], 4, 1)</f>
        <v>207</v>
      </c>
      <c r="J27" s="454"/>
      <c r="K27" s="454"/>
      <c r="L27" s="455"/>
      <c r="N27" s="44"/>
      <c r="P27" s="183"/>
    </row>
    <row r="28" spans="2:16" ht="22.9" customHeight="1">
      <c r="B28" s="15">
        <v>146</v>
      </c>
      <c r="C28" s="58" t="str">
        <f>VLOOKUP( $B28, T_Aop[], 5, 1)</f>
        <v>611, 612, 613, dio 615</v>
      </c>
      <c r="D28" s="678" t="str">
        <f>VLOOKUP( $B28, T_Aop[], 6, 1)</f>
        <v xml:space="preserve">      b) Prihodi od prodaje proizvoda na domaćem tržištu</v>
      </c>
      <c r="E28" s="679"/>
      <c r="F28" s="679"/>
      <c r="G28" s="679"/>
      <c r="H28" s="680"/>
      <c r="I28" s="59">
        <f>VLOOKUP( $B28, T_Aop[], 4, 1)</f>
        <v>208</v>
      </c>
      <c r="J28" s="456"/>
      <c r="K28" s="456"/>
      <c r="L28" s="457"/>
      <c r="N28" s="44"/>
      <c r="P28" s="183"/>
    </row>
    <row r="29" spans="2:16" ht="13.9" customHeight="1">
      <c r="B29" s="15">
        <v>147</v>
      </c>
      <c r="C29" s="62" t="str">
        <f>VLOOKUP( $B29, T_Aop[], 5, 1)</f>
        <v>614, dio 615</v>
      </c>
      <c r="D29" s="681" t="str">
        <f>VLOOKUP( $B29, T_Aop[], 6, 1)</f>
        <v xml:space="preserve">      c) Prihodi od prodaje proizvoda na inostranom tržištu</v>
      </c>
      <c r="E29" s="682"/>
      <c r="F29" s="682"/>
      <c r="G29" s="682"/>
      <c r="H29" s="683"/>
      <c r="I29" s="63">
        <f>VLOOKUP( $B29, T_Aop[], 4, 1)</f>
        <v>209</v>
      </c>
      <c r="J29" s="454"/>
      <c r="K29" s="454"/>
      <c r="L29" s="455"/>
      <c r="N29" s="44"/>
      <c r="P29" s="183"/>
    </row>
    <row r="30" spans="2:16" ht="13.9" customHeight="1">
      <c r="B30" s="15">
        <v>148</v>
      </c>
      <c r="C30" s="58" t="str">
        <f>VLOOKUP( $B30, T_Aop[], 5, 1)</f>
        <v>62</v>
      </c>
      <c r="D30" s="678" t="str">
        <f>VLOOKUP( $B30, T_Aop[], 6, 1)</f>
        <v xml:space="preserve">     3. Prihodi od pruženih usluga (211 do 213)</v>
      </c>
      <c r="E30" s="679"/>
      <c r="F30" s="679"/>
      <c r="G30" s="679"/>
      <c r="H30" s="680"/>
      <c r="I30" s="59">
        <f>VLOOKUP( $B30, T_Aop[], 4, 1)</f>
        <v>210</v>
      </c>
      <c r="J30" s="456"/>
      <c r="K30" s="153">
        <f>IF(AND([0]!Godina=2025,MID(Osnovni_podaci!D20,3,1)="v",Osnovni_podaci!L24=2,Osnovni_podaci!G24=1,MID(Osnovni_podaci!D20,3,1)="v",MID(Osnovni_podaci!D20,8,1)="r"),SUBTOTAL( 9, K31:K33),A1)</f>
        <v>254451</v>
      </c>
      <c r="L30" s="481">
        <f>IF(AND([0]!Godina=2025,MID(Osnovni_podaci!D20,3,1)="v",Osnovni_podaci!L24=2,Osnovni_podaci!G24=1,MID(Osnovni_podaci!D20,3,1)="v",MID(Osnovni_podaci!D20,8,1)="r"),SUBTOTAL( 9, L31:L33),A1)</f>
        <v>190324</v>
      </c>
      <c r="N30" s="44"/>
      <c r="P30" s="183"/>
    </row>
    <row r="31" spans="2:16" ht="13.9" customHeight="1">
      <c r="B31" s="15">
        <v>149</v>
      </c>
      <c r="C31" s="62" t="str">
        <f>VLOOKUP( $B31, T_Aop[], 5, 1)</f>
        <v>620, dio 625</v>
      </c>
      <c r="D31" s="681" t="str">
        <f>VLOOKUP( $B31, T_Aop[], 6, 1)</f>
        <v xml:space="preserve">      a) Prihodi od pruženih usluga povezanim licima</v>
      </c>
      <c r="E31" s="682"/>
      <c r="F31" s="682"/>
      <c r="G31" s="682"/>
      <c r="H31" s="683"/>
      <c r="I31" s="63">
        <f>VLOOKUP( $B31, T_Aop[], 4, 1)</f>
        <v>211</v>
      </c>
      <c r="J31" s="454"/>
      <c r="K31" s="454"/>
      <c r="L31" s="455"/>
      <c r="N31" s="44"/>
      <c r="P31" s="183"/>
    </row>
    <row r="32" spans="2:16" ht="22.9" customHeight="1">
      <c r="B32" s="15">
        <v>150</v>
      </c>
      <c r="C32" s="58" t="str">
        <f>VLOOKUP( $B32, T_Aop[], 5, 1)</f>
        <v>621, 622, 623, dio 625</v>
      </c>
      <c r="D32" s="678" t="str">
        <f>VLOOKUP( $B32, T_Aop[], 6, 1)</f>
        <v xml:space="preserve">      b) Prihodi od pruženih usluga na domaćem tržištu</v>
      </c>
      <c r="E32" s="679"/>
      <c r="F32" s="679"/>
      <c r="G32" s="679"/>
      <c r="H32" s="680"/>
      <c r="I32" s="59">
        <f>VLOOKUP( $B32, T_Aop[], 4, 1)</f>
        <v>212</v>
      </c>
      <c r="J32" s="456"/>
      <c r="K32" s="456">
        <v>254451</v>
      </c>
      <c r="L32" s="457">
        <v>190324</v>
      </c>
      <c r="N32" s="44"/>
      <c r="P32" s="183"/>
    </row>
    <row r="33" spans="2:16" ht="13.9" customHeight="1">
      <c r="B33" s="15">
        <v>151</v>
      </c>
      <c r="C33" s="62" t="str">
        <f>VLOOKUP( $B33, T_Aop[], 5, 1)</f>
        <v>624, dio 625</v>
      </c>
      <c r="D33" s="681" t="str">
        <f>VLOOKUP( $B33, T_Aop[], 6, 1)</f>
        <v xml:space="preserve">      c) Prihodi od pruženih usluga na inostranom tržištu</v>
      </c>
      <c r="E33" s="682"/>
      <c r="F33" s="682"/>
      <c r="G33" s="682"/>
      <c r="H33" s="683"/>
      <c r="I33" s="63">
        <f>VLOOKUP( $B33, T_Aop[], 4, 1)</f>
        <v>213</v>
      </c>
      <c r="J33" s="454"/>
      <c r="K33" s="454"/>
      <c r="L33" s="455"/>
      <c r="N33" s="44"/>
      <c r="P33" s="183"/>
    </row>
    <row r="34" spans="2:16" ht="13.9" customHeight="1">
      <c r="B34" s="15">
        <v>152</v>
      </c>
      <c r="C34" s="58" t="str">
        <f>VLOOKUP( $B34, T_Aop[], 5, 1)</f>
        <v>630</v>
      </c>
      <c r="D34" s="678" t="str">
        <f>VLOOKUP( $B34, T_Aop[], 6, 1)</f>
        <v xml:space="preserve">    4. Povećanje vrijednosti zaliha učinaka</v>
      </c>
      <c r="E34" s="679"/>
      <c r="F34" s="679"/>
      <c r="G34" s="679"/>
      <c r="H34" s="680"/>
      <c r="I34" s="59">
        <f>VLOOKUP( $B34, T_Aop[], 4, 1)</f>
        <v>214</v>
      </c>
      <c r="J34" s="456"/>
      <c r="K34" s="456"/>
      <c r="L34" s="457"/>
      <c r="N34" s="44"/>
      <c r="P34" s="183"/>
    </row>
    <row r="35" spans="2:16" ht="13.9" customHeight="1">
      <c r="B35" s="15">
        <v>153</v>
      </c>
      <c r="C35" s="62" t="str">
        <f>VLOOKUP( $B35, T_Aop[], 5, 1)</f>
        <v>631</v>
      </c>
      <c r="D35" s="681" t="str">
        <f>VLOOKUP( $B35, T_Aop[], 6, 1)</f>
        <v xml:space="preserve">    5. Smanjenje vrijednosti zaliha učinaka</v>
      </c>
      <c r="E35" s="682"/>
      <c r="F35" s="682"/>
      <c r="G35" s="682"/>
      <c r="H35" s="683"/>
      <c r="I35" s="63">
        <f>VLOOKUP( $B35, T_Aop[], 4, 1)</f>
        <v>215</v>
      </c>
      <c r="J35" s="454"/>
      <c r="K35" s="454"/>
      <c r="L35" s="455"/>
      <c r="N35" s="44"/>
      <c r="P35" s="183"/>
    </row>
    <row r="36" spans="2:16" ht="22.9" customHeight="1">
      <c r="B36" s="15">
        <v>154</v>
      </c>
      <c r="C36" s="58" t="str">
        <f>VLOOKUP( $B36, T_Aop[], 5, 1)</f>
        <v>640 i 641</v>
      </c>
      <c r="D36" s="678" t="str">
        <f>VLOOKUP( $B36, T_Aop[], 6, 1)</f>
        <v xml:space="preserve">    6. Povećanje vrijednosti investicionih nekretnina i bioloških sredstava koja se ne amortizuju</v>
      </c>
      <c r="E36" s="679"/>
      <c r="F36" s="679"/>
      <c r="G36" s="679"/>
      <c r="H36" s="680"/>
      <c r="I36" s="59">
        <f>VLOOKUP( $B36, T_Aop[], 4, 1)</f>
        <v>216</v>
      </c>
      <c r="J36" s="456"/>
      <c r="K36" s="456"/>
      <c r="L36" s="457"/>
      <c r="N36" s="44"/>
      <c r="P36" s="183"/>
    </row>
    <row r="37" spans="2:16" ht="22.9" customHeight="1">
      <c r="B37" s="15">
        <v>155</v>
      </c>
      <c r="C37" s="62" t="str">
        <f>VLOOKUP( $B37, T_Aop[], 5, 1)</f>
        <v>642 i 643</v>
      </c>
      <c r="D37" s="681" t="str">
        <f>VLOOKUP( $B37, T_Aop[], 6, 1)</f>
        <v xml:space="preserve">    7.  Smanjenje vrijednosti investicionih nekretnina i bioloških sredstava koja se ne amortizuju</v>
      </c>
      <c r="E37" s="682"/>
      <c r="F37" s="682"/>
      <c r="G37" s="682"/>
      <c r="H37" s="683"/>
      <c r="I37" s="63">
        <f>VLOOKUP( $B37, T_Aop[], 4, 1)</f>
        <v>217</v>
      </c>
      <c r="J37" s="454"/>
      <c r="K37" s="454"/>
      <c r="L37" s="455"/>
      <c r="N37" s="44"/>
      <c r="P37" s="183"/>
    </row>
    <row r="38" spans="2:16" ht="11.25" customHeight="1">
      <c r="B38" s="15">
        <v>156</v>
      </c>
      <c r="C38" s="58" t="str">
        <f>VLOOKUP( $B38, T_Aop[], 5, 1)</f>
        <v>650 do 659</v>
      </c>
      <c r="D38" s="678" t="str">
        <f>VLOOKUP( $B38, T_Aop[], 6, 1)</f>
        <v xml:space="preserve">    8. Ostali poslovni prihodi</v>
      </c>
      <c r="E38" s="679"/>
      <c r="F38" s="679"/>
      <c r="G38" s="679"/>
      <c r="H38" s="680"/>
      <c r="I38" s="59">
        <f>VLOOKUP( $B38, T_Aop[], 4, 1)</f>
        <v>218</v>
      </c>
      <c r="J38" s="456"/>
      <c r="K38" s="456">
        <v>300585</v>
      </c>
      <c r="L38" s="457"/>
      <c r="N38" s="44"/>
      <c r="P38" s="183"/>
    </row>
    <row r="39" spans="2:16" ht="12.75" customHeight="1">
      <c r="B39" s="15">
        <v>157</v>
      </c>
      <c r="C39" s="62">
        <f>VLOOKUP( $B39, T_Aop[], 5, 1)</f>
        <v>0</v>
      </c>
      <c r="D39" s="692" t="str">
        <f>VLOOKUP( $B39, T_Aop[], 6, 1)</f>
        <v xml:space="preserve">  II  POSLOVNI RASHODI  (220 + 221 + 222 + 223 + 226 + 227 + 234 + 235 + 236)</v>
      </c>
      <c r="E39" s="693"/>
      <c r="F39" s="693"/>
      <c r="G39" s="693"/>
      <c r="H39" s="694"/>
      <c r="I39" s="179">
        <f>VLOOKUP( $B39, T_Aop[], 4, 1)</f>
        <v>219</v>
      </c>
      <c r="J39" s="454"/>
      <c r="K39" s="67">
        <f>IF(AND([0]!Godina=2025,MID(Osnovni_podaci!D20,3,1)="v",Osnovni_podaci!L24=2,Osnovni_podaci!G24=1,MID(Osnovni_podaci!D20,3,1)="v",MID(Osnovni_podaci!D20,8,1)="r"),SUBTOTAL( 9, K40:K56),A1)</f>
        <v>290547</v>
      </c>
      <c r="L39" s="68">
        <f>IF(AND([0]!Godina=2025,MID(Osnovni_podaci!D20,3,1)="v",Osnovni_podaci!L24=2,Osnovni_podaci!G24=1,MID(Osnovni_podaci!D20,3,1)="v",MID(Osnovni_podaci!D20,8,1)="r"),SUBTOTAL( 9, L40:L56),A1)</f>
        <v>340983</v>
      </c>
      <c r="N39" s="44"/>
      <c r="P39" s="183"/>
    </row>
    <row r="40" spans="2:16" ht="14.65" customHeight="1">
      <c r="B40" s="15">
        <v>158</v>
      </c>
      <c r="C40" s="58" t="str">
        <f>VLOOKUP( $B40, T_Aop[], 5, 1)</f>
        <v>500 do 502</v>
      </c>
      <c r="D40" s="678" t="str">
        <f>VLOOKUP( $B40, T_Aop[], 6, 1)</f>
        <v xml:space="preserve">    1. Nabavna vrijednost prodate robe</v>
      </c>
      <c r="E40" s="679"/>
      <c r="F40" s="679"/>
      <c r="G40" s="679"/>
      <c r="H40" s="680"/>
      <c r="I40" s="59">
        <f>VLOOKUP( $B40, T_Aop[], 4, 1)</f>
        <v>220</v>
      </c>
      <c r="J40" s="456"/>
      <c r="K40" s="456"/>
      <c r="L40" s="457"/>
      <c r="N40" s="44"/>
      <c r="P40" s="183"/>
    </row>
    <row r="41" spans="2:16" ht="14.65" customHeight="1">
      <c r="B41" s="15">
        <v>159</v>
      </c>
      <c r="C41" s="62" t="str">
        <f>VLOOKUP( $B41, T_Aop[], 5, 1)</f>
        <v>510 do 512</v>
      </c>
      <c r="D41" s="681" t="str">
        <f>VLOOKUP( $B41, T_Aop[], 6, 1)</f>
        <v xml:space="preserve">    2. Troškovi materijala</v>
      </c>
      <c r="E41" s="682"/>
      <c r="F41" s="682"/>
      <c r="G41" s="682"/>
      <c r="H41" s="683"/>
      <c r="I41" s="63">
        <f>VLOOKUP( $B41, T_Aop[], 4, 1)</f>
        <v>221</v>
      </c>
      <c r="J41" s="454"/>
      <c r="K41" s="454">
        <v>15705</v>
      </c>
      <c r="L41" s="455">
        <v>10418</v>
      </c>
      <c r="N41" s="44"/>
      <c r="P41" s="183"/>
    </row>
    <row r="42" spans="2:16" ht="14.65" customHeight="1">
      <c r="B42" s="15">
        <v>160</v>
      </c>
      <c r="C42" s="58" t="str">
        <f>VLOOKUP( $B42, T_Aop[], 5, 1)</f>
        <v>513</v>
      </c>
      <c r="D42" s="678" t="str">
        <f>VLOOKUP( $B42, T_Aop[], 6, 1)</f>
        <v xml:space="preserve">    3. Troškovi goriva i energije</v>
      </c>
      <c r="E42" s="679"/>
      <c r="F42" s="679"/>
      <c r="G42" s="679"/>
      <c r="H42" s="680"/>
      <c r="I42" s="59">
        <f>VLOOKUP( $B42, T_Aop[], 4, 1)</f>
        <v>222</v>
      </c>
      <c r="J42" s="456"/>
      <c r="K42" s="456">
        <v>3726</v>
      </c>
      <c r="L42" s="457">
        <v>4532</v>
      </c>
      <c r="N42" s="44"/>
      <c r="P42" s="183"/>
    </row>
    <row r="43" spans="2:16" ht="22.9" customHeight="1">
      <c r="B43" s="15">
        <v>161</v>
      </c>
      <c r="C43" s="62" t="str">
        <f>VLOOKUP( $B43, T_Aop[], 5, 1)</f>
        <v>52</v>
      </c>
      <c r="D43" s="681" t="str">
        <f>VLOOKUP( $B43, T_Aop[], 6, 1)</f>
        <v xml:space="preserve">    4. Troškovi plata, naknada plata i ostalih ličnih primanja (224 + 225)</v>
      </c>
      <c r="E43" s="682"/>
      <c r="F43" s="682"/>
      <c r="G43" s="682"/>
      <c r="H43" s="683"/>
      <c r="I43" s="63">
        <f>VLOOKUP( $B43, T_Aop[], 4, 1)</f>
        <v>223</v>
      </c>
      <c r="J43" s="454"/>
      <c r="K43" s="460">
        <f>IF(AND([0]!Godina=2025,MID(Osnovni_podaci!D20,3,1)="v",Osnovni_podaci!L24=2,Osnovni_podaci!G24=1,MID(Osnovni_podaci!D20,3,1)="v",MID(Osnovni_podaci!D20,8,1)="r"),SUBTOTAL( 9, K44:K45),A1)</f>
        <v>243770</v>
      </c>
      <c r="L43" s="461">
        <f>IF(AND([0]!Godina=2025,MID(Osnovni_podaci!D20,3,1)="v",Osnovni_podaci!L24=2,Osnovni_podaci!G24=1,MID(Osnovni_podaci!D20,3,1)="v",MID(Osnovni_podaci!D20,8,1)="r"),SUBTOTAL( 9, L44:L45),A1)</f>
        <v>316372</v>
      </c>
      <c r="N43" s="44"/>
      <c r="P43" s="183"/>
    </row>
    <row r="44" spans="2:16" ht="14.65" customHeight="1">
      <c r="B44" s="15">
        <v>162</v>
      </c>
      <c r="C44" s="58" t="str">
        <f>VLOOKUP( $B44, T_Aop[], 5, 1)</f>
        <v>520 i 523</v>
      </c>
      <c r="D44" s="678" t="str">
        <f>VLOOKUP( $B44, T_Aop[], 6, 1)</f>
        <v xml:space="preserve">      a) Troškovi bruto plata i bruto naknada plata</v>
      </c>
      <c r="E44" s="679"/>
      <c r="F44" s="679"/>
      <c r="G44" s="679"/>
      <c r="H44" s="680"/>
      <c r="I44" s="59">
        <f>VLOOKUP( $B44, T_Aop[], 4, 1)</f>
        <v>224</v>
      </c>
      <c r="J44" s="456"/>
      <c r="K44" s="456">
        <v>232420</v>
      </c>
      <c r="L44" s="457">
        <v>218772</v>
      </c>
      <c r="N44" s="44"/>
      <c r="P44" s="183"/>
    </row>
    <row r="45" spans="2:16" ht="14.65" customHeight="1">
      <c r="B45" s="15">
        <v>163</v>
      </c>
      <c r="C45" s="62" t="str">
        <f>VLOOKUP( $B45, T_Aop[], 5, 1)</f>
        <v>524 do 529</v>
      </c>
      <c r="D45" s="681" t="str">
        <f>VLOOKUP( $B45, T_Aop[], 6, 1)</f>
        <v xml:space="preserve">      b) Troškovi ostalih ličnih primanja</v>
      </c>
      <c r="E45" s="682"/>
      <c r="F45" s="682"/>
      <c r="G45" s="682"/>
      <c r="H45" s="683"/>
      <c r="I45" s="63">
        <f>VLOOKUP( $B45, T_Aop[], 4, 1)</f>
        <v>225</v>
      </c>
      <c r="J45" s="454"/>
      <c r="K45" s="454">
        <v>11350</v>
      </c>
      <c r="L45" s="455">
        <v>97600</v>
      </c>
      <c r="N45" s="44"/>
      <c r="P45" s="183"/>
    </row>
    <row r="46" spans="2:16" ht="14.65" customHeight="1">
      <c r="B46" s="15">
        <v>164</v>
      </c>
      <c r="C46" s="58" t="str">
        <f>VLOOKUP( $B46, T_Aop[], 5, 1)</f>
        <v>530 do 539</v>
      </c>
      <c r="D46" s="678" t="str">
        <f>VLOOKUP( $B46, T_Aop[], 6, 1)</f>
        <v xml:space="preserve">    5. Troškovi proizvodnih usluga</v>
      </c>
      <c r="E46" s="679"/>
      <c r="F46" s="679"/>
      <c r="G46" s="679"/>
      <c r="H46" s="680"/>
      <c r="I46" s="59">
        <f>VLOOKUP( $B46, T_Aop[], 4, 1)</f>
        <v>226</v>
      </c>
      <c r="J46" s="456"/>
      <c r="K46" s="456">
        <f>559+450+100+1334+500+205</f>
        <v>3148</v>
      </c>
      <c r="L46" s="457">
        <v>2056</v>
      </c>
      <c r="N46" s="44"/>
      <c r="P46" s="183"/>
    </row>
    <row r="47" spans="2:16" ht="14.65" customHeight="1">
      <c r="B47" s="15">
        <v>165</v>
      </c>
      <c r="C47" s="62" t="str">
        <f>VLOOKUP( $B47, T_Aop[], 5, 1)</f>
        <v>54</v>
      </c>
      <c r="D47" s="681" t="str">
        <f>VLOOKUP( $B47, T_Aop[], 6, 1)</f>
        <v xml:space="preserve">    6. Troškovi amortizacije i rezervisanja (228 + 233)</v>
      </c>
      <c r="E47" s="682"/>
      <c r="F47" s="682"/>
      <c r="G47" s="682"/>
      <c r="H47" s="683"/>
      <c r="I47" s="63">
        <f>VLOOKUP( $B47, T_Aop[], 4, 1)</f>
        <v>227</v>
      </c>
      <c r="J47" s="454"/>
      <c r="K47" s="460">
        <f>IF(AND([0]!Godina=2025,MID(Osnovni_podaci!D20,3,1)="v",Osnovni_podaci!L24=2,Osnovni_podaci!G24=1,MID(Osnovni_podaci!D20,3,1)="v",MID(Osnovni_podaci!D20,8,1)="r"),SUBTOTAL( 9, K48:K53),A1)</f>
        <v>10558</v>
      </c>
      <c r="L47" s="461">
        <f>IF(AND([0]!Godina=2025,MID(Osnovni_podaci!D20,3,1)="v",Osnovni_podaci!L24=2,Osnovni_podaci!G24=1,MID(Osnovni_podaci!D20,3,1)="v",MID(Osnovni_podaci!D20,8,1)="r"),SUBTOTAL( 9, L48:L53),A1)</f>
        <v>1921</v>
      </c>
      <c r="N47" s="44"/>
      <c r="P47" s="183"/>
    </row>
    <row r="48" spans="2:16" ht="14.65" customHeight="1">
      <c r="B48" s="15">
        <v>166</v>
      </c>
      <c r="C48" s="58" t="str">
        <f>VLOOKUP( $B48, T_Aop[], 5, 1)</f>
        <v>540</v>
      </c>
      <c r="D48" s="678" t="str">
        <f>VLOOKUP( $B48, T_Aop[], 6, 1)</f>
        <v xml:space="preserve">      6.1 Troškovi amortizacije (229 do 232)</v>
      </c>
      <c r="E48" s="679"/>
      <c r="F48" s="679"/>
      <c r="G48" s="679"/>
      <c r="H48" s="680"/>
      <c r="I48" s="59">
        <f>VLOOKUP( $B48, T_Aop[], 4, 1)</f>
        <v>228</v>
      </c>
      <c r="J48" s="456"/>
      <c r="K48" s="458">
        <f>IF(AND([0]!Godina=2025,MID(Osnovni_podaci!D20,3,1)="v",Osnovni_podaci!L24=2,Osnovni_podaci!G24=1,MID(Osnovni_podaci!D20,3,1)="v",MID(Osnovni_podaci!D20,8,1)="r"),SUBTOTAL( 9, K49:K52),A1)</f>
        <v>10558</v>
      </c>
      <c r="L48" s="459">
        <f>IF(AND([0]!Godina=2025,MID(Osnovni_podaci!D20,3,1)="v",Osnovni_podaci!L24=2,Osnovni_podaci!G24=1,MID(Osnovni_podaci!D20,3,1)="v",MID(Osnovni_podaci!D20,8,1)="r"),SUBTOTAL( 9, L49:L52),A1)</f>
        <v>1921</v>
      </c>
      <c r="N48" s="44"/>
      <c r="P48" s="183"/>
    </row>
    <row r="49" spans="2:16" ht="14.65" customHeight="1">
      <c r="B49" s="15">
        <v>167</v>
      </c>
      <c r="C49" s="62" t="str">
        <f>VLOOKUP( $B49, T_Aop[], 5, 1)</f>
        <v>dio 540</v>
      </c>
      <c r="D49" s="681" t="str">
        <f>VLOOKUP( $B49, T_Aop[], 6, 1)</f>
        <v xml:space="preserve">        a) Amortizacija nekretnina, postrojenja i opreme</v>
      </c>
      <c r="E49" s="682"/>
      <c r="F49" s="682"/>
      <c r="G49" s="682"/>
      <c r="H49" s="683"/>
      <c r="I49" s="63">
        <f>VLOOKUP( $B49, T_Aop[], 4, 1)</f>
        <v>229</v>
      </c>
      <c r="J49" s="454"/>
      <c r="K49" s="454">
        <v>10558</v>
      </c>
      <c r="L49" s="455">
        <v>1921</v>
      </c>
      <c r="N49" s="44"/>
      <c r="P49" s="183"/>
    </row>
    <row r="50" spans="2:16" ht="14.65" customHeight="1">
      <c r="B50" s="15">
        <v>168</v>
      </c>
      <c r="C50" s="58" t="str">
        <f>IF(AND([0]!Godina=2025,MID(Osnovni_podaci!D20,3,1)="v",Osnovni_podaci!L24=2,Osnovni_podaci!G24=1,MID(Osnovni_podaci!D20,3,1)="v",MID(Osnovni_podaci!D20,8,1)="r"),VLOOKUP( $B50, T_Aop[], 5, 1),A1)</f>
        <v>dio 540</v>
      </c>
      <c r="D50" s="678" t="str">
        <f>VLOOKUP( $B50, T_Aop[], 6, 1)</f>
        <v xml:space="preserve">        b) Amortizacija investicionih nekretnina</v>
      </c>
      <c r="E50" s="679"/>
      <c r="F50" s="679"/>
      <c r="G50" s="679"/>
      <c r="H50" s="680"/>
      <c r="I50" s="59">
        <f>VLOOKUP( $B50, T_Aop[], 4, 1)</f>
        <v>230</v>
      </c>
      <c r="J50" s="456"/>
      <c r="K50" s="456"/>
      <c r="L50" s="457"/>
      <c r="N50" s="44"/>
      <c r="P50" s="183"/>
    </row>
    <row r="51" spans="2:16" ht="14.65" customHeight="1">
      <c r="B51" s="15">
        <v>169</v>
      </c>
      <c r="C51" s="62" t="str">
        <f>IF(AND([0]!Godina=2025,MID(Osnovni_podaci!D20,3,1)="v",Osnovni_podaci!L24=2,Osnovni_podaci!G24=1,MID(Osnovni_podaci!D20,3,1)="v",MID(Osnovni_podaci!D20,8,1)="r"),VLOOKUP( $B51, T_Aop[], 5, 1),A1)</f>
        <v>dio 540</v>
      </c>
      <c r="D51" s="681" t="str">
        <f>VLOOKUP( $B51, T_Aop[], 6, 1)</f>
        <v xml:space="preserve">        c) Amortizacija sredstava uzetih u zakup</v>
      </c>
      <c r="E51" s="682"/>
      <c r="F51" s="682"/>
      <c r="G51" s="682"/>
      <c r="H51" s="683"/>
      <c r="I51" s="63">
        <f>VLOOKUP( $B51, T_Aop[], 4, 1)</f>
        <v>231</v>
      </c>
      <c r="J51" s="454"/>
      <c r="K51" s="454"/>
      <c r="L51" s="455"/>
      <c r="N51" s="44"/>
      <c r="P51" s="183"/>
    </row>
    <row r="52" spans="2:16" ht="14.65" customHeight="1">
      <c r="B52" s="15">
        <v>170</v>
      </c>
      <c r="C52" s="58" t="str">
        <f>IF(AND([0]!Godina=2025,MID(Osnovni_podaci!D20,3,1)="v",Osnovni_podaci!L24=2,Osnovni_podaci!G24=1,MID(Osnovni_podaci!D20,3,1)="v",MID(Osnovni_podaci!D20,8,1)="r"),VLOOKUP( $B52, T_Aop[], 5, 1),A1)</f>
        <v>dio 540</v>
      </c>
      <c r="D52" s="678" t="str">
        <f>VLOOKUP( $B52, T_Aop[], 6, 1)</f>
        <v xml:space="preserve">        d) Amortizacija ostalih sredstava</v>
      </c>
      <c r="E52" s="679"/>
      <c r="F52" s="679"/>
      <c r="G52" s="679"/>
      <c r="H52" s="680"/>
      <c r="I52" s="59">
        <f>VLOOKUP( $B52, T_Aop[], 4, 1)</f>
        <v>232</v>
      </c>
      <c r="J52" s="456"/>
      <c r="K52" s="456"/>
      <c r="L52" s="457"/>
      <c r="N52" s="44"/>
      <c r="P52" s="183"/>
    </row>
    <row r="53" spans="2:16" ht="14.65" customHeight="1">
      <c r="B53" s="15">
        <v>171</v>
      </c>
      <c r="C53" s="62" t="str">
        <f>IF(AND([0]!Godina=2025,MID(Osnovni_podaci!D20,3,1)="v",Osnovni_podaci!L24=2,Osnovni_podaci!G24=1,MID(Osnovni_podaci!D20,3,1)="v",MID(Osnovni_podaci!D20,8,1)="r"),VLOOKUP( $B53, T_Aop[], 5, 1),A1)</f>
        <v>541</v>
      </c>
      <c r="D53" s="681" t="str">
        <f>VLOOKUP( $B53, T_Aop[], 6, 1)</f>
        <v xml:space="preserve">      6.2 Troškovi rezervisanja</v>
      </c>
      <c r="E53" s="682"/>
      <c r="F53" s="682"/>
      <c r="G53" s="682"/>
      <c r="H53" s="683"/>
      <c r="I53" s="63">
        <f>VLOOKUP( $B53, T_Aop[], 4, 1)</f>
        <v>233</v>
      </c>
      <c r="J53" s="454"/>
      <c r="K53" s="454"/>
      <c r="L53" s="455"/>
      <c r="N53" s="44"/>
      <c r="P53" s="183"/>
    </row>
    <row r="54" spans="2:16" ht="14.65" customHeight="1">
      <c r="B54" s="15">
        <v>172</v>
      </c>
      <c r="C54" s="58" t="str">
        <f>IF(AND([0]!Godina=2025,MID(Osnovni_podaci!D20,3,1)="v",Osnovni_podaci!L24=2,Osnovni_podaci!G24=1,MID(Osnovni_podaci!D20,3,1)="v",MID(Osnovni_podaci!D20,8,1)="r"),VLOOKUP( $B54, T_Aop[], 5, 1),A1)</f>
        <v>55 osim 555 i 556</v>
      </c>
      <c r="D54" s="678" t="str">
        <f>VLOOKUP( $B54, T_Aop[], 6, 1)</f>
        <v xml:space="preserve">    7. Nematerijalni troškovi (bez poreza i doprinosa)</v>
      </c>
      <c r="E54" s="679"/>
      <c r="F54" s="679"/>
      <c r="G54" s="679"/>
      <c r="H54" s="680"/>
      <c r="I54" s="59">
        <f>VLOOKUP( $B54, T_Aop[], 4, 1)</f>
        <v>234</v>
      </c>
      <c r="J54" s="456"/>
      <c r="K54" s="456">
        <f>2400+658+128+680+6498+1492+453+772+94</f>
        <v>13175</v>
      </c>
      <c r="L54" s="457">
        <v>5314</v>
      </c>
      <c r="N54" s="44"/>
      <c r="P54" s="183"/>
    </row>
    <row r="55" spans="2:16" ht="14.65" customHeight="1">
      <c r="B55" s="15">
        <v>173</v>
      </c>
      <c r="C55" s="62" t="str">
        <f>IF(AND([0]!Godina=2025,MID(Osnovni_podaci!D20,3,1)="v",Osnovni_podaci!L24=2,Osnovni_podaci!G24=1,MID(Osnovni_podaci!D20,3,1)="v",MID(Osnovni_podaci!D20,8,1)="r"),VLOOKUP( $B55, T_Aop[], 5, 1),A1)</f>
        <v>555</v>
      </c>
      <c r="D55" s="681" t="str">
        <f>VLOOKUP( $B55, T_Aop[], 6, 1)</f>
        <v xml:space="preserve">    8. Troškovi poreza</v>
      </c>
      <c r="E55" s="682"/>
      <c r="F55" s="682"/>
      <c r="G55" s="682"/>
      <c r="H55" s="683"/>
      <c r="I55" s="63">
        <f>VLOOKUP( $B55, T_Aop[], 4, 1)</f>
        <v>235</v>
      </c>
      <c r="J55" s="454"/>
      <c r="K55" s="454"/>
      <c r="L55" s="455"/>
      <c r="N55" s="44"/>
      <c r="P55" s="183"/>
    </row>
    <row r="56" spans="2:16" ht="14.65" customHeight="1">
      <c r="B56" s="15">
        <v>174</v>
      </c>
      <c r="C56" s="58" t="str">
        <f>IF(AND([0]!Godina=2025,MID(Osnovni_podaci!D20,3,1)="v",Osnovni_podaci!L24=2,Osnovni_podaci!G24=1,MID(Osnovni_podaci!D20,3,1)="v",MID(Osnovni_podaci!D20,8,1)="r"),VLOOKUP( $B56, T_Aop[], 5, 1),A1)</f>
        <v>556</v>
      </c>
      <c r="D56" s="678" t="str">
        <f>VLOOKUP( $B56, T_Aop[], 6, 1)</f>
        <v xml:space="preserve">    9. Troškovi doprinosa</v>
      </c>
      <c r="E56" s="679"/>
      <c r="F56" s="679"/>
      <c r="G56" s="679"/>
      <c r="H56" s="680"/>
      <c r="I56" s="59">
        <f>VLOOKUP( $B56, T_Aop[], 4, 1)</f>
        <v>236</v>
      </c>
      <c r="J56" s="456"/>
      <c r="K56" s="456">
        <v>465</v>
      </c>
      <c r="L56" s="457">
        <v>370</v>
      </c>
      <c r="N56" s="44"/>
      <c r="P56" s="183"/>
    </row>
    <row r="57" spans="2:16" ht="12.75" customHeight="1">
      <c r="B57" s="15">
        <v>175</v>
      </c>
      <c r="C57" s="62">
        <f>IF(AND([0]!Godina=2025,MID(Osnovni_podaci!D20,3,1)="v",Osnovni_podaci!L24=2,Osnovni_podaci!G24=1,MID(Osnovni_podaci!D20,3,1)="v",MID(Osnovni_podaci!D20,8,1)="r"),VLOOKUP( $B57, T_Aop[], 5, 1),A1)</f>
        <v>0</v>
      </c>
      <c r="D57" s="692" t="str">
        <f>VLOOKUP( $B57, T_Aop[], 6, 1)</f>
        <v xml:space="preserve">  B.  POSLOVNI DOBITAK (201 – 219)</v>
      </c>
      <c r="E57" s="693"/>
      <c r="F57" s="693"/>
      <c r="G57" s="693"/>
      <c r="H57" s="694"/>
      <c r="I57" s="179">
        <f>VLOOKUP( $B57, T_Aop[], 4, 1)</f>
        <v>237</v>
      </c>
      <c r="J57" s="454"/>
      <c r="K57" s="67">
        <f>IF(AND([0]!Godina=2025,MID(Osnovni_podaci!D20,3,1)="v",Osnovni_podaci!L24=2,Osnovni_podaci!G24=1,MID(Osnovni_podaci!D20,3,1)="v",MID(Osnovni_podaci!D20,8,1)="r"),IF( SUBTOTAL( 9, K21:K34,K36,K38) - SUBTOTAL( 9, K35, K37, K39:K56)  &lt;= 0, 0, ABS( SUBTOTAL( 9, K21:K34,K36,K38) - SUBTOTAL( 9, K35, K37, K39:K56))),A1)</f>
        <v>264489</v>
      </c>
      <c r="L57" s="68">
        <f>IF(AND([0]!Godina=2025,MID(Osnovni_podaci!D20,3,1)="v",Osnovni_podaci!L24=2,Osnovni_podaci!G24=1,MID(Osnovni_podaci!D20,3,1)="v",MID(Osnovni_podaci!D20,8,1)="r"),IF( SUBTOTAL( 9, L21:L34,L36,L38) - SUBTOTAL( 9, L35, L37, L39:L56)  &lt;= 0, 0, ABS( SUBTOTAL( 9, L21:L34,L36,L38) - SUBTOTAL( 9, L35, L37, L39:L56))),A1)</f>
        <v>0</v>
      </c>
      <c r="N57" s="44"/>
      <c r="P57" s="183"/>
    </row>
    <row r="58" spans="2:16" ht="12.75" customHeight="1">
      <c r="B58" s="15">
        <v>176</v>
      </c>
      <c r="C58" s="58">
        <f>IF(AND([0]!Godina=2025,MID(Osnovni_podaci!D20,3,1)="v",Osnovni_podaci!L24=2,Osnovni_podaci!G24=1,MID(Osnovni_podaci!D20,3,1)="v",MID(Osnovni_podaci!D20,8,1)="r"),VLOOKUP( $B58, T_Aop[], 5, 1),A1)</f>
        <v>0</v>
      </c>
      <c r="D58" s="688" t="str">
        <f>VLOOKUP( $B58, T_Aop[], 6, 1)</f>
        <v xml:space="preserve">  V.  POSLOVNI GUBITAK (219 – 201)</v>
      </c>
      <c r="E58" s="689"/>
      <c r="F58" s="689"/>
      <c r="G58" s="689"/>
      <c r="H58" s="690"/>
      <c r="I58" s="178">
        <f>VLOOKUP( $B58, T_Aop[], 4, 1)</f>
        <v>238</v>
      </c>
      <c r="J58" s="456"/>
      <c r="K58" s="254">
        <f>IF(AND([0]!Godina=2025,MID(Osnovni_podaci!D20,3,1)="v",Osnovni_podaci!L24=2,Osnovni_podaci!G24=1,MID(Osnovni_podaci!D20,3,1)="v",MID(Osnovni_podaci!D20,8,1)="r"),IF( SUBTOTAL( 9, K21:K34,K36,K38) - SUBTOTAL( 9, K35, K37, K39:K56)  &gt;= 0, 0, ABS( SUBTOTAL( 9, K21:K34,K36,K38) - SUBTOTAL( 9, K35, K37, K39:K56))),A1)</f>
        <v>0</v>
      </c>
      <c r="L58" s="403">
        <f>IF(AND([0]!Godina=2025,MID(Osnovni_podaci!D20,3,1)="v",Osnovni_podaci!L24=2,Osnovni_podaci!G24=1,MID(Osnovni_podaci!D20,3,1)="v",MID(Osnovni_podaci!D20,8,1)="r"),IF( SUBTOTAL( 9, L21:L34,L36,L38) - SUBTOTAL( 9, L35, L37, L39:L56)  &gt;= 0, 0, ABS( SUBTOTAL( 9, L21:L34,L36,L38) - SUBTOTAL( 9, L35, L37, L39:L56))),A1)</f>
        <v>150659</v>
      </c>
      <c r="N58" s="44"/>
      <c r="P58" s="183"/>
    </row>
    <row r="59" spans="2:16" ht="22.9" customHeight="1">
      <c r="B59" s="15">
        <v>177</v>
      </c>
      <c r="C59" s="62" t="str">
        <f>IF(AND([0]!Godina=2025,MID(Osnovni_podaci!D20,3,1)="v",Osnovni_podaci!L24=2,Osnovni_podaci!G24=1,MID(Osnovni_podaci!D20,3,1)="v",MID(Osnovni_podaci!D20,8,1)="r"),VLOOKUP( $B59, T_Aop[], 5, 1),A1)</f>
        <v>66</v>
      </c>
      <c r="D59" s="692" t="str">
        <f>VLOOKUP( $B59, T_Aop[], 6, 1)</f>
        <v xml:space="preserve">  G. FINANSIJSKI PRIHODI I RASHODI _x000D_
I  FINANSIJSKI PRIHODI (240 do 243)</v>
      </c>
      <c r="E59" s="693"/>
      <c r="F59" s="693"/>
      <c r="G59" s="693"/>
      <c r="H59" s="694"/>
      <c r="I59" s="179">
        <f>VLOOKUP( $B59, T_Aop[], 4, 1)</f>
        <v>239</v>
      </c>
      <c r="J59" s="454"/>
      <c r="K59" s="67">
        <f>IF(AND([0]!Godina=2025,MID(Osnovni_podaci!D20,3,1)="v",Osnovni_podaci!L24=2,Osnovni_podaci!G24=1,MID(Osnovni_podaci!D20,3,1)="v",MID(Osnovni_podaci!D20,8,1)="r"),SUBTOTAL( 9, K60:K63),A1)</f>
        <v>0</v>
      </c>
      <c r="L59" s="68">
        <f>IF(AND([0]!Godina=2025,MID(Osnovni_podaci!D20,3,1)="v",Osnovni_podaci!L24=2,Osnovni_podaci!G24=1,MID(Osnovni_podaci!D20,3,1)="v",MID(Osnovni_podaci!D20,8,1)="r"),SUBTOTAL( 9, L60:L63),A1)</f>
        <v>0</v>
      </c>
      <c r="N59" s="44"/>
      <c r="P59" s="183"/>
    </row>
    <row r="60" spans="2:16" ht="13.9" customHeight="1">
      <c r="B60" s="15">
        <v>178</v>
      </c>
      <c r="C60" s="58" t="str">
        <f>IF(AND([0]!Godina=2025,MID(Osnovni_podaci!D20,3,1)="v",Osnovni_podaci!L24=2,Osnovni_podaci!G24=1,MID(Osnovni_podaci!D20,3,1)="v",MID(Osnovni_podaci!D20,8,1)="r"),VLOOKUP( $B60, T_Aop[], 5, 1),A1)</f>
        <v>660, 661</v>
      </c>
      <c r="D60" s="678" t="str">
        <f>VLOOKUP( $B60, T_Aop[], 6, 1)</f>
        <v xml:space="preserve">    1.   Prihodi od kamata</v>
      </c>
      <c r="E60" s="679"/>
      <c r="F60" s="679"/>
      <c r="G60" s="679"/>
      <c r="H60" s="680"/>
      <c r="I60" s="59">
        <f>VLOOKUP( $B60, T_Aop[], 4, 1)</f>
        <v>240</v>
      </c>
      <c r="J60" s="456"/>
      <c r="K60" s="456"/>
      <c r="L60" s="457"/>
      <c r="N60" s="44"/>
      <c r="P60" s="183"/>
    </row>
    <row r="61" spans="2:16" ht="13.9" customHeight="1">
      <c r="B61" s="15">
        <v>179</v>
      </c>
      <c r="C61" s="62" t="str">
        <f>IF(AND([0]!Godina=2025,MID(Osnovni_podaci!D20,3,1)="v",Osnovni_podaci!L24=2,Osnovni_podaci!G24=1,MID(Osnovni_podaci!D20,3,1)="v",MID(Osnovni_podaci!D20,8,1)="r"),VLOOKUP( $B61, T_Aop[], 5, 1),A1)</f>
        <v>662</v>
      </c>
      <c r="D61" s="681" t="str">
        <f>VLOOKUP( $B61, T_Aop[], 6, 1)</f>
        <v xml:space="preserve">    2.   Pozitivne kursne razlike</v>
      </c>
      <c r="E61" s="682"/>
      <c r="F61" s="682"/>
      <c r="G61" s="682"/>
      <c r="H61" s="683"/>
      <c r="I61" s="63">
        <f>VLOOKUP( $B61, T_Aop[], 4, 1)</f>
        <v>241</v>
      </c>
      <c r="J61" s="454"/>
      <c r="K61" s="454"/>
      <c r="L61" s="455"/>
      <c r="N61" s="44"/>
      <c r="P61" s="183"/>
    </row>
    <row r="62" spans="2:16" ht="13.9" customHeight="1">
      <c r="B62" s="15">
        <v>180</v>
      </c>
      <c r="C62" s="58" t="str">
        <f>IF(AND([0]!Godina=2025,MID(Osnovni_podaci!D20,3,1)="v",Osnovni_podaci!L24=2,Osnovni_podaci!G24=1,MID(Osnovni_podaci!D20,3,1)="v",MID(Osnovni_podaci!D20,8,1)="r"),VLOOKUP( $B62, T_Aop[], 5, 1),A1)</f>
        <v>663</v>
      </c>
      <c r="D62" s="678" t="str">
        <f>VLOOKUP( $B62, T_Aop[], 6, 1)</f>
        <v xml:space="preserve">    3.   Prihodi od efekata valutne klauzule</v>
      </c>
      <c r="E62" s="679"/>
      <c r="F62" s="679"/>
      <c r="G62" s="679"/>
      <c r="H62" s="680"/>
      <c r="I62" s="59">
        <f>VLOOKUP( $B62, T_Aop[], 4, 1)</f>
        <v>242</v>
      </c>
      <c r="J62" s="456"/>
      <c r="K62" s="456"/>
      <c r="L62" s="457"/>
      <c r="N62" s="44"/>
      <c r="P62" s="183"/>
    </row>
    <row r="63" spans="2:16" ht="13.9" customHeight="1">
      <c r="B63" s="15">
        <v>181</v>
      </c>
      <c r="C63" s="62" t="str">
        <f>IF(AND([0]!Godina=2025,MID(Osnovni_podaci!D20,3,1)="v",Osnovni_podaci!L24=2,Osnovni_podaci!G24=1,MID(Osnovni_podaci!D20,3,1)="v",MID(Osnovni_podaci!D20,8,1)="r"),VLOOKUP( $B63, T_Aop[], 5, 1),A1)</f>
        <v>669</v>
      </c>
      <c r="D63" s="681" t="str">
        <f>VLOOKUP( $B63, T_Aop[], 6, 1)</f>
        <v xml:space="preserve">    4.   Ostali finansijski prihodi</v>
      </c>
      <c r="E63" s="682"/>
      <c r="F63" s="682"/>
      <c r="G63" s="682"/>
      <c r="H63" s="683"/>
      <c r="I63" s="63">
        <f>VLOOKUP( $B63, T_Aop[], 4, 1)</f>
        <v>243</v>
      </c>
      <c r="J63" s="454"/>
      <c r="K63" s="454"/>
      <c r="L63" s="455"/>
      <c r="N63" s="44"/>
      <c r="P63" s="183"/>
    </row>
    <row r="64" spans="2:16" ht="15.2" customHeight="1">
      <c r="B64" s="15">
        <v>182</v>
      </c>
      <c r="C64" s="58" t="str">
        <f>IF(AND([0]!Godina=2025,MID(Osnovni_podaci!D20,3,1)="v",Osnovni_podaci!L24=2,Osnovni_podaci!G24=1,MID(Osnovni_podaci!D20,3,1)="v",MID(Osnovni_podaci!D20,8,1)="r"),VLOOKUP( $B64, T_Aop[], 5, 1),A1)</f>
        <v>56</v>
      </c>
      <c r="D64" s="688" t="str">
        <f>VLOOKUP( $B64, T_Aop[], 6, 1)</f>
        <v xml:space="preserve">  II  FINANSIJSKI RASHODI (245 do 248)</v>
      </c>
      <c r="E64" s="689"/>
      <c r="F64" s="689"/>
      <c r="G64" s="689"/>
      <c r="H64" s="690"/>
      <c r="I64" s="178">
        <f>VLOOKUP( $B64, T_Aop[], 4, 1)</f>
        <v>244</v>
      </c>
      <c r="J64" s="456"/>
      <c r="K64" s="60">
        <f>IF(AND([0]!Godina=2025,MID(Osnovni_podaci!D20,3,1)="v",Osnovni_podaci!L24=2,Osnovni_podaci!G24=1,MID(Osnovni_podaci!D20,3,1)="v",MID(Osnovni_podaci!D20,8,1)="r"),SUBTOTAL( 9, K65:K68),A1)</f>
        <v>11865</v>
      </c>
      <c r="L64" s="61">
        <f>IF(AND([0]!Godina=2025,MID(Osnovni_podaci!D20,3,1)="v",Osnovni_podaci!L24=2,Osnovni_podaci!G24=1,MID(Osnovni_podaci!D20,3,1)="v",MID(Osnovni_podaci!D20,8,1)="r"),SUBTOTAL( 9, L65:L68),A1)</f>
        <v>10169</v>
      </c>
      <c r="N64" s="44"/>
      <c r="P64" s="183"/>
    </row>
    <row r="65" spans="2:16" ht="13.9" customHeight="1">
      <c r="B65" s="15">
        <v>183</v>
      </c>
      <c r="C65" s="62" t="str">
        <f>IF(AND([0]!Godina=2025,MID(Osnovni_podaci!D20,3,1)="v",Osnovni_podaci!L24=2,Osnovni_podaci!G24=1,MID(Osnovni_podaci!D20,3,1)="v",MID(Osnovni_podaci!D20,8,1)="r"),VLOOKUP( $B65, T_Aop[], 5, 1),A1)</f>
        <v>560, 561</v>
      </c>
      <c r="D65" s="681" t="str">
        <f>VLOOKUP( $B65, T_Aop[], 6, 1)</f>
        <v xml:space="preserve">    1. Rashodi kamata</v>
      </c>
      <c r="E65" s="682"/>
      <c r="F65" s="682"/>
      <c r="G65" s="682"/>
      <c r="H65" s="683"/>
      <c r="I65" s="63">
        <f>VLOOKUP( $B65, T_Aop[], 4, 1)</f>
        <v>245</v>
      </c>
      <c r="J65" s="454"/>
      <c r="K65" s="454">
        <v>11865</v>
      </c>
      <c r="L65" s="455">
        <v>10169</v>
      </c>
      <c r="N65" s="44"/>
      <c r="P65" s="183"/>
    </row>
    <row r="66" spans="2:16" ht="13.9" customHeight="1">
      <c r="B66" s="15">
        <v>184</v>
      </c>
      <c r="C66" s="58" t="str">
        <f>IF(AND([0]!Godina=2025,MID(Osnovni_podaci!D20,3,1)="v",Osnovni_podaci!L24=2,Osnovni_podaci!G24=1,MID(Osnovni_podaci!D20,3,1)="v",MID(Osnovni_podaci!D20,8,1)="r"),VLOOKUP( $B66, T_Aop[], 5, 1),A1)</f>
        <v>562</v>
      </c>
      <c r="D66" s="678" t="str">
        <f>VLOOKUP( $B66, T_Aop[], 6, 1)</f>
        <v xml:space="preserve">    2. Negativne kursne razlike</v>
      </c>
      <c r="E66" s="679"/>
      <c r="F66" s="679"/>
      <c r="G66" s="679"/>
      <c r="H66" s="680"/>
      <c r="I66" s="59">
        <f>VLOOKUP( $B66, T_Aop[], 4, 1)</f>
        <v>246</v>
      </c>
      <c r="J66" s="456"/>
      <c r="K66" s="456"/>
      <c r="L66" s="457"/>
      <c r="N66" s="44"/>
      <c r="P66" s="183"/>
    </row>
    <row r="67" spans="2:16" ht="13.9" customHeight="1">
      <c r="B67" s="15">
        <v>185</v>
      </c>
      <c r="C67" s="62" t="str">
        <f>IF(AND([0]!Godina=2025,MID(Osnovni_podaci!D20,3,1)="v",Osnovni_podaci!L24=2,Osnovni_podaci!G24=1,MID(Osnovni_podaci!D20,3,1)="v",MID(Osnovni_podaci!D20,8,1)="r"),VLOOKUP( $B67, T_Aop[], 5, 1),A1)</f>
        <v>563</v>
      </c>
      <c r="D67" s="681" t="str">
        <f>VLOOKUP( $B67, T_Aop[], 6, 1)</f>
        <v xml:space="preserve">    3. Rashodi po osnovu valutne klauzule</v>
      </c>
      <c r="E67" s="682"/>
      <c r="F67" s="682"/>
      <c r="G67" s="682"/>
      <c r="H67" s="683"/>
      <c r="I67" s="63">
        <f>VLOOKUP( $B67, T_Aop[], 4, 1)</f>
        <v>247</v>
      </c>
      <c r="J67" s="454"/>
      <c r="K67" s="454"/>
      <c r="L67" s="455"/>
      <c r="N67" s="44"/>
      <c r="P67" s="183"/>
    </row>
    <row r="68" spans="2:16" ht="13.9" customHeight="1">
      <c r="B68" s="15">
        <v>186</v>
      </c>
      <c r="C68" s="58" t="str">
        <f>IF(AND([0]!Godina=2025,MID(Osnovni_podaci!D20,3,1)="v",Osnovni_podaci!L24=2,Osnovni_podaci!G24=1,MID(Osnovni_podaci!D20,3,1)="v",MID(Osnovni_podaci!D20,8,1)="r"),VLOOKUP( $B68, T_Aop[], 5, 1),A1)</f>
        <v>569</v>
      </c>
      <c r="D68" s="678" t="str">
        <f>VLOOKUP( $B68, T_Aop[], 6, 1)</f>
        <v xml:space="preserve">    4. Ostali finansijski rashodi</v>
      </c>
      <c r="E68" s="679"/>
      <c r="F68" s="679"/>
      <c r="G68" s="679"/>
      <c r="H68" s="680"/>
      <c r="I68" s="59">
        <f>VLOOKUP( $B68, T_Aop[], 4, 1)</f>
        <v>248</v>
      </c>
      <c r="J68" s="456"/>
      <c r="K68" s="456"/>
      <c r="L68" s="457"/>
      <c r="N68" s="44"/>
      <c r="P68" s="183"/>
    </row>
    <row r="69" spans="2:16" ht="21" customHeight="1">
      <c r="B69" s="15">
        <v>187</v>
      </c>
      <c r="C69" s="188">
        <f>IF(AND([0]!Godina=2025,MID(Osnovni_podaci!D20,3,1)="v",Osnovni_podaci!L24=2,Osnovni_podaci!G24=1,MID(Osnovni_podaci!D20,3,1)="v",MID(Osnovni_podaci!D20,8,1)="r"),VLOOKUP( $B69, T_Aop[], 5, 1),A1)</f>
        <v>0</v>
      </c>
      <c r="D69" s="692" t="str">
        <f>VLOOKUP( $B69, T_Aop[], 6, 1)</f>
        <v xml:space="preserve">  D. DOBITAK REDOVNE AKTIVNOSTI  (237 + 239 – 244) ili (239-244-238)     </v>
      </c>
      <c r="E69" s="693"/>
      <c r="F69" s="693"/>
      <c r="G69" s="693"/>
      <c r="H69" s="694"/>
      <c r="I69" s="179">
        <f>VLOOKUP( $B69, T_Aop[], 4, 1)</f>
        <v>249</v>
      </c>
      <c r="J69" s="454"/>
      <c r="K69" s="67">
        <f>IF(AND([0]!Godina=2025,MID(Osnovni_podaci!D20,3,1)="v",Osnovni_podaci!L24=2,Osnovni_podaci!G24=1,MID(Osnovni_podaci!D20,3,1)="v",MID(Osnovni_podaci!D20,8,1)="r"),IF( SUBTOTAL( 9, K21:K34,K36, K38,K59:K63) - SUBTOTAL( 9, K35, K37, K39:K56, K64:K68) &lt;= 0, 0, ABS( SUBTOTAL( 9, K21:K34,K36,K38, K59:K63) - SUBTOTAL( 9, K35, K37, K39:K56, K64:K68))),A1)</f>
        <v>252624</v>
      </c>
      <c r="L69" s="68">
        <f>IF(AND([0]!Godina=2025,MID(Osnovni_podaci!D20,3,1)="v",Osnovni_podaci!L24=2,Osnovni_podaci!G24=1,MID(Osnovni_podaci!D20,3,1)="v",MID(Osnovni_podaci!D20,8,1)="r"),IF( SUBTOTAL( 9, L21:L34,L36, L38,L59:L63) - SUBTOTAL( 9, L35, L37, L39:L56, L64:L68) &lt;= 0, 0, ABS( SUBTOTAL( 9, L21:L34,L36,L38, L59:L63) - SUBTOTAL( 9, L35, L37, L39:L56, L64:L68))),A1)</f>
        <v>0</v>
      </c>
      <c r="N69" s="44"/>
      <c r="P69" s="183"/>
    </row>
    <row r="70" spans="2:16" ht="21" customHeight="1">
      <c r="B70" s="15">
        <v>188</v>
      </c>
      <c r="C70" s="58">
        <f>IF(AND([0]!Godina=2025,MID(Osnovni_podaci!D20,3,1)="v",Osnovni_podaci!L24=2,Osnovni_podaci!G24=1,MID(Osnovni_podaci!D20,3,1)="v",MID(Osnovni_podaci!D20,8,1)="r"),VLOOKUP( $B70, T_Aop[], 5, 1),A1)</f>
        <v>0</v>
      </c>
      <c r="D70" s="688" t="str">
        <f>VLOOKUP( $B70, T_Aop[], 6, 1)</f>
        <v xml:space="preserve">  Đ. GUBITAK REDOVNE AKTIVNOSTI (238 + 244 -239) ili (244-239-237)</v>
      </c>
      <c r="E70" s="689"/>
      <c r="F70" s="689"/>
      <c r="G70" s="689"/>
      <c r="H70" s="690"/>
      <c r="I70" s="178">
        <f>VLOOKUP( $B70, T_Aop[], 4, 1)</f>
        <v>250</v>
      </c>
      <c r="J70" s="456"/>
      <c r="K70" s="254">
        <f>IF(AND([0]!Godina=2025,MID(Osnovni_podaci!D20,3,1)="v",Osnovni_podaci!L24=2,Osnovni_podaci!G24=1,MID(Osnovni_podaci!D20,3,1)="v",MID(Osnovni_podaci!D20,8,1)="r"),IF( SUBTOTAL( 9, K21:K34,K36,K38,K59:K63) - SUBTOTAL( 9, K35, K37, K39:K56,K64:K68)  &gt;= 0, 0, ABS( SUBTOTAL( 9, K21:K34,K36,K38,K59:K63) - SUBTOTAL( 9, K35, K37, K39:K56,K64:K68))),A1)</f>
        <v>0</v>
      </c>
      <c r="L70" s="403">
        <f>IF(AND([0]!Godina=2025,MID(Osnovni_podaci!D20,3,1)="v",Osnovni_podaci!L24=2,Osnovni_podaci!G24=1,MID(Osnovni_podaci!D20,3,1)="v",MID(Osnovni_podaci!D20,8,1)="r"),IF( SUBTOTAL( 9, L21:L34,L36,L38,L59:L63) - SUBTOTAL( 9, L35, L37, L39:L56,L64:L68)  &gt;= 0, 0, ABS( SUBTOTAL( 9, L21:L34,L36,L38,L59:L63) - SUBTOTAL( 9, L35, L37, L39:L56,L64:L68))),A1)</f>
        <v>160828</v>
      </c>
      <c r="N70" s="44"/>
      <c r="P70" s="183"/>
    </row>
    <row r="71" spans="2:16" ht="23.65" customHeight="1">
      <c r="B71" s="15">
        <v>189</v>
      </c>
      <c r="C71" s="62" t="str">
        <f>IF(AND([0]!Godina=2025,MID(Osnovni_podaci!D20,3,1)="v",Osnovni_podaci!L24=2,Osnovni_podaci!G24=1,MID(Osnovni_podaci!D20,3,1)="v",MID(Osnovni_podaci!D20,8,1)="r"),VLOOKUP( $B71, T_Aop[], 5, 1),A1)</f>
        <v>67</v>
      </c>
      <c r="D71" s="692" t="str">
        <f>VLOOKUP( $B71, T_Aop[], 6, 1)</f>
        <v xml:space="preserve">  E. OSTALI DOBICI I GUBICI 
I OSTALI PRIHODI I DOBICI (252 do 260)</v>
      </c>
      <c r="E71" s="693"/>
      <c r="F71" s="693"/>
      <c r="G71" s="693"/>
      <c r="H71" s="694"/>
      <c r="I71" s="179">
        <f>VLOOKUP( $B71, T_Aop[], 4, 1)</f>
        <v>251</v>
      </c>
      <c r="J71" s="454"/>
      <c r="K71" s="64">
        <f>IF(AND([0]!Godina=2025,MID(Osnovni_podaci!D20,3,1)="v",Osnovni_podaci!L24=2,Osnovni_podaci!G24=1,MID(Osnovni_podaci!D20,3,1)="v",MID(Osnovni_podaci!D20,8,1)="r"),SUBTOTAL( 9, K72:K80),A1)</f>
        <v>0</v>
      </c>
      <c r="L71" s="65">
        <f>IF(AND([0]!Godina=2025,MID(Osnovni_podaci!D20,3,1)="v",Osnovni_podaci!L24=2,Osnovni_podaci!G24=1,MID(Osnovni_podaci!D20,3,1)="v",MID(Osnovni_podaci!D20,8,1)="r"),SUBTOTAL( 9, L72:L80),A1)</f>
        <v>0</v>
      </c>
      <c r="N71" s="44"/>
      <c r="P71" s="183"/>
    </row>
    <row r="72" spans="2:16" ht="23.65" customHeight="1">
      <c r="B72" s="15">
        <v>190</v>
      </c>
      <c r="C72" s="58" t="str">
        <f>IF(AND([0]!Godina=2025,MID(Osnovni_podaci!D20,3,1)="v",Osnovni_podaci!L24=2,Osnovni_podaci!G24=1,MID(Osnovni_podaci!D20,3,1)="v",MID(Osnovni_podaci!D20,8,1)="r"),VLOOKUP( $B72, T_Aop[], 5, 1),A1)</f>
        <v>670, 570 neto prikaz</v>
      </c>
      <c r="D72" s="678" t="str">
        <f>VLOOKUP( $B72, T_Aop[], 6, 1)</f>
        <v xml:space="preserve">    1. Neto dobici po osnovu prodaje nematerijalnih sredstava, nekretnina, postrojenja i opreme</v>
      </c>
      <c r="E72" s="679"/>
      <c r="F72" s="679"/>
      <c r="G72" s="679"/>
      <c r="H72" s="680"/>
      <c r="I72" s="59">
        <f>VLOOKUP( $B72, T_Aop[], 4, 1)</f>
        <v>252</v>
      </c>
      <c r="J72" s="456"/>
      <c r="K72" s="456"/>
      <c r="L72" s="457"/>
      <c r="N72" s="44"/>
      <c r="P72" s="183"/>
    </row>
    <row r="73" spans="2:16" ht="23.65" customHeight="1">
      <c r="B73" s="15">
        <v>191</v>
      </c>
      <c r="C73" s="62" t="str">
        <f>IF(AND([0]!Godina=2025,MID(Osnovni_podaci!D20,3,1)="v",Osnovni_podaci!L24=2,Osnovni_podaci!G24=1,MID(Osnovni_podaci!D20,3,1)="v",MID(Osnovni_podaci!D20,8,1)="r"),VLOOKUP( $B73, T_Aop[], 5, 1),A1)</f>
        <v>671, 571 neto prikaz</v>
      </c>
      <c r="D73" s="681" t="str">
        <f>VLOOKUP( $B73, T_Aop[], 6, 1)</f>
        <v xml:space="preserve">    2. Neto dobici po osnovu prodaje investicionih nekretnina</v>
      </c>
      <c r="E73" s="682"/>
      <c r="F73" s="682"/>
      <c r="G73" s="682"/>
      <c r="H73" s="683"/>
      <c r="I73" s="63">
        <f>VLOOKUP( $B73, T_Aop[], 4, 1)</f>
        <v>253</v>
      </c>
      <c r="J73" s="454"/>
      <c r="K73" s="454"/>
      <c r="L73" s="455"/>
      <c r="N73" s="44"/>
      <c r="P73" s="183"/>
    </row>
    <row r="74" spans="2:16" ht="23.65" customHeight="1">
      <c r="B74" s="15">
        <v>192</v>
      </c>
      <c r="C74" s="58" t="str">
        <f>IF(AND([0]!Godina=2025,MID(Osnovni_podaci!D20,3,1)="v",Osnovni_podaci!L24=2,Osnovni_podaci!G24=1,MID(Osnovni_podaci!D20,3,1)="v",MID(Osnovni_podaci!D20,8,1)="r"),VLOOKUP( $B74, T_Aop[], 5, 1),A1)</f>
        <v>672, 572 neto prikaz</v>
      </c>
      <c r="D74" s="678" t="str">
        <f>VLOOKUP( $B74, T_Aop[], 6, 1)</f>
        <v xml:space="preserve">    3. Neto dobici po osnovu prodaje bioloških sredstava</v>
      </c>
      <c r="E74" s="679"/>
      <c r="F74" s="679"/>
      <c r="G74" s="679"/>
      <c r="H74" s="680"/>
      <c r="I74" s="59">
        <f>VLOOKUP( $B74, T_Aop[], 4, 1)</f>
        <v>254</v>
      </c>
      <c r="J74" s="456"/>
      <c r="K74" s="456"/>
      <c r="L74" s="457"/>
      <c r="N74" s="44"/>
      <c r="P74" s="183"/>
    </row>
    <row r="75" spans="2:16" ht="23.65" customHeight="1">
      <c r="B75" s="15">
        <v>193</v>
      </c>
      <c r="C75" s="62" t="str">
        <f>IF(AND([0]!Godina=2025,MID(Osnovni_podaci!D20,3,1)="v",Osnovni_podaci!L24=2,Osnovni_podaci!G24=1,MID(Osnovni_podaci!D20,3,1)="v",MID(Osnovni_podaci!D20,8,1)="r"),VLOOKUP( $B75, T_Aop[], 5, 1),A1)</f>
        <v>673, 573, neto prikaz</v>
      </c>
      <c r="D75" s="681" t="str">
        <f>VLOOKUP( $B75, T_Aop[], 6, 1)</f>
        <v xml:space="preserve">    4. Neto dobici po osnovu prodaje stalnih sredstava namijenjenih prodaji i sredstava poslovanja koje se obustavlja</v>
      </c>
      <c r="E75" s="682"/>
      <c r="F75" s="682"/>
      <c r="G75" s="682"/>
      <c r="H75" s="683"/>
      <c r="I75" s="63">
        <f>VLOOKUP( $B75, T_Aop[], 4, 1)</f>
        <v>255</v>
      </c>
      <c r="J75" s="454"/>
      <c r="K75" s="454"/>
      <c r="L75" s="455"/>
      <c r="N75" s="44"/>
      <c r="P75" s="183"/>
    </row>
    <row r="76" spans="2:16" ht="23.65" customHeight="1">
      <c r="B76" s="15">
        <v>194</v>
      </c>
      <c r="C76" s="58" t="str">
        <f>IF(AND([0]!Godina=2025,MID(Osnovni_podaci!D20,3,1)="v",Osnovni_podaci!L24=2,Osnovni_podaci!G24=1,MID(Osnovni_podaci!D20,3,1)="v",MID(Osnovni_podaci!D20,8,1)="r"),VLOOKUP( $B76, T_Aop[], 5, 1),A1)</f>
        <v>674, 574 neto prikaz</v>
      </c>
      <c r="D76" s="678" t="str">
        <f>VLOOKUP( $B76, T_Aop[], 6, 1)</f>
        <v xml:space="preserve">    5. Neto dobici po osnovu prodaje finansijskih sredstava i ulaganja u povezana lica</v>
      </c>
      <c r="E76" s="679"/>
      <c r="F76" s="679"/>
      <c r="G76" s="679"/>
      <c r="H76" s="680"/>
      <c r="I76" s="59">
        <f>VLOOKUP( $B76, T_Aop[], 4, 1)</f>
        <v>256</v>
      </c>
      <c r="J76" s="456"/>
      <c r="K76" s="456"/>
      <c r="L76" s="457"/>
      <c r="N76" s="44"/>
      <c r="P76" s="183"/>
    </row>
    <row r="77" spans="2:16" ht="23.65" customHeight="1">
      <c r="B77" s="15">
        <v>195</v>
      </c>
      <c r="C77" s="62" t="str">
        <f>IF(AND([0]!Godina=2025,MID(Osnovni_podaci!D20,3,1)="v",Osnovni_podaci!L24=2,Osnovni_podaci!G24=1,MID(Osnovni_podaci!D20,3,1)="v",MID(Osnovni_podaci!D20,8,1)="r"),VLOOKUP( $B77, T_Aop[], 5, 1),A1)</f>
        <v>675, 575 neto prikaz</v>
      </c>
      <c r="D77" s="681" t="str">
        <f>VLOOKUP( $B77, T_Aop[], 6, 1)</f>
        <v xml:space="preserve">    6. Neto dobici po osnovu prodaje materijala</v>
      </c>
      <c r="E77" s="682"/>
      <c r="F77" s="682"/>
      <c r="G77" s="682"/>
      <c r="H77" s="683"/>
      <c r="I77" s="63">
        <f>VLOOKUP( $B77, T_Aop[], 4, 1)</f>
        <v>257</v>
      </c>
      <c r="J77" s="454"/>
      <c r="K77" s="454"/>
      <c r="L77" s="455"/>
      <c r="N77" s="44"/>
      <c r="P77" s="183"/>
    </row>
    <row r="78" spans="2:16" ht="13.9" customHeight="1">
      <c r="B78" s="15">
        <v>196</v>
      </c>
      <c r="C78" s="58" t="str">
        <f>IF(AND([0]!Godina=2025,MID(Osnovni_podaci!D20,3,1)="v",Osnovni_podaci!L24=2,Osnovni_podaci!G24=1,MID(Osnovni_podaci!D20,3,1)="v",MID(Osnovni_podaci!D20,8,1)="r"),VLOOKUP( $B78, T_Aop[], 5, 1),A1)</f>
        <v>676</v>
      </c>
      <c r="D78" s="678" t="str">
        <f>VLOOKUP( $B78, T_Aop[], 6, 1)</f>
        <v xml:space="preserve">    7. Viškovi</v>
      </c>
      <c r="E78" s="679"/>
      <c r="F78" s="679"/>
      <c r="G78" s="679"/>
      <c r="H78" s="680"/>
      <c r="I78" s="59">
        <f>VLOOKUP( $B78, T_Aop[], 4, 1)</f>
        <v>258</v>
      </c>
      <c r="J78" s="456"/>
      <c r="K78" s="456"/>
      <c r="L78" s="457"/>
      <c r="N78" s="44"/>
      <c r="P78" s="184" t="s">
        <v>313</v>
      </c>
    </row>
    <row r="79" spans="2:16" ht="13.9" customHeight="1">
      <c r="B79" s="15">
        <v>197</v>
      </c>
      <c r="C79" s="62" t="str">
        <f>IF(AND([0]!Godina=2025,MID(Osnovni_podaci!D20,3,1)="v",Osnovni_podaci!L24=2,Osnovni_podaci!G24=1,MID(Osnovni_podaci!D20,3,1)="v",MID(Osnovni_podaci!D20,8,1)="r"),VLOOKUP( $B79, T_Aop[], 5, 1),A1)</f>
        <v>677, 679</v>
      </c>
      <c r="D79" s="681" t="str">
        <f>VLOOKUP( $B79, T_Aop[], 6, 1)</f>
        <v xml:space="preserve">    8. Ostali prihodi i dobici </v>
      </c>
      <c r="E79" s="682"/>
      <c r="F79" s="682"/>
      <c r="G79" s="682"/>
      <c r="H79" s="683"/>
      <c r="I79" s="63">
        <f>VLOOKUP( $B79, T_Aop[], 4, 1)</f>
        <v>259</v>
      </c>
      <c r="J79" s="454"/>
      <c r="K79" s="454"/>
      <c r="L79" s="455"/>
      <c r="N79" s="44"/>
      <c r="P79" s="184" t="s">
        <v>313</v>
      </c>
    </row>
    <row r="80" spans="2:16" ht="13.9" customHeight="1">
      <c r="B80" s="15">
        <v>198</v>
      </c>
      <c r="C80" s="58" t="str">
        <f>IF(AND([0]!Godina=2025,MID(Osnovni_podaci!D20,3,1)="v",Osnovni_podaci!L24=2,Osnovni_podaci!G24=1,MID(Osnovni_podaci!D20,3,1)="v",MID(Osnovni_podaci!D20,8,1)="r"),VLOOKUP( $B80, T_Aop[], 5, 1),A1)</f>
        <v>678, 577</v>
      </c>
      <c r="D80" s="678" t="str">
        <f>VLOOKUP( $B80, T_Aop[], 6, 1)</f>
        <v xml:space="preserve">    9.  Neto dobici od derivatnih finansijskih instrumenata </v>
      </c>
      <c r="E80" s="679"/>
      <c r="F80" s="679"/>
      <c r="G80" s="679"/>
      <c r="H80" s="680"/>
      <c r="I80" s="59">
        <f>VLOOKUP( $B80, T_Aop[], 4, 1)</f>
        <v>260</v>
      </c>
      <c r="J80" s="456"/>
      <c r="K80" s="456"/>
      <c r="L80" s="457"/>
      <c r="N80" s="44"/>
      <c r="P80" s="183"/>
    </row>
    <row r="81" spans="2:16" ht="15.75" customHeight="1">
      <c r="B81" s="15">
        <v>199</v>
      </c>
      <c r="C81" s="62" t="str">
        <f>IF(AND([0]!Godina=2025,MID(Osnovni_podaci!D20,3,1)="v",Osnovni_podaci!L24=2,Osnovni_podaci!G24=1,MID(Osnovni_podaci!D20,3,1)="v",MID(Osnovni_podaci!D20,8,1)="r"),VLOOKUP( $B81, T_Aop[], 5, 1),A1)</f>
        <v>57</v>
      </c>
      <c r="D81" s="692" t="str">
        <f>VLOOKUP( $B81, T_Aop[], 6, 1)</f>
        <v xml:space="preserve">  II  OSTALI RASHODI I GUBICI (262 do 270)</v>
      </c>
      <c r="E81" s="693"/>
      <c r="F81" s="693"/>
      <c r="G81" s="693"/>
      <c r="H81" s="694"/>
      <c r="I81" s="179">
        <f>VLOOKUP( $B81, T_Aop[], 4, 1)</f>
        <v>261</v>
      </c>
      <c r="J81" s="454"/>
      <c r="K81" s="64">
        <f>IF(AND([0]!Godina=2025,MID(Osnovni_podaci!D20,3,1)="v",Osnovni_podaci!L24=2,Osnovni_podaci!G24=1,MID(Osnovni_podaci!D20,3,1)="v",MID(Osnovni_podaci!D20,8,1)="r"),SUBTOTAL( 9, K82:K90),A1)</f>
        <v>0</v>
      </c>
      <c r="L81" s="65">
        <f>IF(AND([0]!Godina=2025,MID(Osnovni_podaci!D20,3,1)="v",Osnovni_podaci!L24=2,Osnovni_podaci!G24=1,MID(Osnovni_podaci!D20,3,1)="v",MID(Osnovni_podaci!D20,8,1)="r"),SUBTOTAL( 9, L82:L90),A1)</f>
        <v>0</v>
      </c>
      <c r="N81" s="44"/>
      <c r="P81" s="183"/>
    </row>
    <row r="82" spans="2:16" ht="22.9" customHeight="1">
      <c r="B82" s="15">
        <v>200</v>
      </c>
      <c r="C82" s="58" t="str">
        <f>IF(AND([0]!Godina=2025,MID(Osnovni_podaci!D20,3,1)="v",Osnovni_podaci!L24=2,Osnovni_podaci!G24=1,MID(Osnovni_podaci!D20,3,1)="v",MID(Osnovni_podaci!D20,8,1)="r"),VLOOKUP( $B82, T_Aop[], 5, 1),A1)</f>
        <v>570, 670 neto prikaz</v>
      </c>
      <c r="D82" s="678" t="str">
        <f>VLOOKUP( $B82, T_Aop[], 6, 1)</f>
        <v xml:space="preserve">    1. Neto gubici po osnovu otuđenja nematerijalnih sredstava, nekretnina, postrojenja i opreme</v>
      </c>
      <c r="E82" s="679"/>
      <c r="F82" s="679"/>
      <c r="G82" s="679"/>
      <c r="H82" s="680"/>
      <c r="I82" s="59">
        <f>VLOOKUP( $B82, T_Aop[], 4, 1)</f>
        <v>262</v>
      </c>
      <c r="J82" s="456"/>
      <c r="K82" s="456"/>
      <c r="L82" s="457"/>
      <c r="N82" s="44"/>
      <c r="P82" s="183"/>
    </row>
    <row r="83" spans="2:16" ht="22.9" customHeight="1">
      <c r="B83" s="15">
        <v>201</v>
      </c>
      <c r="C83" s="62" t="str">
        <f>IF(AND([0]!Godina=2025,MID(Osnovni_podaci!D20,3,1)="v",Osnovni_podaci!L24=2,Osnovni_podaci!G24=1,MID(Osnovni_podaci!D20,3,1)="v",MID(Osnovni_podaci!D20,8,1)="r"),VLOOKUP( $B83, T_Aop[], 5, 1),A1)</f>
        <v>571, 671 neto prikaz</v>
      </c>
      <c r="D83" s="681" t="str">
        <f>VLOOKUP( $B83, T_Aop[], 6, 1)</f>
        <v xml:space="preserve">    2. Neto gubici po osnovu otuđenja investicionih nekretnina</v>
      </c>
      <c r="E83" s="682"/>
      <c r="F83" s="682"/>
      <c r="G83" s="682"/>
      <c r="H83" s="683"/>
      <c r="I83" s="63">
        <f>VLOOKUP( $B83, T_Aop[], 4, 1)</f>
        <v>263</v>
      </c>
      <c r="J83" s="454"/>
      <c r="K83" s="454"/>
      <c r="L83" s="455"/>
      <c r="N83" s="44"/>
      <c r="P83" s="183"/>
    </row>
    <row r="84" spans="2:16" ht="22.9" customHeight="1">
      <c r="B84" s="15">
        <v>202</v>
      </c>
      <c r="C84" s="58" t="str">
        <f>IF(AND([0]!Godina=2025,MID(Osnovni_podaci!D20,3,1)="v",Osnovni_podaci!L24=2,Osnovni_podaci!G24=1,MID(Osnovni_podaci!D20,3,1)="v",MID(Osnovni_podaci!D20,8,1)="r"),VLOOKUP( $B84, T_Aop[], 5, 1),A1)</f>
        <v>572, 672 neto prikaz</v>
      </c>
      <c r="D84" s="678" t="str">
        <f>VLOOKUP( $B84, T_Aop[], 6, 1)</f>
        <v xml:space="preserve">    3. Neto gubici po osnovu otuđenja bioloških sredstava</v>
      </c>
      <c r="E84" s="679"/>
      <c r="F84" s="679"/>
      <c r="G84" s="679"/>
      <c r="H84" s="680"/>
      <c r="I84" s="59">
        <f>VLOOKUP( $B84, T_Aop[], 4, 1)</f>
        <v>264</v>
      </c>
      <c r="J84" s="456"/>
      <c r="K84" s="456"/>
      <c r="L84" s="457"/>
      <c r="N84" s="44"/>
      <c r="P84" s="183"/>
    </row>
    <row r="85" spans="2:16" ht="22.9" customHeight="1">
      <c r="B85" s="15">
        <v>203</v>
      </c>
      <c r="C85" s="62" t="str">
        <f>IF(AND([0]!Godina=2025,MID(Osnovni_podaci!D20,3,1)="v",Osnovni_podaci!L24=2,Osnovni_podaci!G24=1,MID(Osnovni_podaci!D20,3,1)="v",MID(Osnovni_podaci!D20,8,1)="r"),VLOOKUP( $B85, T_Aop[], 5, 1),A1)</f>
        <v>573, 673, neto prikaz</v>
      </c>
      <c r="D85" s="681" t="str">
        <f>VLOOKUP( $B85, T_Aop[], 6, 1)</f>
        <v xml:space="preserve">    4. Neto gubici po osnovu otuđenja stalnih sredstava namijenjenih prodaji i sredstava poslovanja koje se obustavlja</v>
      </c>
      <c r="E85" s="682"/>
      <c r="F85" s="682"/>
      <c r="G85" s="682"/>
      <c r="H85" s="683"/>
      <c r="I85" s="63">
        <f>VLOOKUP( $B85, T_Aop[], 4, 1)</f>
        <v>265</v>
      </c>
      <c r="J85" s="454"/>
      <c r="K85" s="454"/>
      <c r="L85" s="455"/>
      <c r="N85" s="44"/>
      <c r="P85" s="183"/>
    </row>
    <row r="86" spans="2:16" ht="22.9" customHeight="1">
      <c r="B86" s="15">
        <v>204</v>
      </c>
      <c r="C86" s="58" t="str">
        <f>IF(AND([0]!Godina=2025,MID(Osnovni_podaci!D20,3,1)="v",Osnovni_podaci!L24=2,Osnovni_podaci!G24=1,MID(Osnovni_podaci!D20,3,1)="v",MID(Osnovni_podaci!D20,8,1)="r"),VLOOKUP( $B86, T_Aop[], 5, 1),A1)</f>
        <v>574, 674 neto prikaz</v>
      </c>
      <c r="D86" s="678" t="str">
        <f>VLOOKUP( $B86, T_Aop[], 6, 1)</f>
        <v xml:space="preserve">    5. Neto gubici od otuđenja finansijskih sredstava i ulaganja u povezana lica</v>
      </c>
      <c r="E86" s="679"/>
      <c r="F86" s="679"/>
      <c r="G86" s="679"/>
      <c r="H86" s="680"/>
      <c r="I86" s="59">
        <f>VLOOKUP( $B86, T_Aop[], 4, 1)</f>
        <v>266</v>
      </c>
      <c r="J86" s="456"/>
      <c r="K86" s="456"/>
      <c r="L86" s="457"/>
      <c r="N86" s="44"/>
      <c r="P86" s="183"/>
    </row>
    <row r="87" spans="2:16" ht="22.9" customHeight="1">
      <c r="B87" s="15">
        <v>205</v>
      </c>
      <c r="C87" s="62" t="str">
        <f>IF(AND([0]!Godina=2025,MID(Osnovni_podaci!D20,3,1)="v",Osnovni_podaci!L24=2,Osnovni_podaci!G24=1,MID(Osnovni_podaci!D20,3,1)="v",MID(Osnovni_podaci!D20,8,1)="r"),VLOOKUP( $B87, T_Aop[], 5, 1),A1)</f>
        <v xml:space="preserve">575, 675 neto prikaz </v>
      </c>
      <c r="D87" s="681" t="str">
        <f>VLOOKUP( $B87, T_Aop[], 6, 1)</f>
        <v xml:space="preserve">    6. Neto gubici po osnovu prodaje materijala</v>
      </c>
      <c r="E87" s="682"/>
      <c r="F87" s="682"/>
      <c r="G87" s="682"/>
      <c r="H87" s="683"/>
      <c r="I87" s="63">
        <f>VLOOKUP( $B87, T_Aop[], 4, 1)</f>
        <v>267</v>
      </c>
      <c r="J87" s="454"/>
      <c r="K87" s="454"/>
      <c r="L87" s="455"/>
      <c r="N87" s="44"/>
      <c r="P87" s="183"/>
    </row>
    <row r="88" spans="2:16" ht="14.65" customHeight="1">
      <c r="B88" s="15">
        <v>206</v>
      </c>
      <c r="C88" s="58" t="str">
        <f>IF(AND([0]!Godina=2025,MID(Osnovni_podaci!D20,3,1)="v",Osnovni_podaci!L24=2,Osnovni_podaci!G24=1,MID(Osnovni_podaci!D20,3,1)="v",MID(Osnovni_podaci!D20,8,1)="r"),VLOOKUP( $B88, T_Aop[], 5, 1),A1)</f>
        <v>576</v>
      </c>
      <c r="D88" s="678" t="str">
        <f>VLOOKUP( $B88, T_Aop[], 6, 1)</f>
        <v xml:space="preserve">    7.  Manjkovi</v>
      </c>
      <c r="E88" s="679"/>
      <c r="F88" s="679"/>
      <c r="G88" s="679"/>
      <c r="H88" s="680"/>
      <c r="I88" s="59">
        <f>VLOOKUP( $B88, T_Aop[], 4, 1)</f>
        <v>268</v>
      </c>
      <c r="J88" s="456"/>
      <c r="K88" s="456"/>
      <c r="L88" s="457"/>
      <c r="N88" s="44"/>
      <c r="P88" s="184" t="s">
        <v>313</v>
      </c>
    </row>
    <row r="89" spans="2:16" ht="22.9" customHeight="1">
      <c r="B89" s="15">
        <v>207</v>
      </c>
      <c r="C89" s="62" t="str">
        <f>IF(AND([0]!Godina=2025,MID(Osnovni_podaci!D20,3,1)="v",Osnovni_podaci!L24=2,Osnovni_podaci!G24=1,MID(Osnovni_podaci!D20,3,1)="v",MID(Osnovni_podaci!D20,8,1)="r"),VLOOKUP( $B89, T_Aop[], 5, 1),A1)</f>
        <v>577, 678 neto prikaz</v>
      </c>
      <c r="D89" s="681" t="str">
        <f>IF(AND([0]!Godina=2025,MID(Osnovni_podaci!D20,3,1)="v",Osnovni_podaci!L24=2,Osnovni_podaci!G24=1,MID(Osnovni_podaci!D20,3,1)="v",MID(Osnovni_podaci!D20,8,1)="r"),VLOOKUP( $B89, T_Aop[], 6, 1),A1)</f>
        <v xml:space="preserve">    8. Neto gubici od derivatnih finansijskih instrumenata</v>
      </c>
      <c r="E89" s="682"/>
      <c r="F89" s="682"/>
      <c r="G89" s="682"/>
      <c r="H89" s="683"/>
      <c r="I89" s="63">
        <f>VLOOKUP( $B89, T_Aop[], 4, 1)</f>
        <v>269</v>
      </c>
      <c r="J89" s="454"/>
      <c r="K89" s="454"/>
      <c r="L89" s="455"/>
      <c r="N89" s="44"/>
      <c r="P89" s="183"/>
    </row>
    <row r="90" spans="2:16" ht="14.65" customHeight="1">
      <c r="B90" s="15">
        <v>208</v>
      </c>
      <c r="C90" s="58" t="str">
        <f>IF(AND([0]!Godina=2025,MID(Osnovni_podaci!D20,3,1)="v",Osnovni_podaci!L24=2,Osnovni_podaci!G24=1,MID(Osnovni_podaci!D20,3,1)="v",MID(Osnovni_podaci!D20,8,1)="r"),VLOOKUP( $B90, T_Aop[], 5, 1),A1)</f>
        <v>578, 579</v>
      </c>
      <c r="D90" s="678" t="str">
        <f>IF(AND([0]!Godina=2025,MID(Osnovni_podaci!D20,3,1)="v",Osnovni_podaci!L24=2,Osnovni_podaci!G24=1,MID(Osnovni_podaci!D20,3,1)="v",MID(Osnovni_podaci!D20,8,1)="r"),VLOOKUP( $B90, T_Aop[], 6, 1),A1)</f>
        <v xml:space="preserve">    9. Ostali rashodi i gubici</v>
      </c>
      <c r="E90" s="679"/>
      <c r="F90" s="679"/>
      <c r="G90" s="679"/>
      <c r="H90" s="680"/>
      <c r="I90" s="59">
        <f>VLOOKUP( $B90, T_Aop[], 4, 1)</f>
        <v>270</v>
      </c>
      <c r="J90" s="456"/>
      <c r="K90" s="456"/>
      <c r="L90" s="457"/>
      <c r="N90" s="44"/>
      <c r="P90" s="183"/>
    </row>
    <row r="91" spans="2:16" ht="12.75" customHeight="1">
      <c r="B91" s="15">
        <v>209</v>
      </c>
      <c r="C91" s="188">
        <f>IF(AND([0]!Godina=2025,MID(Osnovni_podaci!D20,3,1)="v",Osnovni_podaci!L24=2,Osnovni_podaci!G24=1,MID(Osnovni_podaci!D20,3,1)="v",MID(Osnovni_podaci!D20,8,1)="r"),VLOOKUP( $B91, T_Aop[], 5, 1),A1)</f>
        <v>0</v>
      </c>
      <c r="D91" s="692" t="str">
        <f>IF(AND([0]!Godina=2025,MID(Osnovni_podaci!D20,3,1)="v",Osnovni_podaci!L24=2,Osnovni_podaci!G24=1,MID(Osnovni_podaci!D20,3,1)="v",MID(Osnovni_podaci!D20,8,1)="r"),VLOOKUP( $B91, T_Aop[], 6, 1),A1)</f>
        <v xml:space="preserve">  Ž. DOBITAK PO OSNOVU OSTALIH PRIHODA I RASHODA (251 – 261)</v>
      </c>
      <c r="E91" s="693"/>
      <c r="F91" s="693"/>
      <c r="G91" s="693"/>
      <c r="H91" s="694"/>
      <c r="I91" s="179">
        <f>VLOOKUP( $B91, T_Aop[], 4, 1)</f>
        <v>271</v>
      </c>
      <c r="J91" s="454"/>
      <c r="K91" s="67">
        <f>IF(AND([0]!Godina=2025,MID(Osnovni_podaci!D20,3,1)="v",Osnovni_podaci!L24=2,Osnovni_podaci!G24=1,MID(Osnovni_podaci!D20,3,1)="v",MID(Osnovni_podaci!D20,8,1)="r"),IF( SUBTOTAL( 9, K71:K80) - SUBTOTAL( 9, K81:K90) &lt;= 0, 0, ABS( SUBTOTAL( 9, K71:K80) - SUBTOTAL( 9, K81:K90)) ),A1)</f>
        <v>0</v>
      </c>
      <c r="L91" s="479">
        <f>IF(AND([0]!Godina=2025,MID(Osnovni_podaci!D20,3,1)="v",Osnovni_podaci!L24=2,Osnovni_podaci!G24=1,MID(Osnovni_podaci!D20,3,1)="v",MID(Osnovni_podaci!D20,8,1)="r"),IF( SUBTOTAL( 9, L71:L80) - SUBTOTAL( 9, L81:L90) &lt;= 0, 0, ABS( SUBTOTAL( 9, L71:L80) - SUBTOTAL( 9, L81:L90)) ),A1)</f>
        <v>0</v>
      </c>
      <c r="N91" s="44"/>
      <c r="P91" s="183"/>
    </row>
    <row r="92" spans="2:16">
      <c r="B92" s="15">
        <v>210</v>
      </c>
      <c r="C92" s="187">
        <f>IF(AND([0]!Godina=2025,MID(Osnovni_podaci!D20,3,1)="v",Osnovni_podaci!L24=2,Osnovni_podaci!G24=1,MID(Osnovni_podaci!D20,3,1)="v",MID(Osnovni_podaci!D20,8,1)="r"),VLOOKUP( $B92, T_Aop[], 5, 1),A1)</f>
        <v>0</v>
      </c>
      <c r="D92" s="688" t="str">
        <f>IF(AND([0]!Godina=2025,MID(Osnovni_podaci!D20,3,1)="v",Osnovni_podaci!L24=2,Osnovni_podaci!G24=1,MID(Osnovni_podaci!D20,3,1)="v",MID(Osnovni_podaci!D20,8,1)="r"),VLOOKUP( $B92, T_Aop[], 6, 1),A1)</f>
        <v xml:space="preserve">  Z. GUBITAK PO OSNOVU OSTALIH PRIHODA I RASHODA (261 – 251)</v>
      </c>
      <c r="E92" s="689"/>
      <c r="F92" s="689"/>
      <c r="G92" s="689"/>
      <c r="H92" s="690"/>
      <c r="I92" s="178">
        <f>VLOOKUP( $B92, T_Aop[], 4, 1)</f>
        <v>272</v>
      </c>
      <c r="J92" s="456"/>
      <c r="K92" s="254">
        <f>IF(AND([0]!Godina=2025,MID(Osnovni_podaci!D20,3,1)="v",Osnovni_podaci!L24=2,Osnovni_podaci!G24=1,MID(Osnovni_podaci!D20,3,1)="v",MID(Osnovni_podaci!D20,8,1)="r"),IF( SUBTOTAL( 9, K71:K80) - SUBTOTAL( 9, K81:K90) &gt;= 0, 0, ABS( SUBTOTAL( 9, K71:K80) - SUBTOTAL( 9, K81:K90)) ),A1)</f>
        <v>0</v>
      </c>
      <c r="L92" s="480">
        <f>IF(AND([0]!Godina=2025,MID(Osnovni_podaci!D20,3,1)="v",Osnovni_podaci!L24=2,Osnovni_podaci!G24=1,MID(Osnovni_podaci!D20,3,1)="v",MID(Osnovni_podaci!D20,8,1)="r"),IF( SUBTOTAL( 9, L71:L80) - SUBTOTAL( 9, L81:L90) &gt;= 0, 0, ABS( SUBTOTAL( 9, L71:L80) - SUBTOTAL( 9, L81:L90)) ),A1)</f>
        <v>0</v>
      </c>
      <c r="N92" s="44"/>
      <c r="P92" s="183"/>
    </row>
    <row r="93" spans="2:16" ht="23.65" customHeight="1">
      <c r="B93" s="15">
        <v>211</v>
      </c>
      <c r="C93" s="188" t="str">
        <f>IF(AND([0]!Godina=2025,MID(Osnovni_podaci!D20,3,1)="v",Osnovni_podaci!L24=2,Osnovni_podaci!G24=1,MID(Osnovni_podaci!D20,3,1)="v",MID(Osnovni_podaci!D20,8,1)="r"),VLOOKUP( $B93, T_Aop[], 5, 1),A1)</f>
        <v>68</v>
      </c>
      <c r="D93" s="692" t="str">
        <f>IF(AND([0]!Godina=2025,MID(Osnovni_podaci!D20,3,1)="v",Osnovni_podaci!L24=2,Osnovni_podaci!G24=1,MID(Osnovni_podaci!D20,3,1)="v",MID(Osnovni_podaci!D20,8,1)="r"),VLOOKUP( $B93, T_Aop[], 6, 1),A1)</f>
        <v xml:space="preserve">  I. PRIHODI I RASHODI OD USKLAĐIVANJA VRIJEDNOSTI IMOVINE 
I   PRIHODI OD USKLAĐIVANJA VRIJEDNOSTI IMOVINE (274 + 281)</v>
      </c>
      <c r="E93" s="693"/>
      <c r="F93" s="693"/>
      <c r="G93" s="693"/>
      <c r="H93" s="694"/>
      <c r="I93" s="179">
        <f>VLOOKUP( $B93, T_Aop[], 4, 1)</f>
        <v>273</v>
      </c>
      <c r="J93" s="454"/>
      <c r="K93" s="67">
        <f>IF(AND([0]!Godina=2025,MID(Osnovni_podaci!D20,3,1)="v",Osnovni_podaci!L24=2,Osnovni_podaci!G24=1,MID(Osnovni_podaci!D20,3,1)="v",MID(Osnovni_podaci!D20,8,1)="r"),SUBTOTAL( 9, K94:K105),A1)</f>
        <v>0</v>
      </c>
      <c r="L93" s="479">
        <f>IF(AND([0]!Godina=2025,MID(Osnovni_podaci!D20,3,1)="v",Osnovni_podaci!L24=2,Osnovni_podaci!G24=1,MID(Osnovni_podaci!D20,3,1)="v",MID(Osnovni_podaci!D20,8,1)="r"),SUBTOTAL( 9, L94:L105),A1)</f>
        <v>0</v>
      </c>
      <c r="N93" s="44"/>
      <c r="P93" s="183"/>
    </row>
    <row r="94" spans="2:16" ht="13.9" customHeight="1">
      <c r="B94" s="15">
        <v>212</v>
      </c>
      <c r="C94" s="58" t="str">
        <f>IF(AND([0]!Godina=2025,MID(Osnovni_podaci!D20,3,1)="v",Osnovni_podaci!L24=2,Osnovni_podaci!G24=1,MID(Osnovni_podaci!D20,3,1)="v",MID(Osnovni_podaci!D20,8,1)="r"),VLOOKUP( $B94, T_Aop[], 5, 1),A1)</f>
        <v>dio 68</v>
      </c>
      <c r="D94" s="678" t="str">
        <f>IF(AND([0]!Godina=2025,MID(Osnovni_podaci!D20,3,1)="v",Osnovni_podaci!L24=2,Osnovni_podaci!G24=1,MID(Osnovni_podaci!D20,3,1)="v",MID(Osnovni_podaci!D20,8,1)="r"),VLOOKUP( $B94, T_Aop[], 6, 1),A1)</f>
        <v xml:space="preserve">    1. Neto dobici od usklađivanja imovine (osim finansijske)  (275 do 280)</v>
      </c>
      <c r="E94" s="679"/>
      <c r="F94" s="679"/>
      <c r="G94" s="679"/>
      <c r="H94" s="680"/>
      <c r="I94" s="59">
        <f>VLOOKUP( $B94, T_Aop[], 4, 1)</f>
        <v>274</v>
      </c>
      <c r="J94" s="456"/>
      <c r="K94" s="153">
        <f>IF(AND([0]!Godina=2025,MID(Osnovni_podaci!D20,3,1)="v",Osnovni_podaci!L24=2,Osnovni_podaci!G24=1,MID(Osnovni_podaci!D20,3,1)="v",MID(Osnovni_podaci!D20,8,1)="r"),SUBTOTAL( 9, K95:K100),A1)</f>
        <v>0</v>
      </c>
      <c r="L94" s="491">
        <f>IF(AND([0]!Godina=2025,MID(Osnovni_podaci!D20,3,1)="v",Osnovni_podaci!L24=2,Osnovni_podaci!G24=1,MID(Osnovni_podaci!D20,3,1)="v",MID(Osnovni_podaci!D20,8,1)="r"),SUBTOTAL( 9, L95:L100),A1)</f>
        <v>0</v>
      </c>
      <c r="N94" s="44"/>
      <c r="P94" s="183"/>
    </row>
    <row r="95" spans="2:16" s="441" customFormat="1" ht="22.9" customHeight="1">
      <c r="B95" s="440">
        <v>213</v>
      </c>
      <c r="C95" s="62" t="str">
        <f>IF(AND([0]!Godina=2025,MID(Osnovni_podaci!D20,3,1)="v",Osnovni_podaci!L24=2,Osnovni_podaci!G24=1,MID(Osnovni_podaci!D20,3,1)="v",MID(Osnovni_podaci!D20,8,1)="r"),VLOOKUP( $B95, T_Aop[], 5, 1),A1)</f>
        <v>680, 580 neto prikaz</v>
      </c>
      <c r="D95" s="681" t="str">
        <f>IF(AND([0]!Godina=2025,MID(Osnovni_podaci!D20,3,1)="v",Osnovni_podaci!L24=2,Osnovni_podaci!G24=1,MID(Osnovni_podaci!D20,3,1)="v",MID(Osnovni_podaci!D20,8,1)="r"),VLOOKUP( $B95, T_Aop[], 6, 1),A1)</f>
        <v xml:space="preserve">      1.1. Neto dobici od umanjenja ranije priznatih gubitaka usljed obezvređenja nematerijalnih sredstava</v>
      </c>
      <c r="E95" s="682"/>
      <c r="F95" s="682"/>
      <c r="G95" s="682"/>
      <c r="H95" s="683"/>
      <c r="I95" s="63">
        <f>VLOOKUP( $B95, T_Aop[], 4, 1)</f>
        <v>275</v>
      </c>
      <c r="J95" s="454"/>
      <c r="K95" s="454"/>
      <c r="L95" s="455"/>
      <c r="N95" s="442"/>
      <c r="P95" s="443"/>
    </row>
    <row r="96" spans="2:16" s="441" customFormat="1" ht="22.9" customHeight="1">
      <c r="B96" s="440">
        <v>214</v>
      </c>
      <c r="C96" s="58" t="str">
        <f>IF(AND([0]!Godina=2025,MID(Osnovni_podaci!D20,3,1)="v",Osnovni_podaci!L24=2,Osnovni_podaci!G24=1,MID(Osnovni_podaci!D20,3,1)="v",MID(Osnovni_podaci!D20,8,1)="r"),VLOOKUP( $B96, T_Aop[], 5, 1),A1)</f>
        <v>681, 581 neto prikaz</v>
      </c>
      <c r="D96" s="678" t="str">
        <f>IF(AND([0]!Godina=2025,MID(Osnovni_podaci!D20,3,1)="v",Osnovni_podaci!L24=2,Osnovni_podaci!G24=1,MID(Osnovni_podaci!D20,3,1)="v",MID(Osnovni_podaci!D20,8,1)="r"),VLOOKUP( $B96, T_Aop[], 6, 1),A1)</f>
        <v xml:space="preserve">      1.2. Neto dobici od umanjenja ranije priznatih gubitaka usljed obezvređenja nekretnina, postrojenja i opreme</v>
      </c>
      <c r="E96" s="679"/>
      <c r="F96" s="679"/>
      <c r="G96" s="679"/>
      <c r="H96" s="680"/>
      <c r="I96" s="59">
        <f>VLOOKUP( $B96, T_Aop[], 4, 1)</f>
        <v>276</v>
      </c>
      <c r="J96" s="456"/>
      <c r="K96" s="456"/>
      <c r="L96" s="457"/>
      <c r="N96" s="442"/>
      <c r="P96" s="443"/>
    </row>
    <row r="97" spans="2:16" s="441" customFormat="1" ht="22.9" customHeight="1">
      <c r="B97" s="440">
        <v>215</v>
      </c>
      <c r="C97" s="62" t="str">
        <f>IF(AND([0]!Godina=2025,MID(Osnovni_podaci!D20,3,1)="v",Osnovni_podaci!L24=2,Osnovni_podaci!G24=1,MID(Osnovni_podaci!D20,3,1)="v",MID(Osnovni_podaci!D20,8,1)="r"),VLOOKUP( $B97, T_Aop[], 5, 1),A1)</f>
        <v>682, 582 neto prikaz</v>
      </c>
      <c r="D97" s="681" t="str">
        <f>IF(AND([0]!Godina=2025,MID(Osnovni_podaci!D20,3,1)="v",Osnovni_podaci!L24=2,Osnovni_podaci!G24=1,MID(Osnovni_podaci!D20,3,1)="v",MID(Osnovni_podaci!D20,8,1)="r"),VLOOKUP( $B97, T_Aop[], 6, 1),A1)</f>
        <v xml:space="preserve">      1.3.  Neto dobici od umanjenja ranije priznatih gubitaka usljed obezvređenja investicionih nekretnina koje se vrednuju po nabavnoj vrijednosti</v>
      </c>
      <c r="E97" s="682"/>
      <c r="F97" s="682"/>
      <c r="G97" s="682"/>
      <c r="H97" s="683"/>
      <c r="I97" s="63">
        <f>VLOOKUP( $B97, T_Aop[], 4, 1)</f>
        <v>277</v>
      </c>
      <c r="J97" s="454"/>
      <c r="K97" s="454"/>
      <c r="L97" s="455"/>
      <c r="N97" s="442"/>
      <c r="P97" s="443"/>
    </row>
    <row r="98" spans="2:16" ht="22.9" customHeight="1">
      <c r="B98" s="15">
        <v>216</v>
      </c>
      <c r="C98" s="58" t="str">
        <f>IF(AND([0]!Godina=2025,MID(Osnovni_podaci!D20,3,1)="v",Osnovni_podaci!L24=2,Osnovni_podaci!G24=1,MID(Osnovni_podaci!D20,3,1)="v",MID(Osnovni_podaci!D20,8,1)="r"),VLOOKUP( $B98, T_Aop[], 5, 1),A1)</f>
        <v>683, 583 neto prikaz</v>
      </c>
      <c r="D98" s="678" t="str">
        <f>IF(AND([0]!Godina=2025,MID(Osnovni_podaci!D20,3,1)="v",Osnovni_podaci!L24=2,Osnovni_podaci!G24=1,MID(Osnovni_podaci!D20,3,1)="v",MID(Osnovni_podaci!D20,8,1)="r"),VLOOKUP( $B98, T_Aop[], 6, 1),A1)</f>
        <v xml:space="preserve">      1.4.  Neto dobici od umanjenja ranije priznatih gubitaka usljed obezvređenja bioloških sredstva koja se vrednuju po nabavnoj vrijednosti</v>
      </c>
      <c r="E98" s="679"/>
      <c r="F98" s="679"/>
      <c r="G98" s="679"/>
      <c r="H98" s="680"/>
      <c r="I98" s="59">
        <f>VLOOKUP( $B98, T_Aop[], 4, 1)</f>
        <v>278</v>
      </c>
      <c r="J98" s="456"/>
      <c r="K98" s="456"/>
      <c r="L98" s="457"/>
      <c r="N98" s="44"/>
      <c r="P98" s="183"/>
    </row>
    <row r="99" spans="2:16" ht="22.9" customHeight="1">
      <c r="B99" s="15">
        <v>217</v>
      </c>
      <c r="C99" s="62" t="str">
        <f>IF(AND([0]!Godina=2025,MID(Osnovni_podaci!D20,3,1)="v",Osnovni_podaci!L24=2,Osnovni_podaci!G24=1,MID(Osnovni_podaci!D20,3,1)="v",MID(Osnovni_podaci!D20,8,1)="r"),VLOOKUP( $B99, T_Aop[], 5, 1),A1)</f>
        <v>685, 585 neto prikaz</v>
      </c>
      <c r="D99" s="681" t="str">
        <f>IF(AND([0]!Godina=2025,MID(Osnovni_podaci!D20,3,1)="v",Osnovni_podaci!L24=2,Osnovni_podaci!G24=1,MID(Osnovni_podaci!D20,3,1)="v",MID(Osnovni_podaci!D20,8,1)="r"),VLOOKUP( $B99, T_Aop[], 6, 1),A1)</f>
        <v xml:space="preserve">      1.5.  Neto dobici od usklađivanja vrijednosti zaliha materijala i robe </v>
      </c>
      <c r="E99" s="682"/>
      <c r="F99" s="682"/>
      <c r="G99" s="682"/>
      <c r="H99" s="683"/>
      <c r="I99" s="63">
        <f>VLOOKUP( $B99, T_Aop[], 4, 1)</f>
        <v>279</v>
      </c>
      <c r="J99" s="454"/>
      <c r="K99" s="454"/>
      <c r="L99" s="455"/>
      <c r="N99" s="44"/>
      <c r="P99" s="184" t="s">
        <v>313</v>
      </c>
    </row>
    <row r="100" spans="2:16" ht="22.9" customHeight="1">
      <c r="B100" s="15">
        <v>218</v>
      </c>
      <c r="C100" s="58" t="str">
        <f>IF(AND([0]!Godina=2025,MID(Osnovni_podaci!D20,3,1)="v",Osnovni_podaci!L24=2,Osnovni_podaci!G24=1,MID(Osnovni_podaci!D20,3,1)="v",MID(Osnovni_podaci!D20,8,1)="r"),VLOOKUP( $B100, T_Aop[], 5, 1),A1)</f>
        <v>688, dio 689, 588, dio 589neto prikaz</v>
      </c>
      <c r="D100" s="678" t="str">
        <f>IF(AND([0]!Godina=2025,MID(Osnovni_podaci!D20,3,1)="v",Osnovni_podaci!L24=2,Osnovni_podaci!G24=1,MID(Osnovni_podaci!D20,3,1)="v",MID(Osnovni_podaci!D20,8,1)="r"),VLOOKUP( $B100, T_Aop[], 6, 1),A1)</f>
        <v xml:space="preserve">      1.6.  Neto dobici od usklađivanja vrijednost stalnih sredstava namijenjenih prodaji, sredstava poslovanja koje se obustavlja i ostalih nefinansijskih sredstava</v>
      </c>
      <c r="E100" s="679"/>
      <c r="F100" s="679"/>
      <c r="G100" s="679"/>
      <c r="H100" s="680"/>
      <c r="I100" s="59">
        <f>VLOOKUP( $B100, T_Aop[], 4, 1)</f>
        <v>280</v>
      </c>
      <c r="J100" s="456"/>
      <c r="K100" s="456"/>
      <c r="L100" s="457"/>
      <c r="N100" s="44"/>
      <c r="P100" s="183"/>
    </row>
    <row r="101" spans="2:16" ht="13.9" customHeight="1">
      <c r="B101" s="15">
        <v>219</v>
      </c>
      <c r="C101" s="62" t="str">
        <f>IF(AND([0]!Godina=2025,MID(Osnovni_podaci!D20,3,1)="v",Osnovni_podaci!L24=2,Osnovni_podaci!G24=1,MID(Osnovni_podaci!D20,3,1)="v",MID(Osnovni_podaci!D20,8,1)="r"),VLOOKUP( $B101, T_Aop[], 5, 1),A1)</f>
        <v>dio 68</v>
      </c>
      <c r="D101" s="681" t="str">
        <f>IF(AND([0]!Godina=2025,MID(Osnovni_podaci!D20,3,1)="v",Osnovni_podaci!L24=2,Osnovni_podaci!G24=1,MID(Osnovni_podaci!D20,3,1)="v",MID(Osnovni_podaci!D20,8,1)="r"),VLOOKUP( $B101, T_Aop[], 6, 1),A1)</f>
        <v xml:space="preserve">    2. Neto dobici od usklađivanja vrijednosti finansijskih sredstava (282 do 285)</v>
      </c>
      <c r="E101" s="682"/>
      <c r="F101" s="682"/>
      <c r="G101" s="682"/>
      <c r="H101" s="683"/>
      <c r="I101" s="63">
        <f>VLOOKUP( $B101, T_Aop[], 4, 1)</f>
        <v>281</v>
      </c>
      <c r="J101" s="454"/>
      <c r="K101" s="460">
        <f>IF(AND([0]!Godina=2025,MID(Osnovni_podaci!D20,3,1)="v",Osnovni_podaci!L24=2,Osnovni_podaci!G24=1,MID(Osnovni_podaci!D20,3,1)="v",MID(Osnovni_podaci!D20,8,1)="r"),SUBTOTAL( 9, K102:K105),A1)</f>
        <v>0</v>
      </c>
      <c r="L101" s="492">
        <f>IF(AND([0]!Godina=2025,MID(Osnovni_podaci!D20,3,1)="v",Osnovni_podaci!L24=2,Osnovni_podaci!G24=1,MID(Osnovni_podaci!D20,3,1)="v",MID(Osnovni_podaci!D20,8,1)="r"),SUBTOTAL( 9, L102:L105),A1)</f>
        <v>0</v>
      </c>
      <c r="N101" s="44"/>
      <c r="P101" s="183"/>
    </row>
    <row r="102" spans="2:16" ht="22.9" customHeight="1">
      <c r="B102" s="15">
        <v>220</v>
      </c>
      <c r="C102" s="58" t="str">
        <f>IF(AND([0]!Godina=2025,MID(Osnovni_podaci!D20,3,1)="v",Osnovni_podaci!L24=2,Osnovni_podaci!G24=1,MID(Osnovni_podaci!D20,3,1)="v",MID(Osnovni_podaci!D20,8,1)="r"),VLOOKUP( $B102, T_Aop[], 5, 1),A1)</f>
        <v>684, 584 neto prikaz</v>
      </c>
      <c r="D102" s="678" t="str">
        <f>IF(AND([0]!Godina=2025,MID(Osnovni_podaci!D20,3,1)="v",Osnovni_podaci!L24=2,Osnovni_podaci!G24=1,MID(Osnovni_podaci!D20,3,1)="v",MID(Osnovni_podaci!D20,8,1)="r"),VLOOKUP( $B102, T_Aop[], 6, 1),A1)</f>
        <v xml:space="preserve">      2.1  Neto dobici od usklađivanja vrijednosti dugoročnih finansijskih sredstava </v>
      </c>
      <c r="E102" s="679"/>
      <c r="F102" s="679"/>
      <c r="G102" s="679"/>
      <c r="H102" s="680"/>
      <c r="I102" s="59">
        <f>VLOOKUP( $B102, T_Aop[], 4, 1)</f>
        <v>282</v>
      </c>
      <c r="J102" s="456"/>
      <c r="K102" s="456"/>
      <c r="L102" s="457"/>
      <c r="N102" s="44"/>
      <c r="P102" s="183"/>
    </row>
    <row r="103" spans="2:16" ht="22.9" customHeight="1">
      <c r="B103" s="15">
        <v>221</v>
      </c>
      <c r="C103" s="62" t="str">
        <f>IF(AND([0]!Godina=2025,MID(Osnovni_podaci!D20,3,1)="v",Osnovni_podaci!L24=2,Osnovni_podaci!G24=1,MID(Osnovni_podaci!D20,3,1)="v",MID(Osnovni_podaci!D20,8,1)="r"),VLOOKUP( $B103, T_Aop[], 5, 1),A1)</f>
        <v>686, 585 neto prikaz</v>
      </c>
      <c r="D103" s="681" t="str">
        <f>IF(AND([0]!Godina=2025,MID(Osnovni_podaci!D20,3,1)="v",Osnovni_podaci!L24=2,Osnovni_podaci!G24=1,MID(Osnovni_podaci!D20,3,1)="v",MID(Osnovni_podaci!D20,8,1)="r"),VLOOKUP( $B103, T_Aop[], 6, 1),A1)</f>
        <v xml:space="preserve">      2.2  Neto dobici od usklađivanja vrijednosti kratkoročnih finansijskih sredstava (osim potraživanja od kupaca)</v>
      </c>
      <c r="E103" s="682"/>
      <c r="F103" s="682"/>
      <c r="G103" s="682"/>
      <c r="H103" s="683"/>
      <c r="I103" s="63">
        <f>VLOOKUP( $B103, T_Aop[], 4, 1)</f>
        <v>283</v>
      </c>
      <c r="J103" s="454"/>
      <c r="K103" s="454"/>
      <c r="L103" s="455"/>
      <c r="N103" s="44"/>
      <c r="P103" s="183"/>
    </row>
    <row r="104" spans="2:16" ht="22.9" customHeight="1">
      <c r="B104" s="15">
        <v>222</v>
      </c>
      <c r="C104" s="58" t="str">
        <f>IF(AND([0]!Godina=2025,MID(Osnovni_podaci!D20,3,1)="v",Osnovni_podaci!L24=2,Osnovni_podaci!G24=1,MID(Osnovni_podaci!D20,3,1)="v",MID(Osnovni_podaci!D20,8,1)="r"),VLOOKUP( $B104, T_Aop[], 5, 1),A1)</f>
        <v>687, 587 neto prikaz</v>
      </c>
      <c r="D104" s="678" t="str">
        <f>IF(AND([0]!Godina=2025,MID(Osnovni_podaci!D20,3,1)="v",Osnovni_podaci!L24=2,Osnovni_podaci!G24=1,MID(Osnovni_podaci!D20,3,1)="v",MID(Osnovni_podaci!D20,8,1)="r"),VLOOKUP( $B104, T_Aop[], 6, 1),A1)</f>
        <v xml:space="preserve">      2.3  Neto dobici od umanjenja ranije priznatih kreditnih gubitaka usljed obezvređenja potraživanja od kupaca </v>
      </c>
      <c r="E104" s="679"/>
      <c r="F104" s="679"/>
      <c r="G104" s="679"/>
      <c r="H104" s="680"/>
      <c r="I104" s="59">
        <f>VLOOKUP( $B104, T_Aop[], 4, 1)</f>
        <v>284</v>
      </c>
      <c r="J104" s="456"/>
      <c r="K104" s="456"/>
      <c r="L104" s="457"/>
      <c r="N104" s="44"/>
      <c r="P104" s="183"/>
    </row>
    <row r="105" spans="2:16" ht="27.75" customHeight="1">
      <c r="B105" s="15">
        <v>223</v>
      </c>
      <c r="C105" s="62" t="str">
        <f>IF(AND([0]!Godina=2025,MID(Osnovni_podaci!D20,3,1)="v",Osnovni_podaci!L24=2,Osnovni_podaci!G24=1,MID(Osnovni_podaci!D20,3,1)="v",MID(Osnovni_podaci!D20,8,1)="r"),VLOOKUP( $B105, T_Aop[], 5, 1),A1)</f>
        <v>dio 689, dio 589 neto prikaz</v>
      </c>
      <c r="D105" s="681" t="str">
        <f>IF(AND([0]!Godina=2025,MID(Osnovni_podaci!D20,3,1)="v",Osnovni_podaci!L24=2,Osnovni_podaci!G24=1,MID(Osnovni_podaci!D20,3,1)="v",MID(Osnovni_podaci!D20,8,1)="r"),VLOOKUP( $B105, T_Aop[], 6, 1),A1)</f>
        <v xml:space="preserve">      2.4  Neto dobici od usklađivanja vrijednosti ostalih finansijskih sredstava</v>
      </c>
      <c r="E105" s="682"/>
      <c r="F105" s="682"/>
      <c r="G105" s="682"/>
      <c r="H105" s="683"/>
      <c r="I105" s="63">
        <f>VLOOKUP( $B105, T_Aop[], 4, 1)</f>
        <v>285</v>
      </c>
      <c r="J105" s="454"/>
      <c r="K105" s="454"/>
      <c r="L105" s="455"/>
      <c r="N105" s="44"/>
      <c r="P105" s="183"/>
    </row>
    <row r="106" spans="2:16" ht="15.2" customHeight="1">
      <c r="B106" s="15">
        <v>224</v>
      </c>
      <c r="C106" s="187" t="str">
        <f>IF(AND([0]!Godina=2025,MID(Osnovni_podaci!D20,3,1)="v",Osnovni_podaci!L24=2,Osnovni_podaci!G24=1,MID(Osnovni_podaci!D20,3,1)="v",MID(Osnovni_podaci!D20,8,1)="r"),VLOOKUP( $B106, T_Aop[], 5, 1),A1)</f>
        <v>58</v>
      </c>
      <c r="D106" s="688" t="str">
        <f>IF(AND([0]!Godina=2025,MID(Osnovni_podaci!D20,3,1)="v",Osnovni_podaci!L24=2,Osnovni_podaci!G24=1,MID(Osnovni_podaci!D20,3,1)="v",MID(Osnovni_podaci!D20,8,1)="r"),VLOOKUP( $B106, T_Aop[], 6, 1),A1)</f>
        <v xml:space="preserve">  II  RASHODI OD USKLAĐIVANJA VRIJEDNOSTI IMOVINE (287 + 294)</v>
      </c>
      <c r="E106" s="689"/>
      <c r="F106" s="689"/>
      <c r="G106" s="689"/>
      <c r="H106" s="690"/>
      <c r="I106" s="178">
        <f>VLOOKUP( $B106, T_Aop[], 4, 1)</f>
        <v>286</v>
      </c>
      <c r="J106" s="456"/>
      <c r="K106" s="60">
        <f>IF(AND([0]!Godina=2025,MID(Osnovni_podaci!D20,3,1)="v",Osnovni_podaci!L24=2,Osnovni_podaci!G24=1,MID(Osnovni_podaci!D20,3,1)="v",MID(Osnovni_podaci!D20,8,1)="r"),SUBTOTAL( 9, K107:K118),A1)</f>
        <v>0</v>
      </c>
      <c r="L106" s="61">
        <f>IF(AND([0]!Godina=2025,MID(Osnovni_podaci!D20,3,1)="v",Osnovni_podaci!L24=2,Osnovni_podaci!G24=1,MID(Osnovni_podaci!D20,3,1)="v",MID(Osnovni_podaci!D20,8,1)="r"),SUBTOTAL( 9, L107:L118),A1)</f>
        <v>0</v>
      </c>
      <c r="N106" s="44"/>
      <c r="P106" s="183"/>
    </row>
    <row r="107" spans="2:16" ht="13.9" customHeight="1">
      <c r="B107" s="15">
        <v>225</v>
      </c>
      <c r="C107" s="62">
        <f>IF(AND([0]!Godina=2025,MID(Osnovni_podaci!D20,3,1)="v",Osnovni_podaci!L24=2,Osnovni_podaci!G24=1,MID(Osnovni_podaci!D20,3,1)="v",MID(Osnovni_podaci!D20,8,1)="r"),VLOOKUP( $B107, T_Aop[], 5, 1),A1)</f>
        <v>0</v>
      </c>
      <c r="D107" s="681" t="str">
        <f>IF(AND([0]!Godina=2025,MID(Osnovni_podaci!D20,3,1)="v",Osnovni_podaci!L24=2,Osnovni_podaci!G24=1,MID(Osnovni_podaci!D20,3,1)="v",MID(Osnovni_podaci!D20,8,1)="r"),VLOOKUP( $B107, T_Aop[], 6, 1),A1)</f>
        <v xml:space="preserve">    1.  Rashodi od usklađivanja vrijednosti imovine (osim finansijske) (288 do 293)</v>
      </c>
      <c r="E107" s="682"/>
      <c r="F107" s="682"/>
      <c r="G107" s="682"/>
      <c r="H107" s="683"/>
      <c r="I107" s="63">
        <f>VLOOKUP( $B107, T_Aop[], 4, 1)</f>
        <v>287</v>
      </c>
      <c r="J107" s="454"/>
      <c r="K107" s="460">
        <f>IF(AND([0]!Godina=2025,MID(Osnovni_podaci!D20,3,1)="v",Osnovni_podaci!L24=2,Osnovni_podaci!G24=1,MID(Osnovni_podaci!D20,3,1)="v",MID(Osnovni_podaci!D20,8,1)="r"),SUBTOTAL( 9, K108:K113),A1)</f>
        <v>0</v>
      </c>
      <c r="L107" s="461">
        <f>IF(AND([0]!Godina=2025,MID(Osnovni_podaci!D20,3,1)="v",Osnovni_podaci!L24=2,Osnovni_podaci!G24=1,MID(Osnovni_podaci!D20,3,1)="v",MID(Osnovni_podaci!D20,8,1)="r"),SUBTOTAL( 9, L108:L113),A1)</f>
        <v>0</v>
      </c>
      <c r="N107" s="44"/>
      <c r="P107" s="183"/>
    </row>
    <row r="108" spans="2:16" ht="22.9" customHeight="1">
      <c r="B108" s="15">
        <v>226</v>
      </c>
      <c r="C108" s="58" t="str">
        <f>IF(AND([0]!Godina=2025,MID(Osnovni_podaci!D20,3,1)="v",Osnovni_podaci!L24=2,Osnovni_podaci!G24=1,MID(Osnovni_podaci!D20,3,1)="v",MID(Osnovni_podaci!D20,8,1)="r"),VLOOKUP( $B108, T_Aop[], 5, 1),A1)</f>
        <v>580, 680 neto prikaz</v>
      </c>
      <c r="D108" s="678" t="str">
        <f>IF(AND([0]!Godina=2025,MID(Osnovni_podaci!D20,3,1)="v",Osnovni_podaci!L24=2,Osnovni_podaci!G24=1,MID(Osnovni_podaci!D20,3,1)="v",MID(Osnovni_podaci!D20,8,1)="r"),VLOOKUP( $B108, T_Aop[], 6, 1),A1)</f>
        <v xml:space="preserve">      1.1. Neto gubici po osnovu obezvređenja nematerijalnih sredstava</v>
      </c>
      <c r="E108" s="679"/>
      <c r="F108" s="679"/>
      <c r="G108" s="679"/>
      <c r="H108" s="680"/>
      <c r="I108" s="59">
        <f>VLOOKUP( $B108, T_Aop[], 4, 1)</f>
        <v>288</v>
      </c>
      <c r="J108" s="456"/>
      <c r="K108" s="456"/>
      <c r="L108" s="457"/>
      <c r="N108" s="44"/>
      <c r="P108" s="183"/>
    </row>
    <row r="109" spans="2:16" ht="22.9" customHeight="1">
      <c r="B109" s="15">
        <v>227</v>
      </c>
      <c r="C109" s="62" t="str">
        <f>IF(AND([0]!Godina=2025,MID(Osnovni_podaci!D20,3,1)="v",Osnovni_podaci!L24=2,Osnovni_podaci!G24=1,MID(Osnovni_podaci!D20,3,1)="v",MID(Osnovni_podaci!D20,8,1)="r"),VLOOKUP( $B109, T_Aop[], 5, 1),A1)</f>
        <v>581, 681 neto prikaz</v>
      </c>
      <c r="D109" s="681" t="str">
        <f>IF(AND([0]!Godina=2025,MID(Osnovni_podaci!D20,3,1)="v",Osnovni_podaci!L24=2,Osnovni_podaci!G24=1,MID(Osnovni_podaci!D20,3,1)="v",MID(Osnovni_podaci!D20,8,1)="r"),VLOOKUP( $B109, T_Aop[], 6, 1),A1)</f>
        <v xml:space="preserve">      1.2. Neto gubici po osnovu obezvređenja nekretnina, postrojenja i opreme</v>
      </c>
      <c r="E109" s="682"/>
      <c r="F109" s="682"/>
      <c r="G109" s="682"/>
      <c r="H109" s="683"/>
      <c r="I109" s="63">
        <f>VLOOKUP( $B109, T_Aop[], 4, 1)</f>
        <v>289</v>
      </c>
      <c r="J109" s="454"/>
      <c r="K109" s="454"/>
      <c r="L109" s="455"/>
      <c r="N109" s="44"/>
      <c r="P109" s="183"/>
    </row>
    <row r="110" spans="2:16" ht="22.9" customHeight="1">
      <c r="B110" s="15">
        <v>228</v>
      </c>
      <c r="C110" s="58" t="str">
        <f>IF(AND([0]!Godina=2025,MID(Osnovni_podaci!D20,3,1)="v",Osnovni_podaci!L24=2,Osnovni_podaci!G24=1,MID(Osnovni_podaci!D20,3,1)="v",MID(Osnovni_podaci!D20,8,1)="r"),VLOOKUP( $B110, T_Aop[], 5, 1),A1)</f>
        <v>582, 682 neto prikaz</v>
      </c>
      <c r="D110" s="678" t="str">
        <f>IF(AND([0]!Godina=2025,MID(Osnovni_podaci!D20,3,1)="v",Osnovni_podaci!L24=2,Osnovni_podaci!G24=1,MID(Osnovni_podaci!D20,3,1)="v",MID(Osnovni_podaci!D20,8,1)="r"),VLOOKUP( $B110, T_Aop[], 6, 1),A1)</f>
        <v xml:space="preserve">      1.3. Neto gubici po osnovu obezvređenja investicionih nekretnina koje se vrednuju po nabavnoj vrijednosti</v>
      </c>
      <c r="E110" s="679"/>
      <c r="F110" s="679"/>
      <c r="G110" s="679"/>
      <c r="H110" s="680"/>
      <c r="I110" s="59">
        <f>VLOOKUP( $B110, T_Aop[], 4, 1)</f>
        <v>290</v>
      </c>
      <c r="J110" s="456"/>
      <c r="K110" s="456"/>
      <c r="L110" s="457"/>
      <c r="N110" s="44"/>
      <c r="P110" s="183"/>
    </row>
    <row r="111" spans="2:16" ht="22.9" customHeight="1">
      <c r="B111" s="15">
        <v>229</v>
      </c>
      <c r="C111" s="62" t="str">
        <f>IF(AND([0]!Godina=2025,MID(Osnovni_podaci!D20,3,1)="v",Osnovni_podaci!L24=2,Osnovni_podaci!G24=1,MID(Osnovni_podaci!D20,3,1)="v",MID(Osnovni_podaci!D20,8,1)="r"),VLOOKUP( $B111, T_Aop[], 5, 1),A1)</f>
        <v>583, 683 neto prikaz</v>
      </c>
      <c r="D111" s="681" t="str">
        <f>IF(AND([0]!Godina=2025,MID(Osnovni_podaci!D20,3,1)="v",Osnovni_podaci!L24=2,Osnovni_podaci!G24=1,MID(Osnovni_podaci!D20,3,1)="v",MID(Osnovni_podaci!D20,8,1)="r"),VLOOKUP( $B111, T_Aop[], 6, 1),A1)</f>
        <v xml:space="preserve">      1.4. Neto gubici po osnovu obezvređenja bioloških sredstva koje se vrednuju po nabavnoj vrijednosti</v>
      </c>
      <c r="E111" s="682"/>
      <c r="F111" s="682"/>
      <c r="G111" s="682"/>
      <c r="H111" s="683"/>
      <c r="I111" s="63">
        <f>VLOOKUP( $B111, T_Aop[], 4, 1)</f>
        <v>291</v>
      </c>
      <c r="J111" s="454"/>
      <c r="K111" s="454"/>
      <c r="L111" s="455"/>
      <c r="N111" s="44"/>
      <c r="P111" s="183"/>
    </row>
    <row r="112" spans="2:16" ht="22.9" customHeight="1">
      <c r="B112" s="15">
        <v>230</v>
      </c>
      <c r="C112" s="58" t="str">
        <f>IF(AND([0]!Godina=2025,MID(Osnovni_podaci!D20,3,1)="v",Osnovni_podaci!L24=2,Osnovni_podaci!G24=1,MID(Osnovni_podaci!D20,3,1)="v",MID(Osnovni_podaci!D20,8,1)="r"),VLOOKUP( $B112, T_Aop[], 5, 1),A1)</f>
        <v>585, 685 neto prikaz</v>
      </c>
      <c r="D112" s="678" t="str">
        <f>IF(AND([0]!Godina=2025,MID(Osnovni_podaci!D20,3,1)="v",Osnovni_podaci!L24=2,Osnovni_podaci!G24=1,MID(Osnovni_podaci!D20,3,1)="v",MID(Osnovni_podaci!D20,8,1)="r"),VLOOKUP( $B112, T_Aop[], 6, 1),A1)</f>
        <v xml:space="preserve">      1.5. Neto gubici od usklađivanja vrijednosti zaliha materijala i robe </v>
      </c>
      <c r="E112" s="679"/>
      <c r="F112" s="679"/>
      <c r="G112" s="679"/>
      <c r="H112" s="680"/>
      <c r="I112" s="59">
        <f>VLOOKUP( $B112, T_Aop[], 4, 1)</f>
        <v>292</v>
      </c>
      <c r="J112" s="456"/>
      <c r="K112" s="456"/>
      <c r="L112" s="457"/>
      <c r="N112" s="44"/>
      <c r="P112" s="183"/>
    </row>
    <row r="113" spans="2:16" ht="22.9" customHeight="1">
      <c r="B113" s="15">
        <v>231</v>
      </c>
      <c r="C113" s="62" t="str">
        <f>IF(AND([0]!Godina=2025,MID(Osnovni_podaci!D20,3,1)="v",Osnovni_podaci!L24=2,Osnovni_podaci!G24=1,MID(Osnovni_podaci!D20,3,1)="v",MID(Osnovni_podaci!D20,8,1)="r"),VLOOKUP( $B113, T_Aop[], 5, 1),A1)</f>
        <v>588, dio 589, 688, dio 689 neto prikaz</v>
      </c>
      <c r="D113" s="681" t="str">
        <f>IF(AND([0]!Godina=2025,MID(Osnovni_podaci!D20,3,1)="v",Osnovni_podaci!L24=2,Osnovni_podaci!G24=1,MID(Osnovni_podaci!D20,3,1)="v",MID(Osnovni_podaci!D20,8,1)="r"),VLOOKUP( $B113, T_Aop[], 6, 1),A1)</f>
        <v xml:space="preserve">      1.6. Neto gubici od usklađivanja vrijednosti stalnih sredstava namijenjenih prodaji, sredstava poslovanja koje se obustavlja i ostalih nefinansijskih sredstava</v>
      </c>
      <c r="E113" s="682"/>
      <c r="F113" s="682"/>
      <c r="G113" s="682"/>
      <c r="H113" s="683"/>
      <c r="I113" s="63">
        <f>VLOOKUP( $B113, T_Aop[], 4, 1)</f>
        <v>293</v>
      </c>
      <c r="J113" s="454"/>
      <c r="K113" s="454"/>
      <c r="L113" s="455"/>
      <c r="N113" s="44"/>
      <c r="P113" s="183"/>
    </row>
    <row r="114" spans="2:16" ht="15.2" customHeight="1">
      <c r="B114" s="15">
        <v>232</v>
      </c>
      <c r="C114" s="58">
        <f>IF(AND([0]!Godina=2025,MID(Osnovni_podaci!D20,3,1)="v",Osnovni_podaci!L24=2,Osnovni_podaci!G24=1,MID(Osnovni_podaci!D20,3,1)="v",MID(Osnovni_podaci!D20,8,1)="r"),VLOOKUP( $B114, T_Aop[], 5, 1),A1)</f>
        <v>0</v>
      </c>
      <c r="D114" s="678" t="str">
        <f>IF(AND([0]!Godina=2025,MID(Osnovni_podaci!D20,3,1)="v",Osnovni_podaci!L24=2,Osnovni_podaci!G24=1,MID(Osnovni_podaci!D20,3,1)="v",MID(Osnovni_podaci!D20,8,1)="r"),VLOOKUP( $B114, T_Aop[], 6, 1),A1)</f>
        <v xml:space="preserve">    2.  Gubici od usklađivanja vrijednosti finansijskih sredstava (295 do 298)</v>
      </c>
      <c r="E114" s="679"/>
      <c r="F114" s="679"/>
      <c r="G114" s="679"/>
      <c r="H114" s="680"/>
      <c r="I114" s="59">
        <f>VLOOKUP( $B114, T_Aop[], 4, 1)</f>
        <v>294</v>
      </c>
      <c r="J114" s="456"/>
      <c r="K114" s="458">
        <f>IF(AND([0]!Godina=2025,MID(Osnovni_podaci!D20,3,1)="v",Osnovni_podaci!L24=2,Osnovni_podaci!G24=1,MID(Osnovni_podaci!D20,3,1)="v",MID(Osnovni_podaci!D20,8,1)="r"),SUBTOTAL( 9, K115:K118),A1)</f>
        <v>0</v>
      </c>
      <c r="L114" s="459">
        <f>IF(AND([0]!Godina=2025,MID(Osnovni_podaci!D20,3,1)="v",Osnovni_podaci!L24=2,Osnovni_podaci!G24=1,MID(Osnovni_podaci!D20,3,1)="v",MID(Osnovni_podaci!D20,8,1)="r"),SUBTOTAL( 9, L115:L118),A1)</f>
        <v>0</v>
      </c>
      <c r="N114" s="44"/>
      <c r="P114" s="183"/>
    </row>
    <row r="115" spans="2:16" ht="22.9" customHeight="1">
      <c r="B115" s="15">
        <v>233</v>
      </c>
      <c r="C115" s="62" t="str">
        <f>IF(AND([0]!Godina=2025,MID(Osnovni_podaci!D20,3,1)="v",Osnovni_podaci!L24=2,Osnovni_podaci!G24=1,MID(Osnovni_podaci!D20,3,1)="v",MID(Osnovni_podaci!D20,8,1)="r"),VLOOKUP( $B115, T_Aop[], 5, 1),A1)</f>
        <v>584, 684 neto prikaz</v>
      </c>
      <c r="D115" s="681" t="str">
        <f>IF(AND([0]!Godina=2025,MID(Osnovni_podaci!D20,3,1)="v",Osnovni_podaci!L24=2,Osnovni_podaci!G24=1,MID(Osnovni_podaci!D20,3,1)="v",MID(Osnovni_podaci!D20,8,1)="r"),VLOOKUP( $B115, T_Aop[], 6, 1),A1)</f>
        <v xml:space="preserve">      2.1 Neto gubici od usklađivanja vrijednosti dugoročnih finansijskih sredstava</v>
      </c>
      <c r="E115" s="682"/>
      <c r="F115" s="682"/>
      <c r="G115" s="682"/>
      <c r="H115" s="683"/>
      <c r="I115" s="63">
        <f>VLOOKUP( $B115, T_Aop[], 4, 1)</f>
        <v>295</v>
      </c>
      <c r="J115" s="454"/>
      <c r="K115" s="454"/>
      <c r="L115" s="455"/>
      <c r="N115" s="44"/>
      <c r="P115" s="183"/>
    </row>
    <row r="116" spans="2:16" ht="22.9" customHeight="1">
      <c r="B116" s="15">
        <v>234</v>
      </c>
      <c r="C116" s="58" t="str">
        <f>IF(AND([0]!Godina=2025,MID(Osnovni_podaci!D20,3,1)="v",Osnovni_podaci!L24=2,Osnovni_podaci!G24=1,MID(Osnovni_podaci!D20,3,1)="v",MID(Osnovni_podaci!D20,8,1)="r"),VLOOKUP( $B116, T_Aop[], 5, 1),A1)</f>
        <v>586, 686 neto prikaz</v>
      </c>
      <c r="D116" s="678" t="str">
        <f>IF(AND([0]!Godina=2025,MID(Osnovni_podaci!D20,3,1)="v",Osnovni_podaci!L24=2,Osnovni_podaci!G24=1,MID(Osnovni_podaci!D20,3,1)="v",MID(Osnovni_podaci!D20,8,1)="r"),VLOOKUP( $B116, T_Aop[], 6, 1),A1)</f>
        <v xml:space="preserve">      2.2  Neto gubici od usklađivanja vrijednosti kratkoročnih finansijskih sredstava (osim potraživanja od kupaca)</v>
      </c>
      <c r="E116" s="679"/>
      <c r="F116" s="679"/>
      <c r="G116" s="679"/>
      <c r="H116" s="680"/>
      <c r="I116" s="59">
        <f>VLOOKUP( $B116, T_Aop[], 4, 1)</f>
        <v>296</v>
      </c>
      <c r="J116" s="456"/>
      <c r="K116" s="456"/>
      <c r="L116" s="457"/>
      <c r="N116" s="44"/>
      <c r="P116" s="184" t="s">
        <v>313</v>
      </c>
    </row>
    <row r="117" spans="2:16" ht="22.9" customHeight="1">
      <c r="B117" s="15">
        <v>235</v>
      </c>
      <c r="C117" s="62" t="str">
        <f>IF(AND([0]!Godina=2025,MID(Osnovni_podaci!D20,3,1)="v",Osnovni_podaci!L24=2,Osnovni_podaci!G24=1,MID(Osnovni_podaci!D20,3,1)="v",MID(Osnovni_podaci!D20,8,1)="r"),VLOOKUP( $B117, T_Aop[], 5, 1),A1)</f>
        <v>587, 687 neto prikaz</v>
      </c>
      <c r="D117" s="681" t="str">
        <f>IF(AND([0]!Godina=2025,MID(Osnovni_podaci!D20,3,1)="v",Osnovni_podaci!L24=2,Osnovni_podaci!G24=1,MID(Osnovni_podaci!D20,3,1)="v",MID(Osnovni_podaci!D20,8,1)="r"),VLOOKUP( $B117, T_Aop[], 6, 1),A1)</f>
        <v xml:space="preserve">      2.3 Neto gubici od usklađivanja vrijednosti potraživanja od kupaca</v>
      </c>
      <c r="E117" s="682"/>
      <c r="F117" s="682"/>
      <c r="G117" s="682"/>
      <c r="H117" s="683"/>
      <c r="I117" s="63">
        <f>VLOOKUP( $B117, T_Aop[], 4, 1)</f>
        <v>297</v>
      </c>
      <c r="J117" s="454"/>
      <c r="K117" s="454"/>
      <c r="L117" s="455"/>
      <c r="N117" s="44"/>
      <c r="P117" s="184" t="s">
        <v>313</v>
      </c>
    </row>
    <row r="118" spans="2:16" ht="22.9" customHeight="1">
      <c r="B118" s="15">
        <v>236</v>
      </c>
      <c r="C118" s="58" t="str">
        <f>IF(AND([0]!Godina=2025,MID(Osnovni_podaci!D20,3,1)="v",Osnovni_podaci!L24=2,Osnovni_podaci!G24=1,MID(Osnovni_podaci!D20,3,1)="v",MID(Osnovni_podaci!D20,8,1)="r"),VLOOKUP( $B118, T_Aop[], 5, 1),A1)</f>
        <v>dio 589, dio 689neto prikaz</v>
      </c>
      <c r="D118" s="678" t="str">
        <f>IF(AND([0]!Godina=2025,MID(Osnovni_podaci!D20,3,1)="v",Osnovni_podaci!L24=2,Osnovni_podaci!G24=1,MID(Osnovni_podaci!D20,3,1)="v",MID(Osnovni_podaci!D20,8,1)="r"),VLOOKUP( $B118, T_Aop[], 6, 1),A1)</f>
        <v xml:space="preserve">      2.4  Neto gubici od usklađivanja vrijednosti ostalih finansijskih sredstava</v>
      </c>
      <c r="E118" s="679"/>
      <c r="F118" s="679"/>
      <c r="G118" s="679"/>
      <c r="H118" s="680"/>
      <c r="I118" s="59">
        <f>VLOOKUP( $B118, T_Aop[], 4, 1)</f>
        <v>298</v>
      </c>
      <c r="J118" s="456"/>
      <c r="K118" s="456"/>
      <c r="L118" s="457"/>
      <c r="N118" s="44"/>
      <c r="P118" s="183"/>
    </row>
    <row r="119" spans="2:16" ht="15.2" customHeight="1">
      <c r="B119" s="15">
        <v>237</v>
      </c>
      <c r="C119" s="66">
        <f>IF(AND([0]!Godina=2025,MID(Osnovni_podaci!D20,3,1)="v",Osnovni_podaci!L24=2,Osnovni_podaci!G24=1,MID(Osnovni_podaci!D20,3,1)="v",MID(Osnovni_podaci!D20,8,1)="r"),VLOOKUP( $B119, T_Aop[], 5, 1),A1)</f>
        <v>0</v>
      </c>
      <c r="D119" s="692" t="str">
        <f>IF(AND([0]!Godina=2025,MID(Osnovni_podaci!D20,3,1)="v",Osnovni_podaci!L24=2,Osnovni_podaci!G24=1,MID(Osnovni_podaci!D20,3,1)="v",MID(Osnovni_podaci!D20,8,1)="r"),VLOOKUP( $B119, T_Aop[], 6, 1),A1)</f>
        <v xml:space="preserve">  J. DOBITAK PO OSNOVU USKLAĐIVANJA VRIJEDNOSTI IMOVINE (273 – 286) </v>
      </c>
      <c r="E119" s="693"/>
      <c r="F119" s="693"/>
      <c r="G119" s="693"/>
      <c r="H119" s="694"/>
      <c r="I119" s="179">
        <f>VLOOKUP( $B119, T_Aop[], 4, 1)</f>
        <v>299</v>
      </c>
      <c r="J119" s="454"/>
      <c r="K119" s="67">
        <f>IF(AND([0]!Godina=2025,MID(Osnovni_podaci!D20,3,1)="v",Osnovni_podaci!L24=2,Osnovni_podaci!G24=1,MID(Osnovni_podaci!D20,3,1)="v",MID(Osnovni_podaci!D20,8,1)="r"),IF( SUBTOTAL( 9, K94:K105) - SUBTOTAL( 9, K106:K118) &lt;= 0, 0, ABS( SUBTOTAL( 9, K94:K105) - SUBTOTAL( 9, K106:K118)) ),A1)</f>
        <v>0</v>
      </c>
      <c r="L119" s="68">
        <f>IF(AND([0]!Godina=2025,MID(Osnovni_podaci!D20,3,1)="v",Osnovni_podaci!L24=2,Osnovni_podaci!G24=1,MID(Osnovni_podaci!D20,3,1)="v",MID(Osnovni_podaci!D20,8,1)="r"),IF( SUBTOTAL( 9, L94:L105) - SUBTOTAL( 9, L106:L118) &lt;= 0, 0, ABS( SUBTOTAL( 9, L94:L105) - SUBTOTAL( 9, L106:L118)) ),A1)</f>
        <v>0</v>
      </c>
      <c r="N119" s="44"/>
      <c r="P119" s="183"/>
    </row>
    <row r="120" spans="2:16" ht="15.2" customHeight="1">
      <c r="B120" s="15">
        <v>238</v>
      </c>
      <c r="C120" s="58">
        <f>IF(AND([0]!Godina=2025,MID(Osnovni_podaci!D20,3,1)="v",Osnovni_podaci!L24=2,Osnovni_podaci!G24=1,MID(Osnovni_podaci!D20,3,1)="v",MID(Osnovni_podaci!D20,8,1)="r"),VLOOKUP( $B120, T_Aop[], 5, 1),A1)</f>
        <v>0</v>
      </c>
      <c r="D120" s="688" t="str">
        <f>IF(AND([0]!Godina=2025,MID(Osnovni_podaci!D20,3,1)="v",Osnovni_podaci!L24=2,Osnovni_podaci!G24=1,MID(Osnovni_podaci!D20,3,1)="v",MID(Osnovni_podaci!D20,8,1)="r"),VLOOKUP( $B120, T_Aop[], 6, 1),A1)</f>
        <v xml:space="preserve">  K. GUBITAK PO OSNOVU USKLAĐIVANJA VRIJEDNOSTI IMOVINE (286 – 273)</v>
      </c>
      <c r="E120" s="689"/>
      <c r="F120" s="689"/>
      <c r="G120" s="689"/>
      <c r="H120" s="690"/>
      <c r="I120" s="178">
        <f>VLOOKUP( $B120, T_Aop[], 4, 1)</f>
        <v>300</v>
      </c>
      <c r="J120" s="456"/>
      <c r="K120" s="254">
        <f>IF(AND([0]!Godina=2025,MID(Osnovni_podaci!D20,3,1)="v",Osnovni_podaci!L24=2,Osnovni_podaci!G24=1,MID(Osnovni_podaci!D20,3,1)="v",MID(Osnovni_podaci!D20,8,1)="r"),IF( SUBTOTAL( 9, K94:K105) - SUBTOTAL( 9, K106:K118) &gt;= 0, 0, ABS( SUBTOTAL( 9, K94:K105) - SUBTOTAL( 9, K106:K118)) ),A1)</f>
        <v>0</v>
      </c>
      <c r="L120" s="493">
        <f>IF(AND([0]!Godina=2025,MID(Osnovni_podaci!D20,3,1)="v",Osnovni_podaci!L24=2,Osnovni_podaci!G24=1,MID(Osnovni_podaci!D20,3,1)="v",MID(Osnovni_podaci!D20,8,1)="r"),IF( SUBTOTAL( 9, L94:L105) - SUBTOTAL( 9, L106:L118) &gt;= 0, 0, ABS( SUBTOTAL( 9, L94:L105) - SUBTOTAL( 9, L106:L118)) ),A1)</f>
        <v>0</v>
      </c>
      <c r="N120" s="44"/>
      <c r="P120" s="183"/>
    </row>
    <row r="121" spans="2:16" ht="22.9" customHeight="1">
      <c r="B121" s="15">
        <v>239</v>
      </c>
      <c r="C121" s="66" t="str">
        <f>IF(AND([0]!Godina=2025,MID(Osnovni_podaci!D20,3,1)="v",Osnovni_podaci!L24=2,Osnovni_podaci!G24=1,MID(Osnovni_podaci!D20,3,1)="v",MID(Osnovni_podaci!D20,8,1)="r"),VLOOKUP( $B121, T_Aop[], 5, 1),A1)</f>
        <v>690 i 691</v>
      </c>
      <c r="D121" s="692" t="str">
        <f>IF(AND([0]!Godina=2025,MID(Osnovni_podaci!D20,3,1)="v",Osnovni_podaci!L24=2,Osnovni_podaci!G24=1,MID(Osnovni_podaci!D20,3,1)="v",MID(Osnovni_podaci!D20,8,1)="r"),VLOOKUP( $B121, T_Aop[], 6, 1),A1)</f>
        <v xml:space="preserve">  L. Prihodi po osnovu promjene računovodstvenih politika i ispravke grešaka iz ranijih godina </v>
      </c>
      <c r="E121" s="693"/>
      <c r="F121" s="693"/>
      <c r="G121" s="693"/>
      <c r="H121" s="694"/>
      <c r="I121" s="179">
        <f>VLOOKUP( $B121, T_Aop[], 4, 1)</f>
        <v>301</v>
      </c>
      <c r="J121" s="454"/>
      <c r="K121" s="161"/>
      <c r="L121" s="162"/>
      <c r="N121" s="44"/>
      <c r="P121" s="183"/>
    </row>
    <row r="122" spans="2:16" ht="13.9" customHeight="1">
      <c r="B122" s="15">
        <v>240</v>
      </c>
      <c r="C122" s="58" t="str">
        <f>IF(AND([0]!Godina=2025,MID(Osnovni_podaci!D20,3,1)="v",Osnovni_podaci!L24=2,Osnovni_podaci!G24=1,MID(Osnovni_podaci!D20,3,1)="v",MID(Osnovni_podaci!D20,8,1)="r"),VLOOKUP( $B122, T_Aop[], 5, 1),A1)</f>
        <v>590 i 591</v>
      </c>
      <c r="D122" s="688" t="str">
        <f>IF(AND([0]!Godina=2025,MID(Osnovni_podaci!D20,3,1)="v",Osnovni_podaci!L24=2,Osnovni_podaci!G24=1,MID(Osnovni_podaci!D20,3,1)="v",MID(Osnovni_podaci!D20,8,1)="r"),VLOOKUP( $B122, T_Aop[], 6, 1),A1)</f>
        <v xml:space="preserve">  LJ. Rashodi po osnovu promjene računovodstvenih politika i ispravke grešaka iz ranijih godina</v>
      </c>
      <c r="E122" s="689"/>
      <c r="F122" s="689"/>
      <c r="G122" s="689"/>
      <c r="H122" s="690"/>
      <c r="I122" s="178">
        <f>VLOOKUP( $B122, T_Aop[], 4, 1)</f>
        <v>302</v>
      </c>
      <c r="J122" s="456"/>
      <c r="K122" s="81"/>
      <c r="L122" s="82"/>
      <c r="N122" s="44"/>
      <c r="P122" s="183"/>
    </row>
    <row r="123" spans="2:16" ht="13.9" customHeight="1">
      <c r="B123" s="15">
        <v>241</v>
      </c>
      <c r="C123" s="66">
        <f>IF(AND([0]!Godina=2025,MID(Osnovni_podaci!D20,3,1)="v",Osnovni_podaci!L24=2,Osnovni_podaci!G24=1,MID(Osnovni_podaci!D20,3,1)="v",MID(Osnovni_podaci!D20,8,1)="r"),VLOOKUP( $B123, T_Aop[], 5, 1),A1)</f>
        <v>0</v>
      </c>
      <c r="D123" s="681" t="str">
        <f>IF(AND([0]!Godina=2025,MID(Osnovni_podaci!D20,3,1)="v",Osnovni_podaci!L24=2,Osnovni_podaci!G24=1,MID(Osnovni_podaci!D20,3,1)="v",MID(Osnovni_podaci!D20,8,1)="r"),VLOOKUP( $B123, T_Aop[], 6, 1),A1)</f>
        <v>Udio u dobiti pridruženog društva i zajedničkog poduhvata primjenom metode udjela</v>
      </c>
      <c r="E123" s="682"/>
      <c r="F123" s="682"/>
      <c r="G123" s="682"/>
      <c r="H123" s="683"/>
      <c r="I123" s="63">
        <f>VLOOKUP( $B123, T_Aop[], 4, 1)</f>
        <v>303</v>
      </c>
      <c r="J123" s="454"/>
      <c r="K123" s="462"/>
      <c r="L123" s="463"/>
      <c r="N123" s="44"/>
      <c r="P123" s="183"/>
    </row>
    <row r="124" spans="2:16" ht="13.9" customHeight="1">
      <c r="B124" s="15">
        <v>242</v>
      </c>
      <c r="C124" s="58">
        <f>IF(AND([0]!Godina=2025,MID(Osnovni_podaci!D20,3,1)="v",Osnovni_podaci!L24=2,Osnovni_podaci!G24=1,MID(Osnovni_podaci!D20,3,1)="v",MID(Osnovni_podaci!D20,8,1)="r"),VLOOKUP( $B124, T_Aop[], 5, 1),A1)</f>
        <v>0</v>
      </c>
      <c r="D124" s="678" t="str">
        <f>IF(AND([0]!Godina=2025,MID(Osnovni_podaci!D20,3,1)="v",Osnovni_podaci!L24=2,Osnovni_podaci!G24=1,MID(Osnovni_podaci!D20,3,1)="v",MID(Osnovni_podaci!D20,8,1)="r"),VLOOKUP( $B124, T_Aop[], 6, 1),A1)</f>
        <v>Udio u gubitku pridruženog društva i zajedničkog poduhvata primjenom metode udjela</v>
      </c>
      <c r="E124" s="679"/>
      <c r="F124" s="679"/>
      <c r="G124" s="679"/>
      <c r="H124" s="680"/>
      <c r="I124" s="59">
        <f>VLOOKUP( $B124, T_Aop[], 4, 1)</f>
        <v>304</v>
      </c>
      <c r="J124" s="456"/>
      <c r="K124" s="456"/>
      <c r="L124" s="457"/>
      <c r="N124" s="44"/>
      <c r="P124" s="183"/>
    </row>
    <row r="125" spans="2:16" ht="15.2" customHeight="1">
      <c r="B125" s="15">
        <v>243</v>
      </c>
      <c r="C125" s="464">
        <f>IF(AND([0]!Godina=2025,MID(Osnovni_podaci!D20,3,1)="v",Osnovni_podaci!L24=2,Osnovni_podaci!G24=1,MID(Osnovni_podaci!D20,3,1)="v",MID(Osnovni_podaci!D20,8,1)="r"),VLOOKUP( $B125, T_Aop[], 5, 1),A1)</f>
        <v>0</v>
      </c>
      <c r="D125" s="692" t="str">
        <f>IF(AND([0]!Godina=2025,MID(Osnovni_podaci!D20,3,1)="v",Osnovni_podaci!L24=2,Osnovni_podaci!G24=1,MID(Osnovni_podaci!D20,3,1)="v",MID(Osnovni_podaci!D20,8,1)="r"),VLOOKUP( $B125, T_Aop[], 6, 1),A1)</f>
        <v xml:space="preserve">  UKUPNI PRIHODI (201+239+251+273+301+303)</v>
      </c>
      <c r="E125" s="693"/>
      <c r="F125" s="693"/>
      <c r="G125" s="693"/>
      <c r="H125" s="694"/>
      <c r="I125" s="179">
        <f>VLOOKUP( $B125, T_Aop[], 4, 1)</f>
        <v>305</v>
      </c>
      <c r="J125" s="454"/>
      <c r="K125" s="67">
        <f>IF(AND([0]!Godina=2025,MID(Osnovni_podaci!D20,3,1)="v",Osnovni_podaci!L24=2,Osnovni_podaci!G24=1,MID(Osnovni_podaci!D20,3,1)="v",MID(Osnovni_podaci!D20,8,1)="r"),SUBTOTAL(9, K22:K33, K34, K36, K38, K59:K63, K71:K80, K93:K105,K121, K123)-SUBTOTAL(9,K35,K37),A1)</f>
        <v>555036</v>
      </c>
      <c r="L125" s="68">
        <f>IF(AND([0]!Godina=2025,MID(Osnovni_podaci!D20,3,1)="v",Osnovni_podaci!L24=2,Osnovni_podaci!G24=1,MID(Osnovni_podaci!D20,3,1)="v",MID(Osnovni_podaci!D20,8,1)="r"),SUBTOTAL(9, L22:L33, L34, L36, L38, L59:L63, L71:L80, L93:L105,L121, L123)-SUBTOTAL(9,L35,L37),A1)</f>
        <v>190324</v>
      </c>
      <c r="N125" s="44"/>
      <c r="P125" s="183"/>
    </row>
    <row r="126" spans="2:16" ht="17.25" customHeight="1">
      <c r="B126" s="15">
        <v>244</v>
      </c>
      <c r="C126" s="58">
        <f>IF(AND([0]!Godina=2025,MID(Osnovni_podaci!D20,3,1)="v",Osnovni_podaci!L24=2,Osnovni_podaci!G24=1,MID(Osnovni_podaci!D20,3,1)="v",MID(Osnovni_podaci!D20,8,1)="r"),VLOOKUP( $B126, T_Aop[], 5, 1),A1)</f>
        <v>0</v>
      </c>
      <c r="D126" s="688" t="str">
        <f>IF(AND([0]!Godina=2025,MID(Osnovni_podaci!D20,3,1)="v",Osnovni_podaci!L24=2,Osnovni_podaci!G24=1,MID(Osnovni_podaci!D20,3,1)="v",MID(Osnovni_podaci!D20,8,1)="r"),VLOOKUP( $B126, T_Aop[], 6, 1),A1)</f>
        <v xml:space="preserve">  UKUPNI RASHODI (219+244+261+286+302+304)</v>
      </c>
      <c r="E126" s="689"/>
      <c r="F126" s="689"/>
      <c r="G126" s="689"/>
      <c r="H126" s="690"/>
      <c r="I126" s="178">
        <f>VLOOKUP( $B126, T_Aop[], 4, 1)</f>
        <v>306</v>
      </c>
      <c r="J126" s="456"/>
      <c r="K126" s="254">
        <f>IF(AND([0]!Godina=2025,MID(Osnovni_podaci!D20,3,1)="v",Osnovni_podaci!L24=2,Osnovni_podaci!G24=1,MID(Osnovni_podaci!D20,3,1)="v",MID(Osnovni_podaci!D20,8,1)="r"),SUBTOTAL(9, K39:K56, K64:K68, K81:K90, K106:K118,K122,K124),A1)</f>
        <v>302412</v>
      </c>
      <c r="L126" s="493">
        <f>IF(AND([0]!Godina=2025,MID(Osnovni_podaci!D20,3,1)="v",Osnovni_podaci!L24=2,Osnovni_podaci!G24=1,MID(Osnovni_podaci!D20,3,1)="v",MID(Osnovni_podaci!D20,8,1)="r"),SUBTOTAL(9, L39:L56, L64:L68, L81:L90, L106:L118,L122,L124),A1)</f>
        <v>351152</v>
      </c>
      <c r="N126" s="44"/>
      <c r="P126" s="183"/>
    </row>
    <row r="127" spans="2:16" ht="23.65" customHeight="1">
      <c r="B127" s="15">
        <v>245</v>
      </c>
      <c r="C127" s="66">
        <f>IF(AND([0]!Godina=2025,MID(Osnovni_podaci!D20,3,1)="v",Osnovni_podaci!L24=2,Osnovni_podaci!G24=1,MID(Osnovni_podaci!D20,3,1)="v",MID(Osnovni_podaci!D20,8,1)="r"),VLOOKUP( $B127, T_Aop[], 5, 1),A1)</f>
        <v>0</v>
      </c>
      <c r="D127" s="692" t="str">
        <f>IF(AND([0]!Godina=2025,MID(Osnovni_podaci!D20,3,1)="v",Osnovni_podaci!L24=2,Osnovni_podaci!G24=1,MID(Osnovni_podaci!D20,3,1)="v",MID(Osnovni_podaci!D20,8,1)="r"),VLOOKUP( $B127, T_Aop[], 6, 1),A1)</f>
        <v xml:space="preserve">  M. DOBIT I GUBITAK PRIJE OPOREZIVANJA
1. Dobit prije oporezivanja (305 – 306)</v>
      </c>
      <c r="E127" s="693"/>
      <c r="F127" s="693"/>
      <c r="G127" s="693"/>
      <c r="H127" s="694"/>
      <c r="I127" s="179">
        <f>VLOOKUP( $B127, T_Aop[], 4, 1)</f>
        <v>307</v>
      </c>
      <c r="J127" s="454"/>
      <c r="K127" s="67">
        <f>IF(AND([0]!Godina=2025,MID(Osnovni_podaci!D20,3,1)="v",Osnovni_podaci!L24=2,Osnovni_podaci!G24=1,MID(Osnovni_podaci!D20,3,1)="v",MID(Osnovni_podaci!D20,8,1)="r"),IF( SUBTOTAL(9, K22:K33, K34, K36, K38, K59:K63, K71:K80, K93:K105, K121, K123)- SUBTOTAL(9,K35, K37, K39:K56, K64:K68, K81:K90, K106:K118, K122, K124) &lt;=  0, 0, ABS( SUBTOTAL(9, K22:K33, K34, K36, K38, K59:K63, K71:K80, K93:K105,K121,K123)- SUBTOTAL(9,K35,K37, K39:K56, K64:K68, K81:K90, K106:K118, K122, K124))),A1)</f>
        <v>252624</v>
      </c>
      <c r="L127" s="68">
        <f>IF(AND([0]!Godina=2025,MID(Osnovni_podaci!D20,3,1)="v",Osnovni_podaci!L24=2,Osnovni_podaci!G24=1,MID(Osnovni_podaci!D20,3,1)="v",MID(Osnovni_podaci!D20,8,1)="r"),IF(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c r="B128" s="15">
        <v>246</v>
      </c>
      <c r="C128" s="187">
        <f>IF(AND([0]!Godina=2025,MID(Osnovni_podaci!D20,3,1)="v",Osnovni_podaci!L24=2,Osnovni_podaci!G24=1,MID(Osnovni_podaci!D20,3,1)="v",MID(Osnovni_podaci!D20,8,1)="r"),VLOOKUP( $B128, T_Aop[], 5, 1),A1)</f>
        <v>0</v>
      </c>
      <c r="D128" s="688" t="str">
        <f>IF(AND([0]!Godina=2025,MID(Osnovni_podaci!D20,3,1)="v",Osnovni_podaci!L24=2,Osnovni_podaci!G24=1,MID(Osnovni_podaci!D20,3,1)="v",MID(Osnovni_podaci!D20,8,1)="r"),VLOOKUP( $B128, T_Aop[], 6, 1),A1)</f>
        <v xml:space="preserve">  2. Gubitak prije oporezivanja (306 – 305)</v>
      </c>
      <c r="E128" s="689"/>
      <c r="F128" s="689"/>
      <c r="G128" s="689"/>
      <c r="H128" s="690"/>
      <c r="I128" s="178">
        <f>VLOOKUP( $B128, T_Aop[], 4, 1)</f>
        <v>308</v>
      </c>
      <c r="J128" s="456"/>
      <c r="K128" s="254">
        <f>IF(AND([0]!Godina=2025,MID(Osnovni_podaci!D20,3,1)="v",Osnovni_podaci!L24=2,Osnovni_podaci!G24=1,MID(Osnovni_podaci!D20,3,1)="v",MID(Osnovni_podaci!D20,8,1)="r"),IF(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IF(AND([0]!Godina=2025,MID(Osnovni_podaci!D20,3,1)="v",Osnovni_podaci!L24=2,Osnovni_podaci!G24=1,MID(Osnovni_podaci!D20,3,1)="v",MID(Osnovni_podaci!D20,8,1)="r"),IF( SUBTOTAL(9, L22:L33, L34, L36, L38, L59:L63, L71:L80, L93:L105, L121, L123)- SUBTOTAL(9,L35, L37, L39:L56, L64:L68, L81:L90, L106:L118, L122, L124) &gt;=  0, 0, ABS( SUBTOTAL(9, L22:L33, L34, L36, L38, L59:L63, L71:L80, L93:L105,L121,L123)- SUBTOTAL(9,L35,L37, L39:L56, L64:L68, L81:L90, L106:L118, L122, L124))),A1)</f>
        <v>160828</v>
      </c>
      <c r="N128" s="44"/>
      <c r="P128" s="183"/>
    </row>
    <row r="129" spans="2:16" ht="27.75" customHeight="1">
      <c r="B129" s="15">
        <v>247</v>
      </c>
      <c r="C129" s="464" t="str">
        <f>IF(AND([0]!Godina=2025,MID(Osnovni_podaci!D20,3,1)="v",Osnovni_podaci!L24=2,Osnovni_podaci!G24=1,MID(Osnovni_podaci!D20,3,1)="v",MID(Osnovni_podaci!D20,8,1)="r"),VLOOKUP( $B129, T_Aop[], 5, 1),A1)</f>
        <v>721</v>
      </c>
      <c r="D129" s="692" t="str">
        <f>IF(AND([0]!Godina=2025,MID(Osnovni_podaci!D20,3,1)="v",Osnovni_podaci!L24=2,Osnovni_podaci!G24=1,MID(Osnovni_podaci!D20,3,1)="v",MID(Osnovni_podaci!D20,8,1)="r"),VLOOKUP( $B129, T_Aop[], 6, 1),A1)</f>
        <v xml:space="preserve">  N. TEKUĆI I ODLOŽENI POREZ NA DOBIT
1. Poreski rashodi perioda </v>
      </c>
      <c r="E129" s="693"/>
      <c r="F129" s="693"/>
      <c r="G129" s="693"/>
      <c r="H129" s="694"/>
      <c r="I129" s="179">
        <f>VLOOKUP( $B129, T_Aop[], 4, 1)</f>
        <v>309</v>
      </c>
      <c r="J129" s="454"/>
      <c r="K129" s="489"/>
      <c r="L129" s="162"/>
      <c r="N129" s="44"/>
      <c r="P129" s="183"/>
    </row>
    <row r="130" spans="2:16" ht="17.25" customHeight="1">
      <c r="B130" s="15">
        <v>248</v>
      </c>
      <c r="C130" s="187">
        <f>IF(AND([0]!Godina=2025,MID(Osnovni_podaci!D20,3,1)="v",Osnovni_podaci!L24=2,Osnovni_podaci!G24=1,MID(Osnovni_podaci!D20,3,1)="v",MID(Osnovni_podaci!D20,8,1)="r"),VLOOKUP( $B130, T_Aop[], 5, 1),A1)</f>
        <v>0</v>
      </c>
      <c r="D130" s="678" t="str">
        <f>IF(AND([0]!Godina=2025,MID(Osnovni_podaci!D20,3,1)="v",Osnovni_podaci!L24=2,Osnovni_podaci!G24=1,MID(Osnovni_podaci!D20,3,1)="v",MID(Osnovni_podaci!D20,8,1)="r"),VLOOKUP( $B130, T_Aop[], 6, 1),A1)</f>
        <v xml:space="preserve">    2. Odloženi poreski rashodi (311 + 312)</v>
      </c>
      <c r="E130" s="679"/>
      <c r="F130" s="679"/>
      <c r="G130" s="679"/>
      <c r="H130" s="680"/>
      <c r="I130" s="59">
        <f>VLOOKUP( $B130, T_Aop[], 4, 1)</f>
        <v>310</v>
      </c>
      <c r="J130" s="456"/>
      <c r="K130" s="494">
        <f>IF(AND([0]!Godina=2025,MID(Osnovni_podaci!D20,3,1)="v",Osnovni_podaci!L24=2,Osnovni_podaci!G24=1,MID(Osnovni_podaci!D20,3,1)="v",MID(Osnovni_podaci!D20,8,1)="r"),SUBTOTAL( 9, K131:K132),A1)</f>
        <v>0</v>
      </c>
      <c r="L130" s="459">
        <f>IF(AND([0]!Godina=2025,MID(Osnovni_podaci!D20,3,1)="v",Osnovni_podaci!L24=2,Osnovni_podaci!G24=1,MID(Osnovni_podaci!D20,3,1)="v",MID(Osnovni_podaci!D20,8,1)="r"),SUBTOTAL( 9, L131:L132),A1)</f>
        <v>0</v>
      </c>
      <c r="N130" s="44"/>
      <c r="P130" s="183"/>
    </row>
    <row r="131" spans="2:16" ht="17.25" customHeight="1">
      <c r="B131" s="15">
        <v>249</v>
      </c>
      <c r="C131" s="66" t="str">
        <f>IF(AND([0]!Godina=2025,MID(Osnovni_podaci!D20,3,1)="v",Osnovni_podaci!L24=2,Osnovni_podaci!G24=1,MID(Osnovni_podaci!D20,3,1)="v",MID(Osnovni_podaci!D20,8,1)="r"),VLOOKUP( $B131, T_Aop[], 5, 1),A1)</f>
        <v>722</v>
      </c>
      <c r="D131" s="681" t="str">
        <f>IF(AND([0]!Godina=2025,MID(Osnovni_podaci!D20,3,1)="v",Osnovni_podaci!L24=2,Osnovni_podaci!G24=1,MID(Osnovni_podaci!D20,3,1)="v",MID(Osnovni_podaci!D20,8,1)="r"),VLOOKUP( $B131, T_Aop[], 6, 1),A1)</f>
        <v xml:space="preserve">      2.1   Efekat smanjenja odloženih poreskih sredstava</v>
      </c>
      <c r="E131" s="682"/>
      <c r="F131" s="682"/>
      <c r="G131" s="682"/>
      <c r="H131" s="683"/>
      <c r="I131" s="63">
        <f>VLOOKUP( $B131, T_Aop[], 4, 1)</f>
        <v>311</v>
      </c>
      <c r="J131" s="454"/>
      <c r="K131" s="490"/>
      <c r="L131" s="455"/>
      <c r="N131" s="44"/>
      <c r="P131" s="183"/>
    </row>
    <row r="132" spans="2:16" ht="17.25" customHeight="1">
      <c r="B132" s="15">
        <v>250</v>
      </c>
      <c r="C132" s="58" t="str">
        <f>IF(AND([0]!Godina=2025,MID(Osnovni_podaci!D20,3,1)="v",Osnovni_podaci!L24=2,Osnovni_podaci!G24=1,MID(Osnovni_podaci!D20,3,1)="v",MID(Osnovni_podaci!D20,8,1)="r"),VLOOKUP( $B132, T_Aop[], 5, 1),A1)</f>
        <v>724</v>
      </c>
      <c r="D132" s="678" t="str">
        <f>IF(AND([0]!Godina=2025,MID(Osnovni_podaci!D20,3,1)="v",Osnovni_podaci!L24=2,Osnovni_podaci!G24=1,MID(Osnovni_podaci!D20,3,1)="v",MID(Osnovni_podaci!D20,8,1)="r"),VLOOKUP( $B132, T_Aop[], 6, 1),A1)</f>
        <v xml:space="preserve">      2.2   Efekat povećanja odloženih poreskih obaveza</v>
      </c>
      <c r="E132" s="679"/>
      <c r="F132" s="679"/>
      <c r="G132" s="679"/>
      <c r="H132" s="680"/>
      <c r="I132" s="59">
        <f>VLOOKUP( $B132, T_Aop[], 4, 1)</f>
        <v>312</v>
      </c>
      <c r="J132" s="456"/>
      <c r="K132" s="495"/>
      <c r="L132" s="156"/>
      <c r="N132" s="44"/>
      <c r="P132" s="183"/>
    </row>
    <row r="133" spans="2:16" ht="17.25" customHeight="1">
      <c r="B133" s="15">
        <v>251</v>
      </c>
      <c r="C133" s="66">
        <f>IF(AND([0]!Godina=2025,MID(Osnovni_podaci!D20,3,1)="v",Osnovni_podaci!L24=2,Osnovni_podaci!G24=1,MID(Osnovni_podaci!D20,3,1)="v",MID(Osnovni_podaci!D20,8,1)="r"),VLOOKUP( $B133, T_Aop[], 5, 1),A1)</f>
        <v>0</v>
      </c>
      <c r="D133" s="681" t="str">
        <f>IF(AND([0]!Godina=2025,MID(Osnovni_podaci!D20,3,1)="v",Osnovni_podaci!L24=2,Osnovni_podaci!G24=1,MID(Osnovni_podaci!D20,3,1)="v",MID(Osnovni_podaci!D20,8,1)="r"),VLOOKUP( $B133, T_Aop[], 6, 1),A1)</f>
        <v xml:space="preserve">    3. Odloženi poreski prihodi (314 + 315)</v>
      </c>
      <c r="E133" s="682"/>
      <c r="F133" s="682"/>
      <c r="G133" s="682"/>
      <c r="H133" s="683"/>
      <c r="I133" s="63">
        <f>VLOOKUP( $B133, T_Aop[], 4, 1)</f>
        <v>313</v>
      </c>
      <c r="J133" s="454"/>
      <c r="K133" s="496">
        <f>IF(AND([0]!Godina=2025,MID(Osnovni_podaci!D20,3,1)="v",Osnovni_podaci!L24=2,Osnovni_podaci!G24=1,MID(Osnovni_podaci!D20,3,1)="v",MID(Osnovni_podaci!D20,8,1)="r"),SUBTOTAL( 9, K134:K135),A1)</f>
        <v>0</v>
      </c>
      <c r="L133" s="461">
        <f>IF(AND([0]!Godina=2025,MID(Osnovni_podaci!D20,3,1)="v",Osnovni_podaci!L24=2,Osnovni_podaci!G24=1,MID(Osnovni_podaci!D20,3,1)="v",MID(Osnovni_podaci!D20,8,1)="r"),SUBTOTAL( 9, L134:L135),A1)</f>
        <v>0</v>
      </c>
      <c r="N133" s="44"/>
      <c r="P133" s="183"/>
    </row>
    <row r="134" spans="2:16" ht="13.9" customHeight="1">
      <c r="B134" s="15">
        <v>252</v>
      </c>
      <c r="C134" s="58" t="str">
        <f>IF(AND([0]!Godina=2025,MID(Osnovni_podaci!D20,3,1)="v",Osnovni_podaci!L24=2,Osnovni_podaci!G24=1,MID(Osnovni_podaci!D20,3,1)="v",MID(Osnovni_podaci!D20,8,1)="r"),VLOOKUP( $B134, T_Aop[], 5, 1),A1)</f>
        <v>723</v>
      </c>
      <c r="D134" s="678" t="str">
        <f>IF(AND([0]!Godina=2025,MID(Osnovni_podaci!D20,3,1)="v",Osnovni_podaci!L24=2,Osnovni_podaci!G24=1,MID(Osnovni_podaci!D20,3,1)="v",MID(Osnovni_podaci!D20,8,1)="r"),VLOOKUP( $B134, T_Aop[], 6, 1),A1)</f>
        <v xml:space="preserve">      3.1 Efekat povećanja odloženih poreskih sredstava</v>
      </c>
      <c r="E134" s="679"/>
      <c r="F134" s="679"/>
      <c r="G134" s="679"/>
      <c r="H134" s="680"/>
      <c r="I134" s="59">
        <f>VLOOKUP( $B134, T_Aop[], 4, 1)</f>
        <v>314</v>
      </c>
      <c r="J134" s="456"/>
      <c r="K134" s="425"/>
      <c r="L134" s="156"/>
      <c r="N134" s="44"/>
      <c r="P134" s="183"/>
    </row>
    <row r="135" spans="2:16" ht="13.9" customHeight="1">
      <c r="B135" s="15">
        <v>253</v>
      </c>
      <c r="C135" s="66" t="str">
        <f>IF(AND([0]!Godina=2025,MID(Osnovni_podaci!D20,3,1)="v",Osnovni_podaci!L24=2,Osnovni_podaci!G24=1,MID(Osnovni_podaci!D20,3,1)="v",MID(Osnovni_podaci!D20,8,1)="r"),VLOOKUP( $B135, T_Aop[], 5, 1),A1)</f>
        <v>725</v>
      </c>
      <c r="D135" s="681" t="str">
        <f>IF(AND([0]!Godina=2025,MID(Osnovni_podaci!D20,3,1)="v",Osnovni_podaci!L24=2,Osnovni_podaci!G24=1,MID(Osnovni_podaci!D20,3,1)="v",MID(Osnovni_podaci!D20,8,1)="r"),VLOOKUP( $B135, T_Aop[], 6, 1),A1)</f>
        <v xml:space="preserve">      3.2 Efekat smanjenja odloženih poreskih obaveza</v>
      </c>
      <c r="E135" s="682"/>
      <c r="F135" s="682"/>
      <c r="G135" s="682"/>
      <c r="H135" s="683"/>
      <c r="I135" s="63">
        <f>VLOOKUP( $B135, T_Aop[], 4, 1)</f>
        <v>315</v>
      </c>
      <c r="J135" s="454"/>
      <c r="K135" s="454"/>
      <c r="L135" s="455"/>
      <c r="N135" s="44"/>
      <c r="P135" s="183"/>
    </row>
    <row r="136" spans="2:16" ht="24.2" customHeight="1">
      <c r="B136" s="15">
        <v>254</v>
      </c>
      <c r="C136" s="58">
        <f>IF(AND([0]!Godina=2025,MID(Osnovni_podaci!D20,3,1)="v",Osnovni_podaci!L24=2,Osnovni_podaci!G24=1,MID(Osnovni_podaci!D20,3,1)="v",MID(Osnovni_podaci!D20,8,1)="r"),VLOOKUP( $B136, T_Aop[], 5, 1),A1)</f>
        <v>0</v>
      </c>
      <c r="D136" s="688" t="str">
        <f>IF(AND([0]!Godina=2025,MID(Osnovni_podaci!D20,3,1)="v",Osnovni_podaci!L24=2,Osnovni_podaci!G24=1,MID(Osnovni_podaci!D20,3,1)="v",MID(Osnovni_podaci!D20,8,1)="r"),VLOOKUP( $B136, T_Aop[], 6, 1),A1)</f>
        <v xml:space="preserve">  NJ. NETO DOBIT I NETO GUBITAK PERIODA
 1. Neto dobit tekuće godine (307-309-310+313)&gt;0 i 307&gt;0 ili (313-308-309-310)&gt;0 i 308&gt;0</v>
      </c>
      <c r="E136" s="689"/>
      <c r="F136" s="689"/>
      <c r="G136" s="689"/>
      <c r="H136" s="690"/>
      <c r="I136" s="178">
        <f>VLOOKUP( $B136, T_Aop[], 4, 1)</f>
        <v>316</v>
      </c>
      <c r="J136" s="456"/>
      <c r="K136" s="254">
        <f>IF(AND([0]!Godina=2025,MID(Osnovni_podaci!D20,3,1)="v",Osnovni_podaci!L24=2,Osnovni_podaci!G24=1,MID(Osnovni_podaci!D20,3,1)="v",MID(Osnovni_podaci!D20,8,1)="r"),IF(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252624</v>
      </c>
      <c r="L136" s="403">
        <f>IF(AND([0]!Godina=2025,MID(Osnovni_podaci!D20,3,1)="v",Osnovni_podaci!L24=2,Osnovni_podaci!G24=1,MID(Osnovni_podaci!D20,3,1)="v",MID(Osnovni_podaci!D20,8,1)="r"),IF(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2" customHeight="1">
      <c r="B137" s="15">
        <v>255</v>
      </c>
      <c r="C137" s="66" t="str">
        <f>IF(AND([0]!Godina=2025,MID(Osnovni_podaci!D20,3,1)="v",Osnovni_podaci!L24=2,Osnovni_podaci!G24=1,MID(Osnovni_podaci!D20,3,1)="v",MID(Osnovni_podaci!D20,8,1)="r"),VLOOKUP( $B137, T_Aop[], 5, 1),A1)</f>
        <v xml:space="preserve"> </v>
      </c>
      <c r="D137" s="692" t="str">
        <f>IF(AND([0]!Godina=2025,MID(Osnovni_podaci!D20,3,1)="v",Osnovni_podaci!L24=2,Osnovni_podaci!G24=1,MID(Osnovni_podaci!D20,3,1)="v",MID(Osnovni_podaci!D20,8,1)="r"),VLOOKUP( $B137, T_Aop[], 6, 1),A1)</f>
        <v>2. Neto gubitak tekuće godine (308+309+310-313)&gt;0 i 308&gt;0 ili (309+310-307-313)&gt;0 i 307&gt;0</v>
      </c>
      <c r="E137" s="693"/>
      <c r="F137" s="693"/>
      <c r="G137" s="693"/>
      <c r="H137" s="694"/>
      <c r="I137" s="179">
        <f>VLOOKUP( $B137, T_Aop[], 4, 1)</f>
        <v>317</v>
      </c>
      <c r="J137" s="454"/>
      <c r="K137" s="67">
        <f>IF(AND([0]!Godina=2025,MID(Osnovni_podaci!D20,3,1)="v",Osnovni_podaci!L24=2,Osnovni_podaci!G24=1,MID(Osnovni_podaci!D20,3,1)="v",MID(Osnovni_podaci!D20,8,1)="r"),IF(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IF(AND([0]!Godina=2025,MID(Osnovni_podaci!D20,3,1)="v",Osnovni_podaci!L24=2,Osnovni_podaci!G24=1,MID(Osnovni_podaci!D20,3,1)="v",MID(Osnovni_podaci!D20,8,1)="r"),IF(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160828</v>
      </c>
      <c r="N137" s="44"/>
      <c r="P137" s="183"/>
    </row>
    <row r="138" spans="2:16" ht="20.25" customHeight="1">
      <c r="B138" s="15">
        <v>256</v>
      </c>
      <c r="C138" s="58" t="str">
        <f>IF(AND([0]!Godina=2025,MID(Osnovni_podaci!D20,3,1)="v",Osnovni_podaci!L24=2,Osnovni_podaci!G24=1,MID(Osnovni_podaci!D20,3,1)="v",MID(Osnovni_podaci!D20,8,1)="r"),VLOOKUP( $B138, T_Aop[], 5, 1),A1)</f>
        <v>726</v>
      </c>
      <c r="D138" s="678" t="str">
        <f>IF(AND([0]!Godina=2025,MID(Osnovni_podaci!D20,3,1)="v",Osnovni_podaci!L24=2,Osnovni_podaci!G24=1,MID(Osnovni_podaci!D20,3,1)="v",MID(Osnovni_podaci!D20,8,1)="r"),VLOOKUP( $B138, T_Aop[], 6, 1),A1)</f>
        <v xml:space="preserve">  O. Međudividende i drugi vidovi raspodjele dobitka u toku perioda</v>
      </c>
      <c r="E138" s="679"/>
      <c r="F138" s="679"/>
      <c r="G138" s="679"/>
      <c r="H138" s="680"/>
      <c r="I138" s="59">
        <f>VLOOKUP( $B138, T_Aop[], 4, 1)</f>
        <v>318</v>
      </c>
      <c r="J138" s="456"/>
      <c r="K138" s="456"/>
      <c r="L138" s="457"/>
      <c r="N138" s="44"/>
      <c r="P138" s="183"/>
    </row>
    <row r="139" spans="2:16" ht="15.2" customHeight="1">
      <c r="B139" s="15">
        <v>257</v>
      </c>
      <c r="C139" s="66">
        <f>IF(AND([0]!Godina=2025,MID(Osnovni_podaci!D20,3,1)="v",Osnovni_podaci!L24=2,Osnovni_podaci!G24=1,MID(Osnovni_podaci!D20,3,1)="v",MID(Osnovni_podaci!D20,8,1)="r"),VLOOKUP( $B139, T_Aop[], 5, 1),A1)</f>
        <v>0</v>
      </c>
      <c r="D139" s="681" t="str">
        <f>IF(AND([0]!Godina=2025,MID(Osnovni_podaci!D20,3,1)="v",Osnovni_podaci!L24=2,Osnovni_podaci!G24=1,MID(Osnovni_podaci!D20,3,1)="v",MID(Osnovni_podaci!D20,8,1)="r"),VLOOKUP( $B139, T_Aop[], 6, 1),A1)</f>
        <v>Dio neto dobiti/gubitka koji pripada većinskim vlasnicima</v>
      </c>
      <c r="E139" s="682"/>
      <c r="F139" s="682"/>
      <c r="G139" s="682"/>
      <c r="H139" s="683"/>
      <c r="I139" s="63">
        <f>VLOOKUP( $B139, T_Aop[], 4, 1)</f>
        <v>319</v>
      </c>
      <c r="J139" s="454"/>
      <c r="K139" s="462"/>
      <c r="L139" s="463"/>
      <c r="N139" s="44"/>
      <c r="P139" s="183"/>
    </row>
    <row r="140" spans="2:16" ht="15.2" customHeight="1">
      <c r="B140" s="15">
        <v>258</v>
      </c>
      <c r="C140" s="58">
        <f>IF(AND([0]!Godina=2025,MID(Osnovni_podaci!D20,3,1)="v",Osnovni_podaci!L24=2,Osnovni_podaci!G24=1,MID(Osnovni_podaci!D20,3,1)="v",MID(Osnovni_podaci!D20,8,1)="r"),VLOOKUP( $B140, T_Aop[], 5, 1),A1)</f>
        <v>0</v>
      </c>
      <c r="D140" s="678" t="str">
        <f>IF(AND([0]!Godina=2025,MID(Osnovni_podaci!D20,3,1)="v",Osnovni_podaci!L24=2,Osnovni_podaci!G24=1,MID(Osnovni_podaci!D20,3,1)="v",MID(Osnovni_podaci!D20,8,1)="r"),VLOOKUP( $B140, T_Aop[], 6, 1),A1)</f>
        <v>Dio neto dobiti/gubitka koji pripada manjinskim vlasnicima</v>
      </c>
      <c r="E140" s="679"/>
      <c r="F140" s="679"/>
      <c r="G140" s="679"/>
      <c r="H140" s="680"/>
      <c r="I140" s="59">
        <f>VLOOKUP( $B140, T_Aop[], 4, 1)</f>
        <v>320</v>
      </c>
      <c r="J140" s="456"/>
      <c r="K140" s="456"/>
      <c r="L140" s="457"/>
      <c r="N140" s="44"/>
      <c r="P140" s="183"/>
    </row>
    <row r="141" spans="2:16" ht="15.2" customHeight="1">
      <c r="B141" s="15">
        <v>259</v>
      </c>
      <c r="C141" s="66">
        <f>VLOOKUP( $B141, T_Aop[], 5, 1)</f>
        <v>0</v>
      </c>
      <c r="D141" s="681" t="str">
        <f>VLOOKUP( $B141, T_Aop[], 6, 1)</f>
        <v>Obična zarada po akciji</v>
      </c>
      <c r="E141" s="682"/>
      <c r="F141" s="682"/>
      <c r="G141" s="682"/>
      <c r="H141" s="683"/>
      <c r="I141" s="63">
        <f>VLOOKUP( $B141, T_Aop[], 4, 1)</f>
        <v>321</v>
      </c>
      <c r="J141" s="454"/>
      <c r="K141" s="486"/>
      <c r="L141" s="487"/>
      <c r="N141" s="44"/>
      <c r="P141" s="183"/>
    </row>
    <row r="142" spans="2:16" ht="15.2" customHeight="1">
      <c r="B142" s="15">
        <v>260</v>
      </c>
      <c r="C142" s="444">
        <f>VLOOKUP( $B142, T_Aop[], 5, 1)</f>
        <v>0</v>
      </c>
      <c r="D142" s="698" t="str">
        <f>VLOOKUP( $B142, T_Aop[], 6, 1)</f>
        <v>Razrijeđena zarada po akciji</v>
      </c>
      <c r="E142" s="699"/>
      <c r="F142" s="699"/>
      <c r="G142" s="699"/>
      <c r="H142" s="700"/>
      <c r="I142" s="59">
        <f>VLOOKUP( $B142, T_Aop[], 4, 1)</f>
        <v>322</v>
      </c>
      <c r="J142" s="456"/>
      <c r="K142" s="528"/>
      <c r="L142" s="529"/>
      <c r="N142" s="44"/>
      <c r="P142" s="183"/>
    </row>
    <row r="143" spans="2:16" ht="15.2" customHeight="1">
      <c r="B143" s="15">
        <v>261</v>
      </c>
      <c r="C143" s="446">
        <f>VLOOKUP( $B143, T_Aop[], 5, 1)</f>
        <v>0</v>
      </c>
      <c r="D143" s="701" t="str">
        <f>VLOOKUP( $B143, T_Aop[], 6, 1)</f>
        <v>Prosječan broj zaposlenih po osnovu časova rada</v>
      </c>
      <c r="E143" s="702"/>
      <c r="F143" s="702"/>
      <c r="G143" s="702"/>
      <c r="H143" s="703"/>
      <c r="I143" s="63">
        <f>VLOOKUP( $B143, T_Aop[], 4, 1)</f>
        <v>323</v>
      </c>
      <c r="J143" s="454"/>
      <c r="K143" s="482">
        <v>20</v>
      </c>
      <c r="L143" s="483">
        <v>20</v>
      </c>
      <c r="N143" s="44"/>
      <c r="P143" s="183"/>
    </row>
    <row r="144" spans="2:16" ht="15.2" customHeight="1">
      <c r="B144" s="15">
        <v>262</v>
      </c>
      <c r="C144" s="448">
        <f>VLOOKUP( $B144, T_Aop[], 5, 1)</f>
        <v>0</v>
      </c>
      <c r="D144" s="695" t="str">
        <f>VLOOKUP( $B144, T_Aop[], 6, 1)</f>
        <v>Prosječan broj zaposlenih po osnovu stanja na kraju mjeseca</v>
      </c>
      <c r="E144" s="696"/>
      <c r="F144" s="696"/>
      <c r="G144" s="696"/>
      <c r="H144" s="697"/>
      <c r="I144" s="186">
        <f>VLOOKUP( $B144, T_Aop[], 4, 1)</f>
        <v>324</v>
      </c>
      <c r="J144" s="497"/>
      <c r="K144" s="484">
        <v>20</v>
      </c>
      <c r="L144" s="485">
        <v>20</v>
      </c>
      <c r="N144" s="44"/>
      <c r="P144" s="183"/>
    </row>
    <row r="145" spans="2:12" ht="15.2" customHeight="1">
      <c r="B145" s="15"/>
      <c r="C145" s="37"/>
      <c r="D145" s="40"/>
      <c r="E145" s="40"/>
      <c r="F145" s="40"/>
      <c r="G145" s="40"/>
      <c r="H145" s="40"/>
      <c r="I145" s="233"/>
    </row>
    <row r="146" spans="2:12" ht="15.2" customHeight="1">
      <c r="B146" s="15"/>
      <c r="C146" s="180" t="str">
        <f>Podnozje_U</f>
        <v>U:</v>
      </c>
      <c r="D146" s="419" t="str">
        <f>Podatak_U</f>
        <v>Bileći</v>
      </c>
      <c r="E146"/>
      <c r="F146" s="56" t="str">
        <f>Podnozje_Lice_sa_licencom</f>
        <v>Lice sa licencom:</v>
      </c>
      <c r="G146" s="8" t="str">
        <f>Podatak_Lice_sa_licencom</f>
        <v>Dragana Popara</v>
      </c>
      <c r="I146" s="37" t="str">
        <f>Podnozje_MP</f>
        <v>(M.P.)</v>
      </c>
    </row>
    <row r="147" spans="2:12" ht="15.2" customHeight="1">
      <c r="B147" s="15"/>
      <c r="C147" s="28"/>
      <c r="D147" s="127"/>
      <c r="E147" t="s">
        <v>786</v>
      </c>
      <c r="F147" s="601"/>
      <c r="G147" s="601"/>
      <c r="I147" s="78"/>
      <c r="J147" s="600" t="str">
        <f>Podnozje_Direktor</f>
        <v>Lice ovlašćeno za zastupanje:</v>
      </c>
      <c r="K147" s="600"/>
      <c r="L147" s="600"/>
    </row>
    <row r="148" spans="2:12" ht="15.2" customHeight="1">
      <c r="B148" s="15"/>
      <c r="C148" s="180" t="str">
        <f>Podnozje_Dana</f>
        <v>Dana:</v>
      </c>
      <c r="D148" s="418" t="str">
        <f>Podatak_Dana</f>
        <v>31.07.2025.</v>
      </c>
      <c r="E148"/>
      <c r="F148" s="40" t="str">
        <f>Podnozje_Broj_licence</f>
        <v>Broj licence:</v>
      </c>
      <c r="G148" t="str">
        <f>Podatak_Broj_Licence</f>
        <v>SR 1639/25</v>
      </c>
      <c r="J148" s="9"/>
      <c r="K148" s="705" t="str">
        <f>Podatak_Direktor</f>
        <v>Božo Delić</v>
      </c>
      <c r="L148" s="705"/>
    </row>
    <row r="149" spans="2:12" ht="12.75" hidden="1" customHeight="1">
      <c r="B149" s="15"/>
      <c r="D149" s="9"/>
      <c r="E149" s="40"/>
      <c r="G149" s="39"/>
      <c r="H149"/>
    </row>
    <row r="150" spans="2:12" ht="12.75" customHeight="1">
      <c r="B150" s="15"/>
      <c r="C150" s="37"/>
      <c r="D150" s="40"/>
      <c r="E150" s="40"/>
      <c r="F150" s="40"/>
      <c r="G150" s="40"/>
      <c r="I150" s="9"/>
      <c r="J150" s="37"/>
      <c r="K150" s="37"/>
    </row>
    <row r="151" spans="2:12" ht="12.75" hidden="1" customHeight="1">
      <c r="H151" s="40"/>
      <c r="I151" s="45"/>
    </row>
    <row r="152" spans="2:12" ht="12.75" customHeight="1">
      <c r="G152" s="704"/>
      <c r="H152" s="704"/>
      <c r="I152" s="233"/>
      <c r="K152" s="262"/>
      <c r="L152" s="262"/>
    </row>
    <row r="153" spans="2:12" ht="27.75" customHeight="1"/>
    <row r="160" spans="2:12"/>
    <row r="161"/>
    <row r="162"/>
    <row r="163"/>
    <row r="164"/>
    <row r="165"/>
    <row r="166"/>
    <row r="167"/>
    <row r="168"/>
  </sheetData>
  <sheetProtection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949" yWindow="445"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10;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10;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worksheet>
</file>

<file path=xl/worksheets/sheet5.xml><?xml version="1.0" encoding="utf-8"?>
<worksheet xmlns="http://schemas.openxmlformats.org/spreadsheetml/2006/main" xmlns:r="http://schemas.openxmlformats.org/officeDocument/2006/relationships">
  <sheetPr codeName="Sheet02b">
    <tabColor rgb="FFB2B2B2"/>
  </sheetPr>
  <dimension ref="A1:XFC61"/>
  <sheetViews>
    <sheetView showGridLines="0" showRowColHeaders="0" zoomScaleSheetLayoutView="100" workbookViewId="0">
      <pane xSplit="12" ySplit="4" topLeftCell="M14" activePane="bottomRight" state="frozen"/>
      <selection activeCell="S33" sqref="S33"/>
      <selection pane="topRight" activeCell="S33" sqref="S33"/>
      <selection pane="bottomLeft" activeCell="S33" sqref="S33"/>
      <selection pane="bottomRight" activeCell="L23" sqref="L23"/>
    </sheetView>
  </sheetViews>
  <sheetFormatPr defaultColWidth="0" defaultRowHeight="12.75" zeroHeight="1"/>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c r="C1" s="18"/>
      <c r="D1" s="18"/>
      <c r="E1" s="18"/>
      <c r="F1" s="18"/>
      <c r="G1" s="18"/>
      <c r="H1" s="18"/>
      <c r="I1" s="18"/>
      <c r="J1" s="18"/>
      <c r="K1" s="18"/>
    </row>
    <row r="2" spans="2:12" ht="12.75" customHeight="1">
      <c r="C2" s="18"/>
      <c r="D2" s="18"/>
      <c r="E2" s="18"/>
      <c r="F2" s="18"/>
      <c r="G2" s="18"/>
      <c r="H2" s="18"/>
      <c r="I2" s="18"/>
      <c r="J2" s="18"/>
      <c r="K2" s="18"/>
    </row>
    <row r="3" spans="2:12" ht="12.75" customHeight="1">
      <c r="C3" s="18"/>
      <c r="D3" s="18"/>
      <c r="E3" s="18"/>
      <c r="F3" s="18"/>
      <c r="G3" s="18"/>
      <c r="H3" s="18"/>
      <c r="I3" s="18"/>
      <c r="J3" s="18"/>
      <c r="K3" s="18"/>
    </row>
    <row r="4" spans="2:12" ht="12.75" customHeight="1">
      <c r="C4" s="138"/>
      <c r="D4" s="138"/>
      <c r="E4" s="138"/>
      <c r="F4" s="138"/>
      <c r="G4" s="138"/>
      <c r="H4" s="138"/>
      <c r="I4" s="138"/>
      <c r="J4" s="138"/>
      <c r="K4" s="138"/>
    </row>
    <row r="5" spans="2:12" ht="12.75" customHeight="1">
      <c r="B5" s="15"/>
      <c r="C5" s="646" t="str">
        <f>Zaglavlje_Naziv_preduzeca</f>
        <v xml:space="preserve">Naziv privrednog društva, zadruge, drugog pravnog lica ili preduzetnika: </v>
      </c>
      <c r="D5" s="646"/>
      <c r="E5" s="646"/>
      <c r="L5" s="392" t="str">
        <f>Podatak_MB</f>
        <v>01937189</v>
      </c>
    </row>
    <row r="6" spans="2:12" ht="12.75" customHeight="1">
      <c r="B6" s="15"/>
      <c r="C6" s="646"/>
      <c r="D6" s="646"/>
      <c r="E6" s="646"/>
      <c r="F6" s="9"/>
      <c r="L6" s="421" t="str">
        <f>Zaglavlje_MB</f>
        <v>Matični broj</v>
      </c>
    </row>
    <row r="7" spans="2:12" ht="12.75" customHeight="1">
      <c r="B7" s="15"/>
      <c r="C7" s="735" t="str">
        <f>Podatak_Naziv_preduzeca</f>
        <v>Javno preduzeće Komus akcionarsko društvo</v>
      </c>
      <c r="D7" s="735"/>
      <c r="E7" s="735"/>
      <c r="F7" s="735"/>
      <c r="L7" s="392" t="str">
        <f>Podatak_Sifra_djelatnosti</f>
        <v>38.11</v>
      </c>
    </row>
    <row r="8" spans="2:12" ht="12.75" customHeight="1">
      <c r="B8" s="15"/>
      <c r="C8" s="125" t="str">
        <f>Zaglavlje_Sjediste</f>
        <v>Sjedište:</v>
      </c>
      <c r="D8" s="737" t="str">
        <f>Podatak_Sjediste</f>
        <v>Svetog Vasilija Ostroškog 5 Bileća</v>
      </c>
      <c r="E8" s="737"/>
      <c r="F8" s="737"/>
      <c r="L8" s="421" t="str">
        <f>Zaglavlje_Sifra_djelatnosti</f>
        <v>Šifra djelatnosti</v>
      </c>
    </row>
    <row r="9" spans="2:12" ht="12.75" customHeight="1">
      <c r="B9" s="15"/>
      <c r="C9" s="657" t="str">
        <f>Zaglavlje_Ziro_racun</f>
        <v>Račun kod ovlašćene organizacije za platni promet:</v>
      </c>
      <c r="D9" s="657"/>
      <c r="E9" s="657"/>
      <c r="F9" s="244"/>
      <c r="L9" s="392" t="str">
        <f>Podatak_JIB</f>
        <v>4401376020001</v>
      </c>
    </row>
    <row r="10" spans="2:12" ht="12.75" customHeight="1">
      <c r="B10" s="15"/>
      <c r="C10" s="736" t="str">
        <f>Podatak_Ziro_racun_1</f>
        <v>562-008-00000026-25</v>
      </c>
      <c r="D10" s="736"/>
      <c r="E10" s="736"/>
      <c r="F10" s="736"/>
      <c r="K10" s="734" t="str">
        <f>Zaglavlje_JIB</f>
        <v>JIB</v>
      </c>
      <c r="L10" s="734"/>
    </row>
    <row r="11" spans="2:12" ht="12.75" customHeight="1">
      <c r="B11" s="15"/>
      <c r="C11" s="736" t="str">
        <f>Podatak_Ziro_racun_2</f>
        <v>552-003-00007081-13</v>
      </c>
      <c r="D11" s="736"/>
      <c r="E11" s="736"/>
      <c r="F11" s="736"/>
    </row>
    <row r="12" spans="2:12" ht="12.75" customHeight="1">
      <c r="B12" s="15"/>
      <c r="C12" s="691" t="str">
        <f>Podatak_Ziro_racun_3</f>
        <v/>
      </c>
      <c r="D12" s="691"/>
      <c r="E12" s="691"/>
      <c r="F12" s="691"/>
    </row>
    <row r="13" spans="2:12" ht="12.75" customHeight="1">
      <c r="B13" s="15"/>
      <c r="C13" s="691" t="str">
        <f>Podatak_Ziro_racun_4</f>
        <v/>
      </c>
      <c r="D13" s="691"/>
      <c r="E13" s="691"/>
      <c r="F13" s="691"/>
      <c r="G13" s="18"/>
      <c r="H13" s="18"/>
      <c r="I13" s="18"/>
      <c r="J13"/>
      <c r="K13"/>
    </row>
    <row r="14" spans="2:12" ht="15.75" customHeight="1">
      <c r="B14" s="15"/>
      <c r="C14" s="671" t="str">
        <f>IF( Id_Konsolidovani, Nazivi_bilansa_Konsolidovani_naziv &amp; LOWER( Nazivi_bilansa_BUb), Nazivi_bilansa_BUb)</f>
        <v>Izvještaj</v>
      </c>
      <c r="D14" s="671"/>
      <c r="E14" s="671"/>
      <c r="F14" s="671"/>
      <c r="G14" s="671"/>
      <c r="H14" s="671"/>
      <c r="I14" s="671"/>
      <c r="J14" s="671"/>
      <c r="K14" s="671"/>
      <c r="L14" s="671"/>
    </row>
    <row r="15" spans="2:12" ht="14.25">
      <c r="B15" s="15"/>
      <c r="C15" s="738" t="str">
        <f>Nazivi_bilansa_BUb1</f>
        <v>o ostalom rezultatu u periodu</v>
      </c>
      <c r="D15" s="738"/>
      <c r="E15" s="738"/>
      <c r="F15" s="738"/>
      <c r="G15" s="738"/>
      <c r="H15" s="738"/>
      <c r="I15" s="738"/>
      <c r="J15" s="738"/>
      <c r="K15" s="738"/>
      <c r="L15" s="738"/>
    </row>
    <row r="16" spans="2:12" ht="12.75" customHeight="1">
      <c r="B16" s="15"/>
      <c r="C16" s="656" t="str">
        <f>Datumi_Datum_BU</f>
        <v>za period od 01.01. do 30.06.2025. godine</v>
      </c>
      <c r="D16" s="656"/>
      <c r="E16" s="656"/>
      <c r="F16" s="656"/>
      <c r="G16" s="656"/>
      <c r="H16" s="656"/>
      <c r="I16" s="656"/>
      <c r="J16" s="656"/>
      <c r="K16" s="656"/>
      <c r="L16" s="656"/>
    </row>
    <row r="17" spans="2:16" ht="12.75" customHeight="1">
      <c r="B17" s="15"/>
      <c r="C17" s="41"/>
      <c r="D17" s="41"/>
      <c r="E17" s="41"/>
      <c r="F17" s="41"/>
      <c r="G17" s="41"/>
      <c r="H17" s="41"/>
      <c r="I17" s="41"/>
      <c r="J17" s="41"/>
      <c r="L17" s="21" t="str">
        <f>Tabele_zaglavlje_Valuta</f>
        <v>- u konvertibilnim markama -</v>
      </c>
    </row>
    <row r="18" spans="2:16" ht="12.75" customHeight="1">
      <c r="B18" s="15"/>
      <c r="C18" s="728" t="str">
        <f>Tabele_zaglavlje_Grupa_racuna</f>
        <v>Grupa računa, račun</v>
      </c>
      <c r="D18" s="730" t="str">
        <f>Tabele_zaglavlje_Pozicija</f>
        <v>POZICIJA</v>
      </c>
      <c r="E18" s="730"/>
      <c r="F18" s="730"/>
      <c r="G18" s="730"/>
      <c r="H18" s="730"/>
      <c r="I18" s="739" t="str">
        <f>Tabele_zaglavlje_Oznaka_aop</f>
        <v>Oznaka za AOP</v>
      </c>
      <c r="J18" s="739" t="str">
        <f>Tabele_zaglavlje_Napomena_aop</f>
        <v>Napomena</v>
      </c>
      <c r="K18" s="686" t="str">
        <f>Tabele_zaglavlje_Iznos</f>
        <v>Iznos</v>
      </c>
      <c r="L18" s="741"/>
    </row>
    <row r="19" spans="2:16" ht="25.5" customHeight="1">
      <c r="B19" s="15"/>
      <c r="C19" s="729"/>
      <c r="D19" s="731"/>
      <c r="E19" s="731"/>
      <c r="F19" s="731"/>
      <c r="G19" s="731"/>
      <c r="H19" s="731"/>
      <c r="I19" s="740"/>
      <c r="J19" s="740"/>
      <c r="K19" s="42" t="str">
        <f>Tabele_zaglavlje_Tekuca_godina</f>
        <v>Tekuća godina</v>
      </c>
      <c r="L19" s="43" t="str">
        <f>Tabele_zaglavlje_Prethodna_godina</f>
        <v>Prethodna godina</v>
      </c>
      <c r="P19" s="134" t="s">
        <v>490</v>
      </c>
    </row>
    <row r="20" spans="2:16" ht="12.75" customHeight="1">
      <c r="B20" s="12" t="s">
        <v>123</v>
      </c>
      <c r="C20" s="69">
        <v>1</v>
      </c>
      <c r="D20" s="732">
        <v>2</v>
      </c>
      <c r="E20" s="732"/>
      <c r="F20" s="732"/>
      <c r="G20" s="732"/>
      <c r="H20" s="732"/>
      <c r="I20" s="70">
        <v>3</v>
      </c>
      <c r="J20" s="70">
        <v>4</v>
      </c>
      <c r="K20" s="70">
        <v>5</v>
      </c>
      <c r="L20" s="409">
        <v>6</v>
      </c>
    </row>
    <row r="21" spans="2:16" ht="12.75" customHeight="1">
      <c r="B21" s="15">
        <v>263</v>
      </c>
      <c r="C21" s="72">
        <f>VLOOKUP( $B21, T_Aop[], 5, 1)</f>
        <v>0</v>
      </c>
      <c r="D21" s="733" t="str">
        <f>VLOOKUP( $B21, T_Aop[], 6, 1)</f>
        <v>A  NETO DOBIT ILI NETO GUBITAK PERIODA</v>
      </c>
      <c r="E21" s="733"/>
      <c r="F21" s="733"/>
      <c r="G21" s="733"/>
      <c r="H21" s="733"/>
      <c r="I21" s="504">
        <f>VLOOKUP( $B21, T_Aop[], 4, 1)</f>
        <v>400</v>
      </c>
      <c r="J21" s="512"/>
      <c r="K21" s="517">
        <f>'02a'!K136-'02a'!K137</f>
        <v>252624</v>
      </c>
      <c r="L21" s="518">
        <f>'02a'!L136-'02a'!L137</f>
        <v>-160828</v>
      </c>
      <c r="P21" s="27"/>
    </row>
    <row r="22" spans="2:16" ht="27" customHeight="1">
      <c r="B22" s="15">
        <v>264</v>
      </c>
      <c r="C22" s="66">
        <f>VLOOKUP( $B22, T_Aop[], 5, 1)</f>
        <v>0</v>
      </c>
      <c r="D22" s="723" t="str">
        <f>VLOOKUP( $B22, T_Aop[], 6, 1)</f>
        <v xml:space="preserve">    1. Stavke koje mogu biti reklasifikovane u bilans uspjeha (±402+403±404±405±406±407)</v>
      </c>
      <c r="E22" s="723"/>
      <c r="F22" s="723"/>
      <c r="G22" s="723"/>
      <c r="H22" s="723"/>
      <c r="I22" s="63">
        <f>VLOOKUP( $B22, T_Aop[], 4, 1)</f>
        <v>401</v>
      </c>
      <c r="J22" s="513"/>
      <c r="K22" s="501">
        <f>SUBTOTAL( 9, K23:K26,K28)-SUBTOTAL( 9, K27)</f>
        <v>0</v>
      </c>
      <c r="L22" s="499">
        <f>SUBTOTAL( 9, L23:L26,L28)-SUBTOTAL( 9, L27)</f>
        <v>0</v>
      </c>
      <c r="P22" s="27"/>
    </row>
    <row r="23" spans="2:16" ht="29.25" customHeight="1">
      <c r="B23" s="15">
        <v>265</v>
      </c>
      <c r="C23" s="58" t="str">
        <f>VLOOKUP( $B23, T_Aop[], 5, 1)</f>
        <v>Promjena na 332 i 333</v>
      </c>
      <c r="D23" s="721" t="str">
        <f>VLOOKUP( $B23, T_Aop[], 6, 1)</f>
        <v xml:space="preserve">      1.1 Povećanje/(smanjenje) fer vrijednosti dužničkih instrumenata po fer vrijednosti kroz ostali ukupan rezultat</v>
      </c>
      <c r="E23" s="721"/>
      <c r="F23" s="721"/>
      <c r="G23" s="721"/>
      <c r="H23" s="721"/>
      <c r="I23" s="59">
        <f>VLOOKUP( $B23, T_Aop[], 4, 1)</f>
        <v>402</v>
      </c>
      <c r="J23" s="500"/>
      <c r="K23" s="515"/>
      <c r="L23" s="411"/>
      <c r="P23" s="133" t="s">
        <v>313</v>
      </c>
    </row>
    <row r="24" spans="2:16" ht="25.5">
      <c r="B24" s="15">
        <v>266</v>
      </c>
      <c r="C24" s="66" t="str">
        <f>VLOOKUP( $B24, T_Aop[], 5, 1)</f>
        <v>Promjena na 331</v>
      </c>
      <c r="D24" s="723" t="str">
        <f>VLOOKUP( $B24, T_Aop[], 6, 1)</f>
        <v xml:space="preserve">      1.2 Efekti proistekli iz transakcija zaštite ("hedging")</v>
      </c>
      <c r="E24" s="723"/>
      <c r="F24" s="723"/>
      <c r="G24" s="723"/>
      <c r="H24" s="723"/>
      <c r="I24" s="63">
        <f>VLOOKUP( $B24, T_Aop[], 4, 1)</f>
        <v>403</v>
      </c>
      <c r="J24" s="513"/>
      <c r="K24" s="165"/>
      <c r="L24" s="166"/>
      <c r="P24"/>
    </row>
    <row r="25" spans="2:16" ht="23.65" customHeight="1">
      <c r="B25" s="15">
        <v>267</v>
      </c>
      <c r="C25" s="58">
        <f>VLOOKUP( $B25, T_Aop[], 5, 1)</f>
        <v>0</v>
      </c>
      <c r="D25" s="721" t="str">
        <f>VLOOKUP( $B25, T_Aop[], 6, 1)</f>
        <v xml:space="preserve">      1.3 Udio u ostalom ukupnom rezultatu pridruženog društva i zajedničkog poduhvata primjenom metode udjela</v>
      </c>
      <c r="E25" s="721"/>
      <c r="F25" s="721"/>
      <c r="G25" s="721"/>
      <c r="H25" s="721"/>
      <c r="I25" s="59">
        <f>VLOOKUP( $B25, T_Aop[], 4, 1)</f>
        <v>404</v>
      </c>
      <c r="J25" s="500"/>
      <c r="K25" s="163"/>
      <c r="L25" s="164"/>
      <c r="P25"/>
    </row>
    <row r="26" spans="2:16" ht="25.5" customHeight="1">
      <c r="B26" s="15">
        <v>268</v>
      </c>
      <c r="C26" s="66">
        <f>VLOOKUP( $B26, T_Aop[], 5, 1)</f>
        <v>0</v>
      </c>
      <c r="D26" s="723" t="str">
        <f>VLOOKUP( $B26, T_Aop[], 6, 1)</f>
        <v xml:space="preserve">      1.4 Dobici ili gubici po osnovu konverzije finansijskih izvještaja inostranog poslovanja</v>
      </c>
      <c r="E26" s="723"/>
      <c r="F26" s="723"/>
      <c r="G26" s="723"/>
      <c r="H26" s="723"/>
      <c r="I26" s="63">
        <f>VLOOKUP( $B26, T_Aop[], 4, 1)</f>
        <v>405</v>
      </c>
      <c r="J26" s="513"/>
      <c r="K26" s="412"/>
      <c r="L26" s="413"/>
      <c r="P26"/>
    </row>
    <row r="27" spans="2:16" ht="24.2" customHeight="1">
      <c r="B27" s="15">
        <v>269</v>
      </c>
      <c r="C27" s="58" t="str">
        <f>VLOOKUP( $B27, T_Aop[], 5, 1)</f>
        <v>Promjena na 339, dio</v>
      </c>
      <c r="D27" s="721" t="str">
        <f>VLOOKUP( $B27, T_Aop[], 6, 1)</f>
        <v xml:space="preserve">      1.5 Ostale stavke koje mogu biti reklasifikovane u bilans uspjeha</v>
      </c>
      <c r="E27" s="721"/>
      <c r="F27" s="721"/>
      <c r="G27" s="721"/>
      <c r="H27" s="721"/>
      <c r="I27" s="59">
        <f>VLOOKUP( $B27, T_Aop[], 4, 1)</f>
        <v>406</v>
      </c>
      <c r="J27" s="500"/>
      <c r="K27" s="163"/>
      <c r="L27" s="164"/>
      <c r="P27"/>
    </row>
    <row r="28" spans="2:16" ht="12.75" customHeight="1">
      <c r="B28" s="15">
        <v>270</v>
      </c>
      <c r="C28" s="66">
        <f>VLOOKUP( $B28, T_Aop[], 5, 1)</f>
        <v>0</v>
      </c>
      <c r="D28" s="723" t="str">
        <f>VLOOKUP( $B28, T_Aop[], 6, 1)</f>
        <v xml:space="preserve">      1.6  Odloženi porez na dobit koji se odnosi na ove stavke </v>
      </c>
      <c r="E28" s="723"/>
      <c r="F28" s="723"/>
      <c r="G28" s="723"/>
      <c r="H28" s="723"/>
      <c r="I28" s="63">
        <f>VLOOKUP( $B28, T_Aop[], 4, 1)</f>
        <v>407</v>
      </c>
      <c r="J28" s="513"/>
      <c r="K28" s="165"/>
      <c r="L28" s="166"/>
      <c r="P28"/>
    </row>
    <row r="29" spans="2:16" ht="20.25" customHeight="1">
      <c r="B29" s="15">
        <v>271</v>
      </c>
      <c r="C29" s="58">
        <f>VLOOKUP( $B29, T_Aop[], 5, 1)</f>
        <v>0</v>
      </c>
      <c r="D29" s="722" t="str">
        <f>VLOOKUP( $B29, T_Aop[], 6, 1)</f>
        <v xml:space="preserve">    2.  Stavke koje neće biti reklasifikovane u bilans uspjeha (± 409± 410 ± 411 ± 412 ± 413 ± 414)</v>
      </c>
      <c r="E29" s="722"/>
      <c r="F29" s="722"/>
      <c r="G29" s="722"/>
      <c r="H29" s="722"/>
      <c r="I29" s="59">
        <f>VLOOKUP( $B29, T_Aop[], 4, 1)</f>
        <v>408</v>
      </c>
      <c r="J29" s="500"/>
      <c r="K29" s="451">
        <f>SUBTOTAL( 9, K30:K35)</f>
        <v>0</v>
      </c>
      <c r="L29" s="452">
        <f>SUBTOTAL( 9, L30:L35)</f>
        <v>0</v>
      </c>
      <c r="P29"/>
    </row>
    <row r="30" spans="2:16" ht="25.5">
      <c r="B30" s="15">
        <v>272</v>
      </c>
      <c r="C30" s="66" t="str">
        <f>VLOOKUP( $B30, T_Aop[], 5, 1)</f>
        <v>Promjena na 330</v>
      </c>
      <c r="D30" s="723" t="str">
        <f>VLOOKUP( $B30, T_Aop[], 6, 1)</f>
        <v xml:space="preserve">      2.1 Revalorizacija nekretnina, postrojenja, opreme i nematerijalne imovine</v>
      </c>
      <c r="E30" s="723"/>
      <c r="F30" s="723"/>
      <c r="G30" s="723"/>
      <c r="H30" s="723"/>
      <c r="I30" s="63">
        <f>VLOOKUP( $B30, T_Aop[], 4, 1)</f>
        <v>409</v>
      </c>
      <c r="J30" s="513"/>
      <c r="K30" s="412"/>
      <c r="L30" s="413"/>
      <c r="P30"/>
    </row>
    <row r="31" spans="2:16" ht="25.5">
      <c r="B31" s="15">
        <v>273</v>
      </c>
      <c r="C31" s="58" t="str">
        <f>VLOOKUP( $B31, T_Aop[], 5, 1)</f>
        <v>Promjena na 332 i 333</v>
      </c>
      <c r="D31" s="721" t="str">
        <f>VLOOKUP( $B31, T_Aop[], 6, 1)</f>
        <v xml:space="preserve">      2.2  Povećanje/(smanjenje) fer vrijednosti vlasničkih instrumenata po fer vrijednosti kroz ostali ukupan rezultat</v>
      </c>
      <c r="E31" s="721"/>
      <c r="F31" s="721"/>
      <c r="G31" s="721"/>
      <c r="H31" s="721"/>
      <c r="I31" s="59">
        <f>VLOOKUP( $B31, T_Aop[], 4, 1)</f>
        <v>410</v>
      </c>
      <c r="J31" s="500"/>
      <c r="K31" s="410"/>
      <c r="L31" s="411"/>
      <c r="P31"/>
    </row>
    <row r="32" spans="2:16" ht="23.65" customHeight="1">
      <c r="B32" s="15">
        <v>274</v>
      </c>
      <c r="C32" s="66" t="str">
        <f>VLOOKUP( $B32, T_Aop[], 5, 1)</f>
        <v>Promjena na 339, dio</v>
      </c>
      <c r="D32" s="723" t="str">
        <f>VLOOKUP( $B32, T_Aop[], 6, 1)</f>
        <v xml:space="preserve">      2.3  Aktuarski dobici/(gubici) od planova definisanih primanja</v>
      </c>
      <c r="E32" s="723"/>
      <c r="F32" s="723"/>
      <c r="G32" s="723"/>
      <c r="H32" s="723"/>
      <c r="I32" s="63">
        <f>VLOOKUP( $B32, T_Aop[], 4, 1)</f>
        <v>411</v>
      </c>
      <c r="J32" s="513"/>
      <c r="K32" s="516"/>
      <c r="L32" s="573"/>
      <c r="P32"/>
    </row>
    <row r="33" spans="2:16" ht="24.2" customHeight="1">
      <c r="B33" s="15">
        <v>275</v>
      </c>
      <c r="C33" s="58">
        <f>VLOOKUP( $B33, T_Aop[], 5, 1)</f>
        <v>0</v>
      </c>
      <c r="D33" s="721" t="str">
        <f>VLOOKUP( $B33, T_Aop[], 6, 1)</f>
        <v xml:space="preserve">      2.4 Udio u ostalom ukupnom rezultatu pridruženog društva i zajedničkog poduhvata primjenom metode udjela</v>
      </c>
      <c r="E33" s="721"/>
      <c r="F33" s="721"/>
      <c r="G33" s="721"/>
      <c r="H33" s="721"/>
      <c r="I33" s="59">
        <f>VLOOKUP( $B33, T_Aop[], 4, 1)</f>
        <v>412</v>
      </c>
      <c r="J33" s="500"/>
      <c r="K33" s="410"/>
      <c r="L33" s="411"/>
      <c r="P33"/>
    </row>
    <row r="34" spans="2:16" ht="25.5" customHeight="1">
      <c r="B34" s="15">
        <v>276</v>
      </c>
      <c r="C34" s="66" t="str">
        <f>VLOOKUP( $B34, T_Aop[], 5, 1)</f>
        <v>Promjena na 339, dio</v>
      </c>
      <c r="D34" s="723" t="str">
        <f>VLOOKUP( $B34, T_Aop[], 6, 1)</f>
        <v xml:space="preserve">      2.5 Ostale stavke koje neće biti reklasifikovane u bilans uspjeha</v>
      </c>
      <c r="E34" s="723"/>
      <c r="F34" s="723"/>
      <c r="G34" s="723"/>
      <c r="H34" s="723"/>
      <c r="I34" s="63">
        <f>VLOOKUP( $B34, T_Aop[], 4, 1)</f>
        <v>413</v>
      </c>
      <c r="J34" s="513"/>
      <c r="K34" s="412"/>
      <c r="L34" s="413"/>
      <c r="P34"/>
    </row>
    <row r="35" spans="2:16" ht="12.75" customHeight="1">
      <c r="B35" s="15">
        <v>277</v>
      </c>
      <c r="C35" s="58">
        <f>VLOOKUP( $B35, T_Aop[], 5, 1)</f>
        <v>0</v>
      </c>
      <c r="D35" s="721" t="str">
        <f>VLOOKUP( $B35, T_Aop[], 6, 1)</f>
        <v xml:space="preserve">      2.6 Odloženi porez na dobit koji se odnosi na ove stavke</v>
      </c>
      <c r="E35" s="721"/>
      <c r="F35" s="721"/>
      <c r="G35" s="721"/>
      <c r="H35" s="721"/>
      <c r="I35" s="59">
        <f>VLOOKUP( $B35, T_Aop[], 4, 1)</f>
        <v>414</v>
      </c>
      <c r="J35" s="500"/>
      <c r="K35" s="163"/>
      <c r="L35" s="164"/>
      <c r="P35"/>
    </row>
    <row r="36" spans="2:16" ht="12.75" customHeight="1">
      <c r="B36" s="15">
        <v>278</v>
      </c>
      <c r="C36" s="66">
        <f>VLOOKUP( $B36, T_Aop[], 5, 1)</f>
        <v>0</v>
      </c>
      <c r="D36" s="727" t="str">
        <f>VLOOKUP( $B36, T_Aop[], 6, 1)</f>
        <v xml:space="preserve">  B. OSTALA DOBIT/GUBITAK U PERIODU (± 401 ± 408)</v>
      </c>
      <c r="E36" s="727"/>
      <c r="F36" s="727"/>
      <c r="G36" s="727"/>
      <c r="H36" s="727"/>
      <c r="I36" s="179">
        <f>VLOOKUP( $B36, T_Aop[], 4, 1)</f>
        <v>415</v>
      </c>
      <c r="J36" s="513"/>
      <c r="K36" s="73">
        <f>SUBTOTAL( 9, K23:K26,K28)-SUBTOTAL( 9, K27)+ SUBTOTAL( 9, K29:K35)</f>
        <v>0</v>
      </c>
      <c r="L36" s="74">
        <f>SUBTOTAL( 9, L23:L26,L28)-SUBTOTAL( 9, L27)+ SUBTOTAL( 9, L29:L35)</f>
        <v>0</v>
      </c>
      <c r="P36"/>
    </row>
    <row r="37" spans="2:16" ht="16.5" customHeight="1">
      <c r="B37" s="15">
        <v>279</v>
      </c>
      <c r="C37" s="58">
        <f>VLOOKUP( $B37, T_Aop[], 5, 1)</f>
        <v>0</v>
      </c>
      <c r="D37" s="726" t="str">
        <f>VLOOKUP( $B37, T_Aop[], 6, 1)</f>
        <v/>
      </c>
      <c r="E37" s="726"/>
      <c r="F37" s="726"/>
      <c r="G37" s="726"/>
      <c r="H37" s="726"/>
      <c r="I37" s="59">
        <f>VLOOKUP( $B37, T_Aop[], 4, 1)</f>
        <v>0</v>
      </c>
      <c r="J37" s="500"/>
      <c r="K37" s="163"/>
      <c r="L37" s="164"/>
      <c r="P37"/>
    </row>
    <row r="38" spans="2:16" ht="16.5" customHeight="1">
      <c r="B38" s="15">
        <v>280</v>
      </c>
      <c r="C38" s="66">
        <f>VLOOKUP( $B38, T_Aop[], 5, 1)</f>
        <v>0</v>
      </c>
      <c r="D38" s="727" t="str">
        <f>VLOOKUP( $B38, T_Aop[], 6, 1)</f>
        <v xml:space="preserve"> V. UKUPNA DOBIT / (GUBITAK) (400± 415)</v>
      </c>
      <c r="E38" s="727"/>
      <c r="F38" s="727"/>
      <c r="G38" s="727"/>
      <c r="H38" s="727"/>
      <c r="I38" s="179">
        <f>VLOOKUP( $B38, T_Aop[], 4, 1)</f>
        <v>416</v>
      </c>
      <c r="J38" s="513"/>
      <c r="K38" s="73">
        <f>SUBTOTAL( 9, K22:K26,K28,K21)-SUBTOTAL( 9, K27)+ SUBTOTAL( 9, K29:K35)</f>
        <v>252624</v>
      </c>
      <c r="L38" s="74">
        <f>SUBTOTAL( 9, L22:L26,L28,L21)-SUBTOTAL( 9, L27)+ SUBTOTAL( 9, L29:L35)</f>
        <v>-160828</v>
      </c>
      <c r="P38" s="27"/>
    </row>
    <row r="39" spans="2:16" ht="12" customHeight="1">
      <c r="B39" s="15">
        <v>281</v>
      </c>
      <c r="C39" s="58">
        <f>VLOOKUP( $B39, T_Aop[], 5, 1)</f>
        <v>0</v>
      </c>
      <c r="D39" s="726" t="str">
        <f>VLOOKUP( $B39, T_Aop[], 6, 1)</f>
        <v xml:space="preserve"> </v>
      </c>
      <c r="E39" s="726"/>
      <c r="F39" s="726"/>
      <c r="G39" s="726"/>
      <c r="H39" s="726"/>
      <c r="I39" s="59">
        <f>VLOOKUP( $B39, T_Aop[], 4, 1)</f>
        <v>0</v>
      </c>
      <c r="J39" s="500"/>
      <c r="K39" s="163"/>
      <c r="L39" s="164"/>
      <c r="P39" s="27"/>
    </row>
    <row r="40" spans="2:16" ht="17.25" customHeight="1">
      <c r="B40" s="15">
        <v>282</v>
      </c>
      <c r="C40" s="66"/>
      <c r="D40" s="723" t="str">
        <f>VLOOKUP( $B40, T_Aop[], 6, 1)</f>
        <v>Dio ukupne dobiti/gubitka koji pripada većinskim vlasnicima</v>
      </c>
      <c r="E40" s="723"/>
      <c r="F40" s="723"/>
      <c r="G40" s="723"/>
      <c r="H40" s="723"/>
      <c r="I40" s="63">
        <f>VLOOKUP( $B40, T_Aop[], 4, 1)</f>
        <v>417</v>
      </c>
      <c r="J40" s="513"/>
      <c r="K40" s="412"/>
      <c r="L40" s="413"/>
      <c r="P40" s="27"/>
    </row>
    <row r="41" spans="2:16" ht="17.25" customHeight="1">
      <c r="B41" s="15">
        <v>283</v>
      </c>
      <c r="C41" s="191">
        <f>VLOOKUP( $B41, T_Aop[], 5, 1)</f>
        <v>0</v>
      </c>
      <c r="D41" s="725" t="str">
        <f>VLOOKUP( $B41, T_Aop[], 6, 1)</f>
        <v>Dio ukupne dobiti/gubitka koji pripada manjinskim vlasnicima</v>
      </c>
      <c r="E41" s="725"/>
      <c r="F41" s="725"/>
      <c r="G41" s="725"/>
      <c r="H41" s="725"/>
      <c r="I41" s="186">
        <f>VLOOKUP( $B41, T_Aop[], 4, 1)</f>
        <v>418</v>
      </c>
      <c r="J41" s="514"/>
      <c r="K41" s="507"/>
      <c r="L41" s="508"/>
      <c r="P41" s="27"/>
    </row>
    <row r="42" spans="2:16" ht="12.75" customHeight="1">
      <c r="C42" s="37"/>
      <c r="D42" s="40"/>
      <c r="E42" s="40"/>
      <c r="F42" s="40"/>
      <c r="G42" s="40"/>
      <c r="H42" s="40"/>
      <c r="I42" s="233"/>
      <c r="J42" s="37"/>
      <c r="K42" s="37"/>
    </row>
    <row r="43" spans="2:16" ht="15.2" customHeight="1">
      <c r="C43" s="180" t="str">
        <f>Podnozje_U</f>
        <v>U:</v>
      </c>
      <c r="D43" s="419" t="str">
        <f>Podatak_U</f>
        <v>Bileći</v>
      </c>
      <c r="E43"/>
      <c r="F43" s="1" t="str">
        <f>Podnozje_Lice_sa_licencom</f>
        <v>Lice sa licencom:</v>
      </c>
      <c r="G43" s="1" t="str">
        <f>Podatak_Lice_sa_licencom</f>
        <v>Dragana Popara</v>
      </c>
      <c r="I43" s="37" t="str">
        <f>Podnozje_MP</f>
        <v>(M.P.)</v>
      </c>
      <c r="K43" s="1" t="str">
        <f>Podnozje_Direktor</f>
        <v>Lice ovlašćeno za zastupanje:</v>
      </c>
    </row>
    <row r="44" spans="2:16" ht="17.25" customHeight="1">
      <c r="C44" s="28"/>
      <c r="D44" s="127"/>
      <c r="E44"/>
      <c r="F44" s="39" t="str">
        <f>Podnozje_Broj_licence</f>
        <v>Broj licence:</v>
      </c>
      <c r="G44" s="39" t="str">
        <f>Podatak_Broj_Licence</f>
        <v>SR 1639/25</v>
      </c>
      <c r="H44" s="510"/>
      <c r="I44"/>
      <c r="K44" s="510" t="str">
        <f>Podatak_Direktor</f>
        <v>Božo Delić</v>
      </c>
    </row>
    <row r="45" spans="2:16" ht="12.75" customHeight="1">
      <c r="C45" s="180" t="str">
        <f>Podnozje_Dana</f>
        <v>Dana:</v>
      </c>
      <c r="D45" s="418" t="str">
        <f>Podatak_Dana</f>
        <v>31.07.2025.</v>
      </c>
      <c r="E45"/>
      <c r="F45" s="724"/>
      <c r="G45" s="724"/>
      <c r="J45" s="526"/>
      <c r="K45" s="420"/>
      <c r="L45" s="527"/>
    </row>
    <row r="46" spans="2:16" ht="12.75" customHeight="1">
      <c r="C46" s="180"/>
      <c r="D46" s="520"/>
      <c r="E46"/>
      <c r="F46" s="84"/>
      <c r="G46" s="84"/>
      <c r="J46" s="526"/>
      <c r="K46" s="526"/>
    </row>
    <row r="47" spans="2:16" ht="12.75" hidden="1" customHeight="1">
      <c r="F47" s="40"/>
      <c r="G47" s="40"/>
      <c r="H47" s="40"/>
      <c r="I47" s="9"/>
      <c r="J47" s="37"/>
      <c r="K47" s="37"/>
    </row>
    <row r="48" spans="2:16" ht="12.75" hidden="1" customHeight="1"/>
    <row r="61"/>
  </sheetData>
  <sheetProtection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10;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worksheet>
</file>

<file path=xl/worksheets/sheet6.xml><?xml version="1.0" encoding="utf-8"?>
<worksheet xmlns="http://schemas.openxmlformats.org/spreadsheetml/2006/main" xmlns:r="http://schemas.openxmlformats.org/officeDocument/2006/relationships">
  <sheetPr codeName="Sheet03">
    <tabColor rgb="FFB2B2B2"/>
  </sheetPr>
  <dimension ref="A1:IU100"/>
  <sheetViews>
    <sheetView showGridLines="0" showRowColHeaders="0" zoomScaleSheetLayoutView="100" workbookViewId="0">
      <pane ySplit="4" topLeftCell="A65" activePane="bottomLeft" state="frozen"/>
      <selection activeCell="K31" sqref="K31"/>
      <selection pane="bottomLeft" activeCell="L35" sqref="L35"/>
    </sheetView>
  </sheetViews>
  <sheetFormatPr defaultColWidth="0" defaultRowHeight="12.75" zeroHeight="1"/>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c r="C1" s="18"/>
      <c r="D1" s="18"/>
      <c r="E1" s="18"/>
      <c r="F1" s="18"/>
      <c r="G1" s="18"/>
      <c r="H1" s="18"/>
      <c r="I1" s="18"/>
      <c r="J1" s="18"/>
      <c r="K1" s="18"/>
    </row>
    <row r="2" spans="3:12">
      <c r="C2" s="18"/>
      <c r="D2" s="18"/>
      <c r="E2" s="18"/>
      <c r="F2" s="18"/>
      <c r="G2" s="18"/>
      <c r="H2" s="18"/>
      <c r="I2" s="18"/>
      <c r="J2" s="18"/>
      <c r="K2" s="18"/>
    </row>
    <row r="3" spans="3:12">
      <c r="C3" s="18"/>
      <c r="D3" s="18"/>
      <c r="E3" s="18"/>
      <c r="F3" s="18"/>
      <c r="G3" s="18"/>
      <c r="H3" s="18"/>
      <c r="I3" s="18"/>
      <c r="J3" s="18"/>
      <c r="K3" s="18"/>
    </row>
    <row r="4" spans="3:12">
      <c r="C4" s="18"/>
      <c r="D4" s="18"/>
      <c r="E4" s="18"/>
      <c r="F4" s="18"/>
      <c r="G4" s="18"/>
      <c r="H4" s="18"/>
      <c r="I4" s="18"/>
      <c r="J4" s="18"/>
      <c r="K4" s="18"/>
    </row>
    <row r="5" spans="3:12" ht="12.75" customHeight="1">
      <c r="C5" s="646" t="str">
        <f>Zaglavlje_Naziv_preduzeca</f>
        <v xml:space="preserve">Naziv privrednog društva, zadruge, drugog pravnog lica ili preduzetnika: </v>
      </c>
      <c r="D5" s="646"/>
      <c r="E5" s="646"/>
      <c r="K5" s="9"/>
      <c r="L5" s="392" t="str">
        <f>Podatak_MB</f>
        <v>01937189</v>
      </c>
    </row>
    <row r="6" spans="3:12" ht="10.5" customHeight="1">
      <c r="C6" s="646"/>
      <c r="D6" s="646"/>
      <c r="E6" s="646"/>
      <c r="F6" s="9"/>
      <c r="K6" s="9"/>
      <c r="L6" s="421" t="str">
        <f>Zaglavlje_MB</f>
        <v>Matični broj</v>
      </c>
    </row>
    <row r="7" spans="3:12" ht="9" customHeight="1">
      <c r="C7" s="751" t="str">
        <f>Podatak_Naziv_preduzeca</f>
        <v>Javno preduzeće Komus akcionarsko društvo</v>
      </c>
      <c r="D7" s="751"/>
      <c r="E7" s="751"/>
      <c r="F7" s="751"/>
      <c r="K7" s="9"/>
      <c r="L7" s="392" t="str">
        <f>Podatak_Sifra_djelatnosti</f>
        <v>38.11</v>
      </c>
    </row>
    <row r="8" spans="3:12">
      <c r="C8" s="125" t="str">
        <f>Zaglavlje_Sjediste</f>
        <v>Sjedište:</v>
      </c>
      <c r="D8" s="752" t="str">
        <f>Podatak_Sjediste</f>
        <v>Svetog Vasilija Ostroškog 5 Bileća</v>
      </c>
      <c r="E8" s="752"/>
      <c r="F8" s="752"/>
      <c r="K8" s="9"/>
      <c r="L8" s="421" t="str">
        <f>Zaglavlje_Sifra_djelatnosti</f>
        <v>Šifra djelatnosti</v>
      </c>
    </row>
    <row r="9" spans="3:12" ht="12.75" customHeight="1">
      <c r="C9" s="657" t="str">
        <f>Zaglavlje_Ziro_racun</f>
        <v>Račun kod ovlašćene organizacije za platni promet:</v>
      </c>
      <c r="D9" s="657"/>
      <c r="E9" s="657"/>
      <c r="F9" s="17"/>
      <c r="K9" s="9"/>
      <c r="L9" s="392" t="str">
        <f>Podatak_JIB</f>
        <v>4401376020001</v>
      </c>
    </row>
    <row r="10" spans="3:12">
      <c r="C10" s="736" t="str">
        <f>Podatak_Ziro_racun_1</f>
        <v>562-008-00000026-25</v>
      </c>
      <c r="D10" s="736"/>
      <c r="E10" s="736"/>
      <c r="F10" s="736"/>
      <c r="K10" s="706" t="str">
        <f>Zaglavlje_JIB</f>
        <v>JIB</v>
      </c>
      <c r="L10" s="706"/>
    </row>
    <row r="11" spans="3:12" ht="10.5" customHeight="1">
      <c r="C11" s="691" t="str">
        <f>Podatak_Ziro_racun_2</f>
        <v>552-003-00007081-13</v>
      </c>
      <c r="D11" s="691"/>
      <c r="E11" s="691"/>
      <c r="F11" s="691"/>
    </row>
    <row r="12" spans="3:12" ht="10.5" customHeight="1">
      <c r="C12" s="736" t="str">
        <f>Podatak_Ziro_racun_3</f>
        <v/>
      </c>
      <c r="D12" s="736"/>
      <c r="E12" s="736"/>
      <c r="F12" s="736"/>
    </row>
    <row r="13" spans="3:12" ht="9.75" customHeight="1">
      <c r="C13" s="691" t="str">
        <f>Podatak_Ziro_racun_4</f>
        <v/>
      </c>
      <c r="D13" s="691"/>
      <c r="E13" s="691"/>
      <c r="F13" s="691"/>
      <c r="G13" s="18"/>
      <c r="H13" s="18"/>
      <c r="I13" s="18"/>
      <c r="J13"/>
      <c r="K13"/>
    </row>
    <row r="14" spans="3:12" ht="15.75">
      <c r="C14" s="749" t="str">
        <f>IF( Id_Konsolidovani, Nazivi_bilansa_Konsolidovani_naziv &amp; LOWER( Nazivi_bilansa_BTG), Nazivi_bilansa_BTG)</f>
        <v>Bilans tokova gotovine</v>
      </c>
      <c r="D14" s="749"/>
      <c r="E14" s="749"/>
      <c r="F14" s="749"/>
      <c r="G14" s="749"/>
      <c r="H14" s="749"/>
      <c r="I14" s="749"/>
      <c r="J14" s="749"/>
      <c r="K14" s="749"/>
      <c r="L14" s="749"/>
    </row>
    <row r="15" spans="3:12">
      <c r="C15" s="750" t="str">
        <f>Nazivi_bilansa_BTG1</f>
        <v>(Izvještaj o tokovima gotovine)</v>
      </c>
      <c r="D15" s="750"/>
      <c r="E15" s="750"/>
      <c r="F15" s="750"/>
      <c r="G15" s="750"/>
      <c r="H15" s="750"/>
      <c r="I15" s="750"/>
      <c r="J15" s="750"/>
      <c r="K15" s="750"/>
      <c r="L15" s="750"/>
    </row>
    <row r="16" spans="3:12">
      <c r="C16" s="750" t="str">
        <f>Datumi_Datum_BTG</f>
        <v>za period od 01.01. do 30.06.2025. godine</v>
      </c>
      <c r="D16" s="750"/>
      <c r="E16" s="750"/>
      <c r="F16" s="750"/>
      <c r="G16" s="750"/>
      <c r="H16" s="750"/>
      <c r="I16" s="750"/>
      <c r="J16" s="750"/>
      <c r="K16" s="750"/>
      <c r="L16" s="750"/>
    </row>
    <row r="17" spans="2:16" ht="11.25" customHeight="1">
      <c r="D17" s="18"/>
      <c r="E17" s="18"/>
      <c r="F17" s="18"/>
      <c r="G17" s="18"/>
      <c r="H17" s="18"/>
      <c r="I17" s="18"/>
      <c r="J17" s="18"/>
      <c r="K17" s="46" t="str">
        <f>Tabele_zaglavlje_Valuta</f>
        <v>- u konvertibilnim markama -</v>
      </c>
    </row>
    <row r="18" spans="2:16">
      <c r="C18" s="728" t="str">
        <f>Tabele_zaglavlje_Redni_broj</f>
        <v>Redni broj</v>
      </c>
      <c r="D18" s="730" t="str">
        <f>Tabele_zaglavlje_Pozicija</f>
        <v>POZICIJA</v>
      </c>
      <c r="E18" s="730"/>
      <c r="F18" s="730"/>
      <c r="G18" s="730"/>
      <c r="H18" s="730"/>
      <c r="I18" s="739" t="str">
        <f>Tabele_zaglavlje_Oznaka_aop</f>
        <v>Oznaka za AOP</v>
      </c>
      <c r="J18" s="739" t="str">
        <f>Tabele_zaglavlje_Napomena_aop</f>
        <v>Napomena</v>
      </c>
      <c r="K18" s="686" t="str">
        <f>Tabele_zaglavlje_Iznos</f>
        <v>Iznos</v>
      </c>
      <c r="L18" s="687"/>
    </row>
    <row r="19" spans="2:16" ht="25.5">
      <c r="C19" s="729"/>
      <c r="D19" s="731"/>
      <c r="E19" s="731"/>
      <c r="F19" s="731"/>
      <c r="G19" s="731"/>
      <c r="H19" s="731"/>
      <c r="I19" s="740"/>
      <c r="J19" s="740"/>
      <c r="K19" s="42" t="str">
        <f>Tabele_zaglavlje_Tekuca_godina</f>
        <v>Tekuća godina</v>
      </c>
      <c r="L19" s="43" t="str">
        <f>Tabele_zaglavlje_Prethodna_godina</f>
        <v>Prethodna godina</v>
      </c>
      <c r="P19" s="134" t="s">
        <v>490</v>
      </c>
    </row>
    <row r="20" spans="2:16">
      <c r="B20" s="44" t="s">
        <v>123</v>
      </c>
      <c r="C20" s="69">
        <v>1</v>
      </c>
      <c r="D20" s="732">
        <v>2</v>
      </c>
      <c r="E20" s="732"/>
      <c r="F20" s="732"/>
      <c r="G20" s="732"/>
      <c r="H20" s="732"/>
      <c r="I20" s="70">
        <v>3</v>
      </c>
      <c r="J20" s="70"/>
      <c r="K20" s="465">
        <v>4</v>
      </c>
      <c r="L20" s="466">
        <v>5</v>
      </c>
    </row>
    <row r="21" spans="2:16" ht="24.75" customHeight="1">
      <c r="B21" s="47">
        <v>284</v>
      </c>
      <c r="C21" s="71" t="str">
        <f>VLOOKUP( $B21, T_Aop[], 5, 1)</f>
        <v>A_x000D_
I</v>
      </c>
      <c r="D21" s="743" t="str">
        <f>VLOOKUP( $B21, T_Aop[], 6, 1)</f>
        <v>TOKOVI GOTOVINE IZ POSLOVNIH AKTIVNOSTI 
Prilivi gotovine iz poslovne aktivnosti (502 do 505)</v>
      </c>
      <c r="E21" s="743"/>
      <c r="F21" s="743"/>
      <c r="G21" s="743"/>
      <c r="H21" s="743"/>
      <c r="I21" s="185">
        <f>VLOOKUP( $B21, T_Aop[], 4, 1)</f>
        <v>501</v>
      </c>
      <c r="J21" s="570"/>
      <c r="K21" s="406">
        <f>SUBTOTAL( 9, K22:K25)</f>
        <v>555036</v>
      </c>
      <c r="L21" s="407">
        <f>SUBTOTAL( 9, L22:L25)</f>
        <v>393319</v>
      </c>
      <c r="P21" s="27"/>
    </row>
    <row r="22" spans="2:16" ht="12" customHeight="1">
      <c r="B22" s="47">
        <v>285</v>
      </c>
      <c r="C22" s="58" t="str">
        <f>VLOOKUP( $B22, T_Aop[], 5, 1)</f>
        <v>1</v>
      </c>
      <c r="D22" s="721" t="str">
        <f>VLOOKUP( $B22, T_Aop[], 6, 1)</f>
        <v xml:space="preserve">    Prilivi od kupaca i primljeni avansi u zemlji</v>
      </c>
      <c r="E22" s="721"/>
      <c r="F22" s="721"/>
      <c r="G22" s="721"/>
      <c r="H22" s="721"/>
      <c r="I22" s="59">
        <f>VLOOKUP( $B22, T_Aop[], 4, 1)</f>
        <v>502</v>
      </c>
      <c r="J22" s="571"/>
      <c r="K22" s="155">
        <v>254451</v>
      </c>
      <c r="L22" s="156">
        <v>393319</v>
      </c>
      <c r="P22" s="27"/>
    </row>
    <row r="23" spans="2:16" ht="12" customHeight="1">
      <c r="B23" s="47">
        <v>286</v>
      </c>
      <c r="C23" s="62" t="str">
        <f>VLOOKUP( $B23, T_Aop[], 5, 1)</f>
        <v>2</v>
      </c>
      <c r="D23" s="744" t="str">
        <f>VLOOKUP( $B23, T_Aop[], 6, 1)</f>
        <v xml:space="preserve">    Prilivi od kupaca i primljeni avansi u inostranstvu</v>
      </c>
      <c r="E23" s="744"/>
      <c r="F23" s="744"/>
      <c r="G23" s="744"/>
      <c r="H23" s="744"/>
      <c r="I23" s="75">
        <f>VLOOKUP( $B23, T_Aop[], 4, 1)</f>
        <v>503</v>
      </c>
      <c r="J23" s="572"/>
      <c r="K23" s="157"/>
      <c r="L23" s="158"/>
      <c r="P23" s="27"/>
    </row>
    <row r="24" spans="2:16" ht="12" customHeight="1">
      <c r="B24" s="47">
        <v>287</v>
      </c>
      <c r="C24" s="58" t="str">
        <f>VLOOKUP( $B24, T_Aop[], 5, 1)</f>
        <v>3</v>
      </c>
      <c r="D24" s="721" t="str">
        <f>VLOOKUP( $B24, T_Aop[], 6, 1)</f>
        <v xml:space="preserve">    Prilivi od premija, subvencija, dotacija i sl.</v>
      </c>
      <c r="E24" s="721"/>
      <c r="F24" s="721"/>
      <c r="G24" s="721"/>
      <c r="H24" s="721"/>
      <c r="I24" s="59">
        <f>VLOOKUP( $B24, T_Aop[], 4, 1)</f>
        <v>504</v>
      </c>
      <c r="J24" s="571"/>
      <c r="K24" s="155">
        <v>300585</v>
      </c>
      <c r="L24" s="156"/>
      <c r="P24" s="27"/>
    </row>
    <row r="25" spans="2:16" ht="12" customHeight="1">
      <c r="B25" s="47">
        <v>288</v>
      </c>
      <c r="C25" s="62" t="str">
        <f>VLOOKUP( $B25, T_Aop[], 5, 1)</f>
        <v>4</v>
      </c>
      <c r="D25" s="744" t="str">
        <f>VLOOKUP( $B25, T_Aop[], 6, 1)</f>
        <v xml:space="preserve">    Ostali prilivi iz poslovnih aktivnosti</v>
      </c>
      <c r="E25" s="744"/>
      <c r="F25" s="744"/>
      <c r="G25" s="744"/>
      <c r="H25" s="744"/>
      <c r="I25" s="75">
        <f>VLOOKUP( $B25, T_Aop[], 4, 1)</f>
        <v>505</v>
      </c>
      <c r="J25" s="572"/>
      <c r="K25" s="159"/>
      <c r="L25" s="160"/>
      <c r="P25" s="27"/>
    </row>
    <row r="26" spans="2:16" ht="12" customHeight="1">
      <c r="B26" s="47">
        <v>289</v>
      </c>
      <c r="C26" s="58" t="str">
        <f>VLOOKUP( $B26, T_Aop[], 5, 1)</f>
        <v>II</v>
      </c>
      <c r="D26" s="726" t="str">
        <f>VLOOKUP( $B26, T_Aop[], 6, 1)</f>
        <v xml:space="preserve">    Odlivi gotovine iz poslovnih aktivnosti (507 do 512)</v>
      </c>
      <c r="E26" s="726"/>
      <c r="F26" s="726"/>
      <c r="G26" s="726"/>
      <c r="H26" s="726"/>
      <c r="I26" s="178">
        <f>VLOOKUP( $B26, T_Aop[], 4, 1)</f>
        <v>506</v>
      </c>
      <c r="J26" s="571"/>
      <c r="K26" s="60">
        <f>SUBTOTAL( 9, K27:K32)</f>
        <v>540310</v>
      </c>
      <c r="L26" s="61">
        <f>SUBTOTAL( 9, L27:L32)</f>
        <v>397482</v>
      </c>
      <c r="P26" s="27"/>
    </row>
    <row r="27" spans="2:16" ht="12" customHeight="1">
      <c r="B27" s="47">
        <v>290</v>
      </c>
      <c r="C27" s="62" t="str">
        <f>VLOOKUP( $B27, T_Aop[], 5, 1)</f>
        <v>1</v>
      </c>
      <c r="D27" s="744" t="str">
        <f>VLOOKUP( $B27, T_Aop[], 6, 1)</f>
        <v xml:space="preserve">    Odlivi po osnovu isplata dobavljačima i dati avansi u zemlji</v>
      </c>
      <c r="E27" s="744"/>
      <c r="F27" s="744"/>
      <c r="G27" s="744"/>
      <c r="H27" s="744"/>
      <c r="I27" s="75">
        <f>VLOOKUP( $B27, T_Aop[], 4, 1)</f>
        <v>507</v>
      </c>
      <c r="J27" s="572"/>
      <c r="K27" s="157">
        <f>281674+463</f>
        <v>282137</v>
      </c>
      <c r="L27" s="158">
        <v>2867</v>
      </c>
      <c r="P27" s="27"/>
    </row>
    <row r="28" spans="2:16" ht="12" customHeight="1">
      <c r="B28" s="47">
        <v>291</v>
      </c>
      <c r="C28" s="58" t="str">
        <f>VLOOKUP( $B28, T_Aop[], 5, 1)</f>
        <v>2</v>
      </c>
      <c r="D28" s="721" t="str">
        <f>VLOOKUP( $B28, T_Aop[], 6, 1)</f>
        <v xml:space="preserve">    Odlivi po osnovu isplata dobavljačima i dati avansi u inostranstvu</v>
      </c>
      <c r="E28" s="721"/>
      <c r="F28" s="721"/>
      <c r="G28" s="721"/>
      <c r="H28" s="721"/>
      <c r="I28" s="59">
        <f>VLOOKUP( $B28, T_Aop[], 4, 1)</f>
        <v>508</v>
      </c>
      <c r="J28" s="571"/>
      <c r="K28" s="155"/>
      <c r="L28" s="156">
        <v>0</v>
      </c>
      <c r="P28" s="27"/>
    </row>
    <row r="29" spans="2:16" ht="12" customHeight="1">
      <c r="B29" s="47">
        <v>292</v>
      </c>
      <c r="C29" s="62" t="str">
        <f>VLOOKUP( $B29, T_Aop[], 5, 1)</f>
        <v>3</v>
      </c>
      <c r="D29" s="744" t="str">
        <f>VLOOKUP( $B29, T_Aop[], 6, 1)</f>
        <v xml:space="preserve">    Odlivi po osnovu plaćenih kamata</v>
      </c>
      <c r="E29" s="744"/>
      <c r="F29" s="744"/>
      <c r="G29" s="744"/>
      <c r="H29" s="744"/>
      <c r="I29" s="75">
        <f>VLOOKUP( $B29, T_Aop[], 4, 1)</f>
        <v>509</v>
      </c>
      <c r="J29" s="572"/>
      <c r="K29" s="157">
        <f>1258+5000+5607</f>
        <v>11865</v>
      </c>
      <c r="L29" s="158">
        <v>10169</v>
      </c>
      <c r="P29" s="27"/>
    </row>
    <row r="30" spans="2:16" ht="12" customHeight="1">
      <c r="B30" s="47">
        <v>293</v>
      </c>
      <c r="C30" s="58" t="str">
        <f>VLOOKUP( $B30, T_Aop[], 5, 1)</f>
        <v>4</v>
      </c>
      <c r="D30" s="721" t="str">
        <f>VLOOKUP( $B30, T_Aop[], 6, 1)</f>
        <v xml:space="preserve">    Odlivi po osnovu isplata plata, naknada plata i ostalih ličnih rashoda</v>
      </c>
      <c r="E30" s="721"/>
      <c r="F30" s="721"/>
      <c r="G30" s="721"/>
      <c r="H30" s="721"/>
      <c r="I30" s="59">
        <f>VLOOKUP( $B30, T_Aop[], 4, 1)</f>
        <v>510</v>
      </c>
      <c r="J30" s="571"/>
      <c r="K30" s="155">
        <f>232420+150+11200</f>
        <v>243770</v>
      </c>
      <c r="L30" s="156">
        <v>360450</v>
      </c>
      <c r="P30" s="27"/>
    </row>
    <row r="31" spans="2:16" ht="12" customHeight="1">
      <c r="B31" s="47">
        <v>294</v>
      </c>
      <c r="C31" s="62" t="str">
        <f>VLOOKUP( $B31, T_Aop[], 5, 1)</f>
        <v>5</v>
      </c>
      <c r="D31" s="744" t="str">
        <f>VLOOKUP( $B31, T_Aop[], 6, 1)</f>
        <v xml:space="preserve">    Odlivi po osnovu poreza na dobit</v>
      </c>
      <c r="E31" s="744"/>
      <c r="F31" s="744"/>
      <c r="G31" s="744"/>
      <c r="H31" s="744"/>
      <c r="I31" s="75">
        <f>VLOOKUP( $B31, T_Aop[], 4, 1)</f>
        <v>511</v>
      </c>
      <c r="J31" s="572"/>
      <c r="K31" s="157"/>
      <c r="L31" s="158"/>
      <c r="P31" s="27"/>
    </row>
    <row r="32" spans="2:16" ht="12" customHeight="1">
      <c r="B32" s="47">
        <v>295</v>
      </c>
      <c r="C32" s="58" t="str">
        <f>VLOOKUP( $B32, T_Aop[], 5, 1)</f>
        <v>6</v>
      </c>
      <c r="D32" s="721" t="str">
        <f>VLOOKUP( $B32, T_Aop[], 6, 1)</f>
        <v xml:space="preserve">    Ostali odlivi iz poslovnih aktivnosti</v>
      </c>
      <c r="E32" s="721"/>
      <c r="F32" s="721"/>
      <c r="G32" s="721"/>
      <c r="H32" s="721"/>
      <c r="I32" s="59">
        <f>VLOOKUP( $B32, T_Aop[], 4, 1)</f>
        <v>512</v>
      </c>
      <c r="J32" s="571"/>
      <c r="K32" s="155">
        <v>2538</v>
      </c>
      <c r="L32" s="156">
        <v>23996</v>
      </c>
      <c r="P32" s="27"/>
    </row>
    <row r="33" spans="2:16">
      <c r="B33" s="47">
        <v>296</v>
      </c>
      <c r="C33" s="62" t="str">
        <f>VLOOKUP( $B33, T_Aop[], 5, 1)</f>
        <v>III</v>
      </c>
      <c r="D33" s="745" t="str">
        <f>VLOOKUP( $B33, T_Aop[], 6, 1)</f>
        <v xml:space="preserve">  Neto priliv gotovine iz poslovnih aktivnosti (501 – 506)</v>
      </c>
      <c r="E33" s="745"/>
      <c r="F33" s="745"/>
      <c r="G33" s="745"/>
      <c r="H33" s="745"/>
      <c r="I33" s="189">
        <f>VLOOKUP( $B33, T_Aop[], 4, 1)</f>
        <v>513</v>
      </c>
      <c r="J33" s="572"/>
      <c r="K33" s="67">
        <f>IF( SUBTOTAL( 9, K21:K25) - SUBTOTAL( 9, K26:K32) &lt;= 0, 0, ABS( SUBTOTAL( 9, K21:K25) - SUBTOTAL( 9, K26:K32)) )</f>
        <v>14726</v>
      </c>
      <c r="L33" s="68">
        <f>IF( SUBTOTAL( 9, L21:L25) - SUBTOTAL( 9, L26:L32) &lt;= 0, 0, ABS( SUBTOTAL( 9, L21:L25) - SUBTOTAL( 9, L26:L32)) )</f>
        <v>0</v>
      </c>
      <c r="P33" s="27"/>
    </row>
    <row r="34" spans="2:16">
      <c r="B34" s="47">
        <v>297</v>
      </c>
      <c r="C34" s="58" t="str">
        <f>VLOOKUP( $B34, T_Aop[], 5, 1)</f>
        <v>IV</v>
      </c>
      <c r="D34" s="726" t="str">
        <f>VLOOKUP( $B34, T_Aop[], 6, 1)</f>
        <v xml:space="preserve">  Neto odliv gotovine iz poslovnih aktivnosti (506 – 501)</v>
      </c>
      <c r="E34" s="726"/>
      <c r="F34" s="726"/>
      <c r="G34" s="726"/>
      <c r="H34" s="726"/>
      <c r="I34" s="178">
        <f>VLOOKUP( $B34, T_Aop[], 4, 1)</f>
        <v>514</v>
      </c>
      <c r="J34" s="571"/>
      <c r="K34" s="60">
        <f>IF( SUBTOTAL( 9, K21:K25) - SUBTOTAL( 9, K26:K32) &gt;= 0, 0, ABS( SUBTOTAL( 9, K21:K25) - SUBTOTAL( 9, K26:K32)) )</f>
        <v>0</v>
      </c>
      <c r="L34" s="61">
        <f>IF( SUBTOTAL( 9, L21:L25) - SUBTOTAL( 9, L26:L32) &gt;= 0, 0, ABS( SUBTOTAL( 9, L21:L25) - SUBTOTAL( 9, L26:L32)) )</f>
        <v>4163</v>
      </c>
      <c r="P34" s="27"/>
    </row>
    <row r="35" spans="2:16" ht="23.65" customHeight="1">
      <c r="B35" s="47">
        <v>298</v>
      </c>
      <c r="C35" s="62" t="str">
        <f>VLOOKUP( $B35, T_Aop[], 5, 1)</f>
        <v>B_x000D_
I</v>
      </c>
      <c r="D35" s="745" t="str">
        <f>VLOOKUP( $B35, T_Aop[], 6, 1)</f>
        <v>TOKOVI GOTOVINE IZ AKTIVNOSTI INVESTIRANJA
Prilivi gotovine iz aktivnosti investiranja (516 do 530)</v>
      </c>
      <c r="E35" s="745"/>
      <c r="F35" s="745"/>
      <c r="G35" s="745"/>
      <c r="H35" s="745"/>
      <c r="I35" s="189">
        <f>VLOOKUP( $B35, T_Aop[], 4, 1)</f>
        <v>515</v>
      </c>
      <c r="J35" s="572"/>
      <c r="K35" s="67">
        <f>SUBTOTAL( 9, K36:K50)</f>
        <v>0</v>
      </c>
      <c r="L35" s="68">
        <f>SUBTOTAL( 9, L36:L50)</f>
        <v>0</v>
      </c>
      <c r="P35" s="27"/>
    </row>
    <row r="36" spans="2:16" ht="21" customHeight="1">
      <c r="B36" s="47">
        <v>299</v>
      </c>
      <c r="C36" s="58" t="str">
        <f>VLOOKUP( $B36, T_Aop[], 5, 1)</f>
        <v>1</v>
      </c>
      <c r="D36" s="721" t="str">
        <f>VLOOKUP( $B36, T_Aop[], 6, 1)</f>
        <v xml:space="preserve">    Prilivi gotovine po osnovu prodaje akcija i udjela zavisnih i pridruženih društava i zajedničkih poduhvata</v>
      </c>
      <c r="E36" s="721"/>
      <c r="F36" s="721"/>
      <c r="G36" s="721"/>
      <c r="H36" s="721"/>
      <c r="I36" s="59">
        <f>VLOOKUP( $B36, T_Aop[], 4, 1)</f>
        <v>516</v>
      </c>
      <c r="J36" s="571"/>
      <c r="K36" s="155"/>
      <c r="L36" s="156"/>
      <c r="P36" s="27"/>
    </row>
    <row r="37" spans="2:16" ht="12" customHeight="1">
      <c r="B37" s="47">
        <v>300</v>
      </c>
      <c r="C37" s="62" t="str">
        <f>VLOOKUP( $B37, T_Aop[], 5, 1)</f>
        <v>2</v>
      </c>
      <c r="D37" s="744" t="str">
        <f>VLOOKUP( $B37, T_Aop[], 6, 1)</f>
        <v xml:space="preserve">    Prilivi po osnovu prodaje nekretnina, postrojenja i opreme</v>
      </c>
      <c r="E37" s="744"/>
      <c r="F37" s="744"/>
      <c r="G37" s="744"/>
      <c r="H37" s="744"/>
      <c r="I37" s="75">
        <f>VLOOKUP( $B37, T_Aop[], 4, 1)</f>
        <v>517</v>
      </c>
      <c r="J37" s="572"/>
      <c r="K37" s="159"/>
      <c r="L37" s="160"/>
      <c r="P37" s="27"/>
    </row>
    <row r="38" spans="2:16" ht="12" customHeight="1">
      <c r="B38" s="47">
        <v>301</v>
      </c>
      <c r="C38" s="58" t="str">
        <f>VLOOKUP( $B38, T_Aop[], 5, 1)</f>
        <v>3</v>
      </c>
      <c r="D38" s="721" t="str">
        <f>VLOOKUP( $B38, T_Aop[], 6, 1)</f>
        <v xml:space="preserve">    Prilivi po osnovu prodaje investicionih nekretnina</v>
      </c>
      <c r="E38" s="721"/>
      <c r="F38" s="721"/>
      <c r="G38" s="721"/>
      <c r="H38" s="721"/>
      <c r="I38" s="59">
        <f>VLOOKUP( $B38, T_Aop[], 4, 1)</f>
        <v>518</v>
      </c>
      <c r="J38" s="571"/>
      <c r="K38" s="155"/>
      <c r="L38" s="156"/>
      <c r="P38" s="133" t="s">
        <v>313</v>
      </c>
    </row>
    <row r="39" spans="2:16" ht="12" customHeight="1">
      <c r="B39" s="47">
        <v>302</v>
      </c>
      <c r="C39" s="62" t="str">
        <f>VLOOKUP( $B39, T_Aop[], 5, 1)</f>
        <v>4</v>
      </c>
      <c r="D39" s="744" t="str">
        <f>VLOOKUP( $B39, T_Aop[], 6, 1)</f>
        <v xml:space="preserve">    Prilivi po osnovu prodaje bioloških sredstava</v>
      </c>
      <c r="E39" s="744"/>
      <c r="F39" s="744"/>
      <c r="G39" s="744"/>
      <c r="H39" s="744"/>
      <c r="I39" s="75">
        <f>VLOOKUP( $B39, T_Aop[], 4, 1)</f>
        <v>519</v>
      </c>
      <c r="J39" s="572"/>
      <c r="K39" s="159"/>
      <c r="L39" s="160"/>
      <c r="P39" s="27"/>
    </row>
    <row r="40" spans="2:16" ht="12" customHeight="1">
      <c r="B40" s="47">
        <v>303</v>
      </c>
      <c r="C40" s="58" t="str">
        <f>VLOOKUP( $B40, T_Aop[], 5, 1)</f>
        <v>5</v>
      </c>
      <c r="D40" s="721" t="str">
        <f>VLOOKUP( $B40, T_Aop[], 6, 1)</f>
        <v xml:space="preserve">    Prilivi po osnovu prodaje nematerijalnih sredstava</v>
      </c>
      <c r="E40" s="721"/>
      <c r="F40" s="721"/>
      <c r="G40" s="721"/>
      <c r="H40" s="721"/>
      <c r="I40" s="59">
        <f>VLOOKUP( $B40, T_Aop[], 4, 1)</f>
        <v>520</v>
      </c>
      <c r="J40" s="571"/>
      <c r="K40" s="155"/>
      <c r="L40" s="156"/>
      <c r="P40" s="27"/>
    </row>
    <row r="41" spans="2:16" ht="12" customHeight="1">
      <c r="B41" s="47">
        <v>304</v>
      </c>
      <c r="C41" s="62" t="str">
        <f>VLOOKUP( $B41, T_Aop[], 5, 1)</f>
        <v>6</v>
      </c>
      <c r="D41" s="744" t="str">
        <f>VLOOKUP( $B41, T_Aop[], 6, 1)</f>
        <v xml:space="preserve">    Prilivi po osnovu prodaje stalnih sredstava namijenjenih prodaji</v>
      </c>
      <c r="E41" s="744"/>
      <c r="F41" s="744"/>
      <c r="G41" s="744"/>
      <c r="H41" s="744"/>
      <c r="I41" s="75">
        <f>VLOOKUP( $B41, T_Aop[], 4, 1)</f>
        <v>521</v>
      </c>
      <c r="J41" s="572"/>
      <c r="K41" s="159"/>
      <c r="L41" s="160"/>
      <c r="P41" s="27"/>
    </row>
    <row r="42" spans="2:16" ht="12" customHeight="1">
      <c r="B42" s="47">
        <v>305</v>
      </c>
      <c r="C42" s="58" t="str">
        <f>VLOOKUP( $B42, T_Aop[], 5, 1)</f>
        <v>7</v>
      </c>
      <c r="D42" s="721" t="str">
        <f>VLOOKUP( $B42, T_Aop[], 6, 1)</f>
        <v xml:space="preserve">    Prilivi od finansijskih sredstava po fer vrijednosti kroz ostali ukupni rezultat</v>
      </c>
      <c r="E42" s="721"/>
      <c r="F42" s="721"/>
      <c r="G42" s="721"/>
      <c r="H42" s="721"/>
      <c r="I42" s="59">
        <f>VLOOKUP( $B42, T_Aop[], 4, 1)</f>
        <v>522</v>
      </c>
      <c r="J42" s="571"/>
      <c r="K42" s="155"/>
      <c r="L42" s="156"/>
      <c r="P42" s="27"/>
    </row>
    <row r="43" spans="2:16" ht="12" customHeight="1">
      <c r="B43" s="47">
        <v>306</v>
      </c>
      <c r="C43" s="62" t="str">
        <f>VLOOKUP( $B43, T_Aop[], 5, 1)</f>
        <v>8</v>
      </c>
      <c r="D43" s="744" t="str">
        <f>VLOOKUP( $B43, T_Aop[], 6, 1)</f>
        <v xml:space="preserve">    Prilivi od finansijskih sredstva po fer vrijednosti kroz bilans uspjeha</v>
      </c>
      <c r="E43" s="744"/>
      <c r="F43" s="744"/>
      <c r="G43" s="744"/>
      <c r="H43" s="744"/>
      <c r="I43" s="75">
        <f>VLOOKUP( $B43, T_Aop[], 4, 1)</f>
        <v>523</v>
      </c>
      <c r="J43" s="572"/>
      <c r="K43" s="159"/>
      <c r="L43" s="160"/>
      <c r="P43" s="27"/>
    </row>
    <row r="44" spans="2:16" ht="12" customHeight="1">
      <c r="B44" s="47">
        <v>307</v>
      </c>
      <c r="C44" s="58" t="str">
        <f>VLOOKUP( $B44, T_Aop[], 5, 1)</f>
        <v>9</v>
      </c>
      <c r="D44" s="721" t="str">
        <f>VLOOKUP( $B44, T_Aop[], 6, 1)</f>
        <v xml:space="preserve">    Prilivi od ostalih finansijskih sredstava po amortizovanoj vrijednosti</v>
      </c>
      <c r="E44" s="721"/>
      <c r="F44" s="721"/>
      <c r="G44" s="721"/>
      <c r="H44" s="721"/>
      <c r="I44" s="59">
        <f>VLOOKUP( $B44, T_Aop[], 4, 1)</f>
        <v>524</v>
      </c>
      <c r="J44" s="571"/>
      <c r="K44" s="155"/>
      <c r="L44" s="156"/>
      <c r="P44" s="27"/>
    </row>
    <row r="45" spans="2:16" ht="12" customHeight="1">
      <c r="B45" s="47">
        <v>308</v>
      </c>
      <c r="C45" s="62" t="str">
        <f>VLOOKUP( $B45, T_Aop[], 5, 1)</f>
        <v>10</v>
      </c>
      <c r="D45" s="744" t="str">
        <f>VLOOKUP( $B45, T_Aop[], 6, 1)</f>
        <v xml:space="preserve">    Prilivi po osnovu lizinga (glavnica)</v>
      </c>
      <c r="E45" s="744"/>
      <c r="F45" s="744"/>
      <c r="G45" s="744"/>
      <c r="H45" s="744"/>
      <c r="I45" s="75">
        <f>VLOOKUP( $B45, T_Aop[], 4, 1)</f>
        <v>525</v>
      </c>
      <c r="J45" s="572"/>
      <c r="K45" s="159"/>
      <c r="L45" s="160"/>
      <c r="P45" s="133" t="s">
        <v>313</v>
      </c>
    </row>
    <row r="46" spans="2:16" ht="12" customHeight="1">
      <c r="B46" s="47">
        <v>309</v>
      </c>
      <c r="C46" s="58" t="str">
        <f>VLOOKUP( $B46, T_Aop[], 5, 1)</f>
        <v>11</v>
      </c>
      <c r="D46" s="721" t="str">
        <f>VLOOKUP( $B46, T_Aop[], 6, 1)</f>
        <v xml:space="preserve">    Prilivi po osnovu lizinga (kamata)</v>
      </c>
      <c r="E46" s="721"/>
      <c r="F46" s="721"/>
      <c r="G46" s="721"/>
      <c r="H46" s="721"/>
      <c r="I46" s="59">
        <f>VLOOKUP( $B46, T_Aop[], 4, 1)</f>
        <v>526</v>
      </c>
      <c r="J46" s="571"/>
      <c r="K46" s="155"/>
      <c r="L46" s="156"/>
      <c r="P46" s="27"/>
    </row>
    <row r="47" spans="2:16" ht="12" customHeight="1">
      <c r="B47" s="47">
        <v>310</v>
      </c>
      <c r="C47" s="62" t="str">
        <f>VLOOKUP( $B47, T_Aop[], 5, 1)</f>
        <v>12</v>
      </c>
      <c r="D47" s="744" t="str">
        <f>VLOOKUP( $B47, T_Aop[], 6, 1)</f>
        <v xml:space="preserve">    Prilivi po osnovu kamata</v>
      </c>
      <c r="E47" s="744"/>
      <c r="F47" s="744"/>
      <c r="G47" s="744"/>
      <c r="H47" s="744"/>
      <c r="I47" s="75">
        <f>VLOOKUP( $B47, T_Aop[], 4, 1)</f>
        <v>527</v>
      </c>
      <c r="J47" s="572"/>
      <c r="K47" s="159"/>
      <c r="L47" s="160"/>
      <c r="P47" s="27"/>
    </row>
    <row r="48" spans="2:16" ht="12" customHeight="1">
      <c r="B48" s="47">
        <v>311</v>
      </c>
      <c r="C48" s="58" t="str">
        <f>VLOOKUP( $B48, T_Aop[], 5, 1)</f>
        <v>13</v>
      </c>
      <c r="D48" s="721" t="str">
        <f>VLOOKUP( $B48, T_Aop[], 6, 1)</f>
        <v xml:space="preserve">    Prilivi od dividendi i učešća u dobiti</v>
      </c>
      <c r="E48" s="721"/>
      <c r="F48" s="721"/>
      <c r="G48" s="721"/>
      <c r="H48" s="721"/>
      <c r="I48" s="59">
        <f>VLOOKUP( $B48, T_Aop[], 4, 1)</f>
        <v>528</v>
      </c>
      <c r="J48" s="571"/>
      <c r="K48" s="155"/>
      <c r="L48" s="156"/>
      <c r="P48" s="27"/>
    </row>
    <row r="49" spans="2:16" ht="12" customHeight="1">
      <c r="B49" s="47">
        <v>312</v>
      </c>
      <c r="C49" s="62" t="str">
        <f>VLOOKUP( $B49, T_Aop[], 5, 1)</f>
        <v>14</v>
      </c>
      <c r="D49" s="744" t="str">
        <f>VLOOKUP( $B49, T_Aop[], 6, 1)</f>
        <v xml:space="preserve">    Prilivi po osnovu derivatnih finansijskih instrumenata</v>
      </c>
      <c r="E49" s="744"/>
      <c r="F49" s="744"/>
      <c r="G49" s="744"/>
      <c r="H49" s="744"/>
      <c r="I49" s="75">
        <f>VLOOKUP( $B49, T_Aop[], 4, 1)</f>
        <v>529</v>
      </c>
      <c r="J49" s="572"/>
      <c r="K49" s="159"/>
      <c r="L49" s="160"/>
      <c r="P49" s="27"/>
    </row>
    <row r="50" spans="2:16" ht="12" customHeight="1">
      <c r="B50" s="47">
        <v>313</v>
      </c>
      <c r="C50" s="58" t="str">
        <f>VLOOKUP( $B50, T_Aop[], 5, 1)</f>
        <v>15</v>
      </c>
      <c r="D50" s="721" t="str">
        <f>VLOOKUP( $B50, T_Aop[], 6, 1)</f>
        <v xml:space="preserve">    Ostali prilivi iz aktivnosti investiranja</v>
      </c>
      <c r="E50" s="721"/>
      <c r="F50" s="721"/>
      <c r="G50" s="721"/>
      <c r="H50" s="721"/>
      <c r="I50" s="59">
        <f>VLOOKUP( $B50, T_Aop[], 4, 1)</f>
        <v>530</v>
      </c>
      <c r="J50" s="571"/>
      <c r="K50" s="155"/>
      <c r="L50" s="156"/>
      <c r="P50" s="27"/>
    </row>
    <row r="51" spans="2:16" ht="12" customHeight="1">
      <c r="B51" s="47">
        <v>314</v>
      </c>
      <c r="C51" s="62" t="str">
        <f>VLOOKUP( $B51, T_Aop[], 5, 1)</f>
        <v>II</v>
      </c>
      <c r="D51" s="745" t="str">
        <f>VLOOKUP( $B51, T_Aop[], 6, 1)</f>
        <v xml:space="preserve">  Odlivi gotovine iz aktivnosti investiranja (532 do 541)</v>
      </c>
      <c r="E51" s="745"/>
      <c r="F51" s="745"/>
      <c r="G51" s="745"/>
      <c r="H51" s="745"/>
      <c r="I51" s="189">
        <f>VLOOKUP( $B51, T_Aop[], 4, 1)</f>
        <v>531</v>
      </c>
      <c r="J51" s="572"/>
      <c r="K51" s="64">
        <f>SUBTOTAL( 9, K52:K61)</f>
        <v>0</v>
      </c>
      <c r="L51" s="65">
        <f>SUBTOTAL( 9, L52:L61)</f>
        <v>0</v>
      </c>
      <c r="P51" s="27"/>
    </row>
    <row r="52" spans="2:16" ht="23.65" customHeight="1">
      <c r="B52" s="47">
        <v>315</v>
      </c>
      <c r="C52" s="58" t="str">
        <f>VLOOKUP( $B52, T_Aop[], 5, 1)</f>
        <v>1</v>
      </c>
      <c r="D52" s="721" t="str">
        <f>VLOOKUP( $B52, T_Aop[], 6, 1)</f>
        <v xml:space="preserve">    Odlivi gotovine po osnovu kupovine akcija i udjela zavisnih i pridruženih društava i zajedničkih poduhvata</v>
      </c>
      <c r="E52" s="721"/>
      <c r="F52" s="721"/>
      <c r="G52" s="721"/>
      <c r="H52" s="721"/>
      <c r="I52" s="59">
        <f>VLOOKUP( $B52, T_Aop[], 4, 1)</f>
        <v>532</v>
      </c>
      <c r="J52" s="571"/>
      <c r="K52" s="155"/>
      <c r="L52" s="156"/>
      <c r="P52" s="27"/>
    </row>
    <row r="53" spans="2:16" ht="12" customHeight="1">
      <c r="B53" s="47">
        <v>316</v>
      </c>
      <c r="C53" s="62" t="str">
        <f>VLOOKUP( $B53, T_Aop[], 5, 1)</f>
        <v>2</v>
      </c>
      <c r="D53" s="744" t="str">
        <f>VLOOKUP( $B53, T_Aop[], 6, 1)</f>
        <v xml:space="preserve">    Odlivi po osnovu kupovine nekretnina, postrojenja i opreme</v>
      </c>
      <c r="E53" s="744"/>
      <c r="F53" s="744"/>
      <c r="G53" s="744"/>
      <c r="H53" s="744"/>
      <c r="I53" s="75">
        <f>VLOOKUP( $B53, T_Aop[], 4, 1)</f>
        <v>533</v>
      </c>
      <c r="J53" s="572"/>
      <c r="K53" s="159"/>
      <c r="L53" s="160"/>
      <c r="P53" s="27"/>
    </row>
    <row r="54" spans="2:16" ht="12" customHeight="1">
      <c r="B54" s="47">
        <v>317</v>
      </c>
      <c r="C54" s="58" t="str">
        <f>VLOOKUP( $B54, T_Aop[], 5, 1)</f>
        <v>3</v>
      </c>
      <c r="D54" s="721" t="str">
        <f>VLOOKUP( $B54, T_Aop[], 6, 1)</f>
        <v xml:space="preserve">    Odlivi po osnovu kupovine investicionih nekretnina</v>
      </c>
      <c r="E54" s="721"/>
      <c r="F54" s="721"/>
      <c r="G54" s="721"/>
      <c r="H54" s="721"/>
      <c r="I54" s="59">
        <f>VLOOKUP( $B54, T_Aop[], 4, 1)</f>
        <v>534</v>
      </c>
      <c r="J54" s="571"/>
      <c r="K54" s="155"/>
      <c r="L54" s="156"/>
      <c r="P54" s="27"/>
    </row>
    <row r="55" spans="2:16" ht="12" customHeight="1">
      <c r="B55" s="47">
        <v>318</v>
      </c>
      <c r="C55" s="62" t="str">
        <f>VLOOKUP( $B55, T_Aop[], 5, 1)</f>
        <v>4</v>
      </c>
      <c r="D55" s="744" t="str">
        <f>VLOOKUP( $B55, T_Aop[], 6, 1)</f>
        <v xml:space="preserve">    Odlivi po osnovu kupovine bioloških sredstava</v>
      </c>
      <c r="E55" s="744"/>
      <c r="F55" s="744"/>
      <c r="G55" s="744"/>
      <c r="H55" s="744"/>
      <c r="I55" s="75">
        <f>VLOOKUP( $B55, T_Aop[], 4, 1)</f>
        <v>535</v>
      </c>
      <c r="J55" s="572"/>
      <c r="K55" s="159"/>
      <c r="L55" s="160"/>
      <c r="P55" s="27"/>
    </row>
    <row r="56" spans="2:16" ht="12" customHeight="1">
      <c r="B56" s="47">
        <v>319</v>
      </c>
      <c r="C56" s="58" t="str">
        <f>VLOOKUP( $B56, T_Aop[], 5, 1)</f>
        <v>5</v>
      </c>
      <c r="D56" s="721" t="str">
        <f>VLOOKUP( $B56, T_Aop[], 6, 1)</f>
        <v xml:space="preserve">    Odlivi po osnovu kupovine nematerijalnih sredstava</v>
      </c>
      <c r="E56" s="721"/>
      <c r="F56" s="721"/>
      <c r="G56" s="721"/>
      <c r="H56" s="721"/>
      <c r="I56" s="59">
        <f>VLOOKUP( $B56, T_Aop[], 4, 1)</f>
        <v>536</v>
      </c>
      <c r="J56" s="571"/>
      <c r="K56" s="155"/>
      <c r="L56" s="156"/>
      <c r="P56" s="27"/>
    </row>
    <row r="57" spans="2:16" ht="12" customHeight="1">
      <c r="B57" s="47">
        <v>320</v>
      </c>
      <c r="C57" s="62" t="str">
        <f>VLOOKUP( $B57, T_Aop[], 5, 1)</f>
        <v>6</v>
      </c>
      <c r="D57" s="744" t="str">
        <f>VLOOKUP( $B57, T_Aop[], 6, 1)</f>
        <v xml:space="preserve">    Odlivi po osnovu finansijskih sredstava po fer vrijednosti kroz ostali ukupni rezultat</v>
      </c>
      <c r="E57" s="744"/>
      <c r="F57" s="744"/>
      <c r="G57" s="744"/>
      <c r="H57" s="744"/>
      <c r="I57" s="75">
        <f>VLOOKUP( $B57, T_Aop[], 4, 1)</f>
        <v>537</v>
      </c>
      <c r="J57" s="572"/>
      <c r="K57" s="159"/>
      <c r="L57" s="160"/>
      <c r="P57" s="27"/>
    </row>
    <row r="58" spans="2:16" ht="12" customHeight="1">
      <c r="B58" s="47">
        <v>321</v>
      </c>
      <c r="C58" s="58" t="str">
        <f>VLOOKUP( $B58, T_Aop[], 5, 1)</f>
        <v>7</v>
      </c>
      <c r="D58" s="721" t="str">
        <f>VLOOKUP( $B58, T_Aop[], 6, 1)</f>
        <v xml:space="preserve">    Odlivi po osnovu finansijskih sredstva po fer vrijednosti kroz bilans uspjeha</v>
      </c>
      <c r="E58" s="721"/>
      <c r="F58" s="721"/>
      <c r="G58" s="721"/>
      <c r="H58" s="721"/>
      <c r="I58" s="59">
        <f>VLOOKUP( $B58, T_Aop[], 4, 1)</f>
        <v>538</v>
      </c>
      <c r="J58" s="571"/>
      <c r="K58" s="155"/>
      <c r="L58" s="156"/>
      <c r="P58" s="27"/>
    </row>
    <row r="59" spans="2:16" ht="12" customHeight="1">
      <c r="B59" s="47">
        <v>322</v>
      </c>
      <c r="C59" s="62" t="str">
        <f>VLOOKUP( $B59, T_Aop[], 5, 1)</f>
        <v>8</v>
      </c>
      <c r="D59" s="744" t="str">
        <f>VLOOKUP( $B59, T_Aop[], 6, 1)</f>
        <v xml:space="preserve">    Odlivi po osnovu ostalih finansijskih sredstava po amortizovanoj vrijednosti</v>
      </c>
      <c r="E59" s="744"/>
      <c r="F59" s="744"/>
      <c r="G59" s="744"/>
      <c r="H59" s="744"/>
      <c r="I59" s="75">
        <f>VLOOKUP( $B59, T_Aop[], 4, 1)</f>
        <v>539</v>
      </c>
      <c r="J59" s="572"/>
      <c r="K59" s="159"/>
      <c r="L59" s="160"/>
      <c r="P59" s="27"/>
    </row>
    <row r="60" spans="2:16" ht="12" customHeight="1">
      <c r="B60" s="47">
        <v>323</v>
      </c>
      <c r="C60" s="58" t="str">
        <f>VLOOKUP( $B60, T_Aop[], 5, 1)</f>
        <v>9</v>
      </c>
      <c r="D60" s="721" t="str">
        <f>VLOOKUP( $B60, T_Aop[], 6, 1)</f>
        <v xml:space="preserve">    Odlivi po osnovu derivatnih finansijskih instrumenata</v>
      </c>
      <c r="E60" s="721"/>
      <c r="F60" s="721"/>
      <c r="G60" s="721"/>
      <c r="H60" s="721"/>
      <c r="I60" s="59">
        <f>VLOOKUP( $B60, T_Aop[], 4, 1)</f>
        <v>540</v>
      </c>
      <c r="J60" s="571"/>
      <c r="K60" s="155"/>
      <c r="L60" s="156"/>
      <c r="P60" s="27"/>
    </row>
    <row r="61" spans="2:16" ht="12" customHeight="1">
      <c r="B61" s="47">
        <v>324</v>
      </c>
      <c r="C61" s="62" t="str">
        <f>VLOOKUP( $B61, T_Aop[], 5, 1)</f>
        <v>10</v>
      </c>
      <c r="D61" s="744" t="str">
        <f>VLOOKUP( $B61, T_Aop[], 6, 1)</f>
        <v xml:space="preserve">    Ostali odlivi iz aktivnosti investiranja</v>
      </c>
      <c r="E61" s="744"/>
      <c r="F61" s="744"/>
      <c r="G61" s="744"/>
      <c r="H61" s="744"/>
      <c r="I61" s="75">
        <f>VLOOKUP( $B61, T_Aop[], 4, 1)</f>
        <v>541</v>
      </c>
      <c r="J61" s="572"/>
      <c r="K61" s="159"/>
      <c r="L61" s="160"/>
      <c r="P61" s="27"/>
    </row>
    <row r="62" spans="2:16">
      <c r="B62" s="47">
        <v>325</v>
      </c>
      <c r="C62" s="58" t="str">
        <f>VLOOKUP( $B62, T_Aop[], 5, 1)</f>
        <v>III</v>
      </c>
      <c r="D62" s="726" t="str">
        <f>VLOOKUP( $B62, T_Aop[], 6, 1)</f>
        <v xml:space="preserve">  Neto priliv gotovine iz aktivnosti investiranja (515-531)</v>
      </c>
      <c r="E62" s="726"/>
      <c r="F62" s="726"/>
      <c r="G62" s="726"/>
      <c r="H62" s="726"/>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c r="B63" s="47">
        <v>326</v>
      </c>
      <c r="C63" s="62" t="str">
        <f>VLOOKUP( $B63, T_Aop[], 5, 1)</f>
        <v>IV</v>
      </c>
      <c r="D63" s="745" t="str">
        <f>VLOOKUP( $B63, T_Aop[], 6, 1)</f>
        <v xml:space="preserve">  Neto odliv gotovine iz aktivnosti investiranja (531 – 515)</v>
      </c>
      <c r="E63" s="745"/>
      <c r="F63" s="745"/>
      <c r="G63" s="745"/>
      <c r="H63" s="745"/>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9" customHeight="1">
      <c r="B64" s="47">
        <v>327</v>
      </c>
      <c r="C64" s="58" t="str">
        <f>VLOOKUP( $B64, T_Aop[], 5, 1)</f>
        <v>B_x000D_
I</v>
      </c>
      <c r="D64" s="726" t="str">
        <f>VLOOKUP( $B64, T_Aop[], 6, 1)</f>
        <v>TOKOVI GOTOVINE IZ AKTIVNOSTI FINANSIRANJA
Prilivi gotovine iz aktivnosti finansiranja (545 do 550)</v>
      </c>
      <c r="E64" s="726"/>
      <c r="F64" s="726"/>
      <c r="G64" s="726"/>
      <c r="H64" s="726"/>
      <c r="I64" s="178">
        <f>VLOOKUP( $B64, T_Aop[], 4, 1)</f>
        <v>544</v>
      </c>
      <c r="J64" s="571"/>
      <c r="K64" s="60">
        <f>SUBTOTAL( 9, K65:K70)</f>
        <v>0</v>
      </c>
      <c r="L64" s="61">
        <f>SUBTOTAL( 9, L65:L70)</f>
        <v>0</v>
      </c>
      <c r="P64" s="27"/>
    </row>
    <row r="65" spans="2:16" ht="12" customHeight="1">
      <c r="B65" s="47">
        <v>328</v>
      </c>
      <c r="C65" s="62" t="str">
        <f>VLOOKUP( $B65, T_Aop[], 5, 1)</f>
        <v>1</v>
      </c>
      <c r="D65" s="744" t="str">
        <f>VLOOKUP( $B65, T_Aop[], 6, 1)</f>
        <v xml:space="preserve">    Prilivi po osnovu povećanja osnovnog kapitala</v>
      </c>
      <c r="E65" s="744"/>
      <c r="F65" s="744"/>
      <c r="G65" s="744"/>
      <c r="H65" s="744"/>
      <c r="I65" s="75">
        <f>VLOOKUP( $B65, T_Aop[], 4, 1)</f>
        <v>545</v>
      </c>
      <c r="J65" s="572"/>
      <c r="K65" s="159"/>
      <c r="L65" s="160"/>
      <c r="P65" s="27"/>
    </row>
    <row r="66" spans="2:16" ht="12" customHeight="1">
      <c r="B66" s="47">
        <v>329</v>
      </c>
      <c r="C66" s="58" t="str">
        <f>VLOOKUP( $B66, T_Aop[], 5, 1)</f>
        <v>2</v>
      </c>
      <c r="D66" s="721" t="str">
        <f>VLOOKUP( $B66, T_Aop[], 6, 1)</f>
        <v xml:space="preserve">    Prilivi od prodaje otkupljenih sopstvenih akcija</v>
      </c>
      <c r="E66" s="721"/>
      <c r="F66" s="721"/>
      <c r="G66" s="721"/>
      <c r="H66" s="721"/>
      <c r="I66" s="59">
        <f>VLOOKUP( $B66, T_Aop[], 4, 1)</f>
        <v>546</v>
      </c>
      <c r="J66" s="571"/>
      <c r="K66" s="155"/>
      <c r="L66" s="156"/>
      <c r="P66" s="27"/>
    </row>
    <row r="67" spans="2:16" ht="12" customHeight="1">
      <c r="B67" s="47">
        <v>330</v>
      </c>
      <c r="C67" s="62" t="str">
        <f>VLOOKUP( $B67, T_Aop[], 5, 1)</f>
        <v>3</v>
      </c>
      <c r="D67" s="744" t="str">
        <f>VLOOKUP( $B67, T_Aop[], 6, 1)</f>
        <v xml:space="preserve">    Prilivi po osnovu dugoročnih kredita</v>
      </c>
      <c r="E67" s="744"/>
      <c r="F67" s="744"/>
      <c r="G67" s="744"/>
      <c r="H67" s="744"/>
      <c r="I67" s="75">
        <f>VLOOKUP( $B67, T_Aop[], 4, 1)</f>
        <v>547</v>
      </c>
      <c r="J67" s="572"/>
      <c r="K67" s="159"/>
      <c r="L67" s="160"/>
      <c r="P67" s="27"/>
    </row>
    <row r="68" spans="2:16" ht="12" customHeight="1">
      <c r="B68" s="47">
        <v>331</v>
      </c>
      <c r="C68" s="58" t="str">
        <f>VLOOKUP( $B68, T_Aop[], 5, 1)</f>
        <v>4</v>
      </c>
      <c r="D68" s="721" t="str">
        <f>VLOOKUP( $B68, T_Aop[], 6, 1)</f>
        <v xml:space="preserve">    Prilivi po osnovu kratkoročnih kredita</v>
      </c>
      <c r="E68" s="721"/>
      <c r="F68" s="721"/>
      <c r="G68" s="721"/>
      <c r="H68" s="721"/>
      <c r="I68" s="59">
        <f>VLOOKUP( $B68, T_Aop[], 4, 1)</f>
        <v>548</v>
      </c>
      <c r="J68" s="571"/>
      <c r="K68" s="155"/>
      <c r="L68" s="156"/>
      <c r="P68" s="27"/>
    </row>
    <row r="69" spans="2:16" ht="12" customHeight="1">
      <c r="B69" s="47">
        <v>332</v>
      </c>
      <c r="C69" s="66" t="str">
        <f>VLOOKUP( $B69, T_Aop[], 5, 1)</f>
        <v>5</v>
      </c>
      <c r="D69" s="744" t="str">
        <f>VLOOKUP( $B69, T_Aop[], 6, 1)</f>
        <v xml:space="preserve">    Prilivi po osnovu izdatih dužničkih instrumenta</v>
      </c>
      <c r="E69" s="744"/>
      <c r="F69" s="744"/>
      <c r="G69" s="744"/>
      <c r="H69" s="744"/>
      <c r="I69" s="75">
        <f>VLOOKUP( $B69, T_Aop[], 4, 1)</f>
        <v>549</v>
      </c>
      <c r="J69" s="572"/>
      <c r="K69" s="159"/>
      <c r="L69" s="160"/>
      <c r="P69" s="27"/>
    </row>
    <row r="70" spans="2:16" ht="12" customHeight="1">
      <c r="B70" s="47">
        <v>333</v>
      </c>
      <c r="C70" s="58" t="str">
        <f>VLOOKUP( $B70, T_Aop[], 5, 1)</f>
        <v>6</v>
      </c>
      <c r="D70" s="721" t="str">
        <f>VLOOKUP( $B70, T_Aop[], 6, 1)</f>
        <v xml:space="preserve">    Ostali prilivi iz aktivnosti finansiranja </v>
      </c>
      <c r="E70" s="721"/>
      <c r="F70" s="721"/>
      <c r="G70" s="721"/>
      <c r="H70" s="721"/>
      <c r="I70" s="59">
        <f>VLOOKUP( $B70, T_Aop[], 4, 1)</f>
        <v>550</v>
      </c>
      <c r="J70" s="571"/>
      <c r="K70" s="155"/>
      <c r="L70" s="156"/>
      <c r="P70" s="27"/>
    </row>
    <row r="71" spans="2:16" ht="12" customHeight="1">
      <c r="B71" s="47">
        <v>334</v>
      </c>
      <c r="C71" s="66" t="str">
        <f>VLOOKUP( $B71, T_Aop[], 5, 1)</f>
        <v>II</v>
      </c>
      <c r="D71" s="744" t="str">
        <f>VLOOKUP( $B71, T_Aop[], 6, 1)</f>
        <v xml:space="preserve">    Odlivi gotovine iz aktivnosti finansiranja (552 do 558)</v>
      </c>
      <c r="E71" s="744"/>
      <c r="F71" s="744"/>
      <c r="G71" s="744"/>
      <c r="H71" s="744"/>
      <c r="I71" s="75">
        <f>VLOOKUP( $B71, T_Aop[], 4, 1)</f>
        <v>551</v>
      </c>
      <c r="J71" s="572"/>
      <c r="K71" s="496">
        <f>SUBTOTAL( 9, K72:K78)</f>
        <v>0</v>
      </c>
      <c r="L71" s="502">
        <f>SUBTOTAL( 9, L72:L78)</f>
        <v>0</v>
      </c>
      <c r="P71" s="27"/>
    </row>
    <row r="72" spans="2:16" ht="12" customHeight="1">
      <c r="B72" s="47">
        <v>335</v>
      </c>
      <c r="C72" s="58" t="str">
        <f>VLOOKUP( $B72, T_Aop[], 5, 1)</f>
        <v>1</v>
      </c>
      <c r="D72" s="721" t="str">
        <f>VLOOKUP( $B72, T_Aop[], 6, 1)</f>
        <v xml:space="preserve">    Odlivi po osnovu otkupa sopstvenih akcija i udjela</v>
      </c>
      <c r="E72" s="721"/>
      <c r="F72" s="721"/>
      <c r="G72" s="721"/>
      <c r="H72" s="721"/>
      <c r="I72" s="59">
        <f>VLOOKUP( $B72, T_Aop[], 4, 1)</f>
        <v>552</v>
      </c>
      <c r="J72" s="571"/>
      <c r="K72" s="155"/>
      <c r="L72" s="156"/>
      <c r="P72" s="27"/>
    </row>
    <row r="73" spans="2:16" ht="12" customHeight="1">
      <c r="B73" s="47">
        <v>336</v>
      </c>
      <c r="C73" s="66" t="str">
        <f>VLOOKUP( $B73, T_Aop[], 5, 1)</f>
        <v>2</v>
      </c>
      <c r="D73" s="744" t="str">
        <f>VLOOKUP( $B73, T_Aop[], 6, 1)</f>
        <v xml:space="preserve">    Odlivi po osnovu dugoročnih kredita </v>
      </c>
      <c r="E73" s="744"/>
      <c r="F73" s="744"/>
      <c r="G73" s="744"/>
      <c r="H73" s="744"/>
      <c r="I73" s="75">
        <f>VLOOKUP( $B73, T_Aop[], 4, 1)</f>
        <v>553</v>
      </c>
      <c r="J73" s="572"/>
      <c r="K73" s="159"/>
      <c r="L73" s="160"/>
      <c r="P73" s="27"/>
    </row>
    <row r="74" spans="2:16" ht="12" customHeight="1">
      <c r="B74" s="47">
        <v>337</v>
      </c>
      <c r="C74" s="58" t="str">
        <f>VLOOKUP( $B74, T_Aop[], 5, 1)</f>
        <v>3</v>
      </c>
      <c r="D74" s="721" t="str">
        <f>VLOOKUP( $B74, T_Aop[], 6, 1)</f>
        <v xml:space="preserve">    Odlivi po osnovu kratkoročnih kredita </v>
      </c>
      <c r="E74" s="721"/>
      <c r="F74" s="721"/>
      <c r="G74" s="721"/>
      <c r="H74" s="721"/>
      <c r="I74" s="59">
        <f>VLOOKUP( $B74, T_Aop[], 4, 1)</f>
        <v>554</v>
      </c>
      <c r="J74" s="571"/>
      <c r="K74" s="155"/>
      <c r="L74" s="156"/>
      <c r="P74" s="27"/>
    </row>
    <row r="75" spans="2:16" ht="12" customHeight="1">
      <c r="B75" s="47">
        <v>338</v>
      </c>
      <c r="C75" s="66" t="str">
        <f>VLOOKUP( $B75, T_Aop[], 5, 1)</f>
        <v>4</v>
      </c>
      <c r="D75" s="744" t="str">
        <f>VLOOKUP( $B75, T_Aop[], 6, 1)</f>
        <v xml:space="preserve">    Odlivi po osnovu lizinga </v>
      </c>
      <c r="E75" s="744"/>
      <c r="F75" s="744"/>
      <c r="G75" s="744"/>
      <c r="H75" s="744"/>
      <c r="I75" s="75">
        <f>VLOOKUP( $B75, T_Aop[], 4, 1)</f>
        <v>555</v>
      </c>
      <c r="J75" s="572"/>
      <c r="K75" s="159"/>
      <c r="L75" s="160"/>
      <c r="P75" s="27"/>
    </row>
    <row r="76" spans="2:16" ht="12" customHeight="1">
      <c r="B76" s="47">
        <v>339</v>
      </c>
      <c r="C76" s="58" t="str">
        <f>VLOOKUP( $B76, T_Aop[], 5, 1)</f>
        <v>5</v>
      </c>
      <c r="D76" s="721" t="str">
        <f>VLOOKUP( $B76, T_Aop[], 6, 1)</f>
        <v xml:space="preserve">    Odlivi po osnovu dužničkih instrumenata</v>
      </c>
      <c r="E76" s="721"/>
      <c r="F76" s="721"/>
      <c r="G76" s="721"/>
      <c r="H76" s="721"/>
      <c r="I76" s="59">
        <f>VLOOKUP( $B76, T_Aop[], 4, 1)</f>
        <v>556</v>
      </c>
      <c r="J76" s="571"/>
      <c r="K76" s="155"/>
      <c r="L76" s="156"/>
      <c r="P76" s="27"/>
    </row>
    <row r="77" spans="2:16" ht="12" customHeight="1">
      <c r="B77" s="47">
        <v>340</v>
      </c>
      <c r="C77" s="66" t="str">
        <f>VLOOKUP( $B77, T_Aop[], 5, 1)</f>
        <v>6</v>
      </c>
      <c r="D77" s="744" t="str">
        <f>VLOOKUP( $B77, T_Aop[], 6, 1)</f>
        <v xml:space="preserve">    Odlivi po osnovu isplaćenih dividendi</v>
      </c>
      <c r="E77" s="744"/>
      <c r="F77" s="744"/>
      <c r="G77" s="744"/>
      <c r="H77" s="744"/>
      <c r="I77" s="75">
        <f>VLOOKUP( $B77, T_Aop[], 4, 1)</f>
        <v>557</v>
      </c>
      <c r="J77" s="572"/>
      <c r="K77" s="159"/>
      <c r="L77" s="160"/>
      <c r="P77" s="27"/>
    </row>
    <row r="78" spans="2:16" ht="12" customHeight="1">
      <c r="B78" s="47">
        <v>341</v>
      </c>
      <c r="C78" s="58" t="str">
        <f>VLOOKUP( $B78, T_Aop[], 5, 1)</f>
        <v>7</v>
      </c>
      <c r="D78" s="721" t="str">
        <f>VLOOKUP( $B78, T_Aop[], 6, 1)</f>
        <v xml:space="preserve">    Ostali odlivi iz aktivnosti finansiranja</v>
      </c>
      <c r="E78" s="721"/>
      <c r="F78" s="721"/>
      <c r="G78" s="721"/>
      <c r="H78" s="721"/>
      <c r="I78" s="59">
        <f>VLOOKUP( $B78, T_Aop[], 4, 1)</f>
        <v>558</v>
      </c>
      <c r="J78" s="571"/>
      <c r="K78" s="155"/>
      <c r="L78" s="156"/>
      <c r="P78" s="27"/>
    </row>
    <row r="79" spans="2:16" ht="12" customHeight="1">
      <c r="B79" s="47">
        <v>342</v>
      </c>
      <c r="C79" s="66" t="str">
        <f>VLOOKUP( $B79, T_Aop[], 5, 1)</f>
        <v>III</v>
      </c>
      <c r="D79" s="745" t="str">
        <f>VLOOKUP( $B79, T_Aop[], 6, 1)</f>
        <v xml:space="preserve">  Neto priliv gotovine iz aktivnosti finansiranja (544 – 551)</v>
      </c>
      <c r="E79" s="745"/>
      <c r="F79" s="745"/>
      <c r="G79" s="745"/>
      <c r="H79" s="745"/>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c r="B80" s="47">
        <v>343</v>
      </c>
      <c r="C80" s="58" t="str">
        <f>VLOOKUP( $B80, T_Aop[], 5, 1)</f>
        <v>IV</v>
      </c>
      <c r="D80" s="726" t="str">
        <f>VLOOKUP( $B80, T_Aop[], 6, 1)</f>
        <v xml:space="preserve">  Neto odliv gotovine iz aktivnosti finansiranja (551 – 544) </v>
      </c>
      <c r="E80" s="726"/>
      <c r="F80" s="726"/>
      <c r="G80" s="726"/>
      <c r="H80" s="726"/>
      <c r="I80" s="178">
        <f>VLOOKUP( $B80, T_Aop[], 4, 1)</f>
        <v>560</v>
      </c>
      <c r="J80" s="571"/>
      <c r="K80" s="60">
        <f>IF( SUBTOTAL( 9, K64:K70) - SUBTOTAL( 9, K71:K78) &gt;= 0, 0, ABS( SUBTOTAL( 9, K64:K70) - SUBTOTAL( 9, K71:K78)) )</f>
        <v>0</v>
      </c>
      <c r="L80" s="61">
        <f>IF( SUBTOTAL( 9, L64:L70) - SUBTOTAL( 9, L71:L78) &gt;= 0, 0, ABS( SUBTOTAL( 9, L64:L70) - SUBTOTAL( 9, L71:L78)) )</f>
        <v>0</v>
      </c>
      <c r="P80" s="27"/>
    </row>
    <row r="81" spans="2:16" ht="12.75" customHeight="1">
      <c r="B81" s="47">
        <v>344</v>
      </c>
      <c r="C81" s="66" t="str">
        <f>VLOOKUP( $B81, T_Aop[], 5, 1)</f>
        <v>G</v>
      </c>
      <c r="D81" s="745" t="str">
        <f>VLOOKUP( $B81, T_Aop[], 6, 1)</f>
        <v>UKUPNI PRILIVI GOTOVINE (501 + 515 + 544)</v>
      </c>
      <c r="E81" s="745"/>
      <c r="F81" s="745"/>
      <c r="G81" s="745"/>
      <c r="H81" s="745"/>
      <c r="I81" s="189">
        <f>VLOOKUP( $B81, T_Aop[], 4, 1)</f>
        <v>561</v>
      </c>
      <c r="J81" s="572"/>
      <c r="K81" s="67">
        <f>SUBTOTAL( 9, K21:K25, K35:K50, K64:K70)</f>
        <v>555036</v>
      </c>
      <c r="L81" s="68">
        <f>SUBTOTAL( 9, L21:L25, L35:L50, L64:L70)</f>
        <v>393319</v>
      </c>
      <c r="P81" s="27"/>
    </row>
    <row r="82" spans="2:16" ht="12.75" customHeight="1">
      <c r="B82" s="47">
        <v>345</v>
      </c>
      <c r="C82" s="58" t="str">
        <f>VLOOKUP( $B82, T_Aop[], 5, 1)</f>
        <v>D</v>
      </c>
      <c r="D82" s="726" t="str">
        <f>VLOOKUP( $B82, T_Aop[], 6, 1)</f>
        <v>UKUPNI ODLIVI GOTOVINE (506 + 531 + 551)</v>
      </c>
      <c r="E82" s="726"/>
      <c r="F82" s="726"/>
      <c r="G82" s="726"/>
      <c r="H82" s="726"/>
      <c r="I82" s="178">
        <f>VLOOKUP( $B82, T_Aop[], 4, 1)</f>
        <v>562</v>
      </c>
      <c r="J82" s="571"/>
      <c r="K82" s="60">
        <f>SUBTOTAL( 9, K26:K32, K51:K61, K71:K78)</f>
        <v>540310</v>
      </c>
      <c r="L82" s="61">
        <f>SUBTOTAL( 9, L26:L32, L51:L61, L71:L78)</f>
        <v>397482</v>
      </c>
      <c r="P82" s="27"/>
    </row>
    <row r="83" spans="2:16" ht="12.75" customHeight="1">
      <c r="B83" s="47">
        <v>346</v>
      </c>
      <c r="C83" s="66" t="str">
        <f>VLOOKUP( $B83, T_Aop[], 5, 1)</f>
        <v>Đ</v>
      </c>
      <c r="D83" s="727" t="str">
        <f>VLOOKUP( $B83, T_Aop[], 6, 1)</f>
        <v>NETO PRILIV GOTOVINE (561 – 562)</v>
      </c>
      <c r="E83" s="727"/>
      <c r="F83" s="727"/>
      <c r="G83" s="727"/>
      <c r="H83" s="727"/>
      <c r="I83" s="179">
        <f>VLOOKUP( $B83, T_Aop[], 4, 1)</f>
        <v>563</v>
      </c>
      <c r="J83" s="572"/>
      <c r="K83" s="67">
        <f>IF( SUBTOTAL( 9, K21:K25, K35:K50, K64:K70) - SUBTOTAL( 9, K26:K32, K51:K61, K71:K78) &lt;= 0, 0, ABS( SUBTOTAL( 9, K21:K25, K35:K50, K64:K70) - SUBTOTAL( 9, K26:K32, K51:K61, K71:K78)))</f>
        <v>14726</v>
      </c>
      <c r="L83" s="68">
        <f>IF( SUBTOTAL( 9, L21:L25, L35:L50, L64:L70) - SUBTOTAL( 9, L26:L32, L51:L61, L71:L78) &lt;= 0, 0, ABS( SUBTOTAL( 9, L21:L25, L35:L50, L64:L70) - SUBTOTAL( 9, L26:L32, L51:L61, L71:L78)))</f>
        <v>0</v>
      </c>
      <c r="P83" s="27"/>
    </row>
    <row r="84" spans="2:16" ht="12.75" customHeight="1">
      <c r="B84" s="47">
        <v>347</v>
      </c>
      <c r="C84" s="58" t="str">
        <f>VLOOKUP( $B84, T_Aop[], 5, 1)</f>
        <v>E</v>
      </c>
      <c r="D84" s="726" t="str">
        <f>VLOOKUP( $B84, T_Aop[], 6, 1)</f>
        <v>NETO ODLIV GOTOVINE (562 – 561)</v>
      </c>
      <c r="E84" s="726"/>
      <c r="F84" s="726"/>
      <c r="G84" s="726"/>
      <c r="H84" s="726"/>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4163</v>
      </c>
      <c r="P84" s="27"/>
    </row>
    <row r="85" spans="2:16" ht="12.75" customHeight="1">
      <c r="B85" s="47">
        <v>348</v>
      </c>
      <c r="C85" s="66" t="str">
        <f>VLOOKUP( $B85, T_Aop[], 5, 1)</f>
        <v>Ž</v>
      </c>
      <c r="D85" s="727" t="str">
        <f>VLOOKUP( $B85, T_Aop[], 6, 1)</f>
        <v xml:space="preserve">GOTOVINA NA POČETKU OBRAČUNSKOG PERIODA </v>
      </c>
      <c r="E85" s="727"/>
      <c r="F85" s="727"/>
      <c r="G85" s="727"/>
      <c r="H85" s="727"/>
      <c r="I85" s="179">
        <f>VLOOKUP( $B85, T_Aop[], 4, 1)</f>
        <v>565</v>
      </c>
      <c r="J85" s="530"/>
      <c r="K85" s="161"/>
      <c r="L85" s="162">
        <v>14633</v>
      </c>
      <c r="P85" s="27"/>
    </row>
    <row r="86" spans="2:16" ht="12.75" customHeight="1">
      <c r="B86" s="47">
        <v>349</v>
      </c>
      <c r="C86" s="58" t="str">
        <f>VLOOKUP( $B86, T_Aop[], 5, 1)</f>
        <v>Z</v>
      </c>
      <c r="D86" s="726" t="str">
        <f>VLOOKUP( $B86, T_Aop[], 6, 1)</f>
        <v>POZITIVNE KURSNE RAZLIKE PO OSNOVU PRERAČUNA GOTOVINE</v>
      </c>
      <c r="E86" s="726"/>
      <c r="F86" s="726"/>
      <c r="G86" s="726"/>
      <c r="H86" s="726"/>
      <c r="I86" s="178">
        <f>VLOOKUP( $B86, T_Aop[], 4, 1)</f>
        <v>566</v>
      </c>
      <c r="J86" s="531"/>
      <c r="K86" s="81"/>
      <c r="L86" s="82"/>
      <c r="P86" s="27"/>
    </row>
    <row r="87" spans="2:16" ht="12.75" customHeight="1">
      <c r="B87" s="47">
        <v>350</v>
      </c>
      <c r="C87" s="66" t="str">
        <f>VLOOKUP( $B87, T_Aop[], 5, 1)</f>
        <v>I</v>
      </c>
      <c r="D87" s="727" t="str">
        <f>VLOOKUP( $B87, T_Aop[], 6, 1)</f>
        <v>NEGATIVNE KURSNE RAZLIKE PO OSNOVU PRERAČUNA GOTOVINE</v>
      </c>
      <c r="E87" s="727"/>
      <c r="F87" s="727"/>
      <c r="G87" s="727"/>
      <c r="H87" s="727"/>
      <c r="I87" s="179">
        <f>VLOOKUP( $B87, T_Aop[], 4, 1)</f>
        <v>567</v>
      </c>
      <c r="J87" s="530"/>
      <c r="K87" s="161"/>
      <c r="L87" s="162"/>
      <c r="P87" s="27"/>
    </row>
    <row r="88" spans="2:16" ht="12.75" customHeight="1">
      <c r="B88" s="47">
        <v>351</v>
      </c>
      <c r="C88" s="191" t="str">
        <f>VLOOKUP( $B88, T_Aop[], 5, 1)</f>
        <v>J</v>
      </c>
      <c r="D88" s="748" t="str">
        <f>VLOOKUP( $B88, T_Aop[], 6, 1)</f>
        <v>GOTOVINA NA KRAJU OBRAČUNSKOG PERIODA (565 + 563 – 564 + 566 – 567)</v>
      </c>
      <c r="E88" s="748"/>
      <c r="F88" s="748"/>
      <c r="G88" s="748"/>
      <c r="H88" s="748"/>
      <c r="I88" s="414">
        <f>VLOOKUP( $B88, T_Aop[], 4, 1)</f>
        <v>568</v>
      </c>
      <c r="J88" s="532"/>
      <c r="K88" s="415">
        <f>SUBTOTAL( 9, K21:K25, K35:K50, K64:K70,K85,K86) - SUBTOTAL( 9, K26:K32, K51:K61, K71:K78, K87)</f>
        <v>14726</v>
      </c>
      <c r="L88" s="416">
        <f>SUBTOTAL( 9, L21:L25, L35:L50, L64:L70,L85,L86) - SUBTOTAL( 9, L26:L32, L51:L61, L71:L78, L87)</f>
        <v>10470</v>
      </c>
      <c r="P88" s="27"/>
    </row>
    <row r="89" spans="2:16" ht="3" customHeight="1"/>
    <row r="90" spans="2:16" ht="12" customHeight="1">
      <c r="C90" s="180" t="str">
        <f>Podnozje_U</f>
        <v>U:</v>
      </c>
      <c r="D90" s="419" t="str">
        <f>Podatak_U</f>
        <v>Bileći</v>
      </c>
      <c r="E90"/>
      <c r="F90" s="1" t="str">
        <f>Podnozje_Lice_sa_licencom</f>
        <v>Lice sa licencom:</v>
      </c>
      <c r="G90" s="1" t="str">
        <f>Podatak_Lice_sa_licencom</f>
        <v>Dragana Popara</v>
      </c>
      <c r="I90" s="37" t="str">
        <f>Podnozje_MP</f>
        <v>(M.P.)</v>
      </c>
      <c r="J90" s="14"/>
      <c r="K90" s="746" t="str">
        <f>Podnozje_Direktor</f>
        <v>Lice ovlašćeno za zastupanje:</v>
      </c>
      <c r="L90" s="746"/>
    </row>
    <row r="91" spans="2:16" ht="21.75" customHeight="1">
      <c r="C91" s="28"/>
      <c r="D91" s="127"/>
      <c r="E91"/>
      <c r="F91" s="13" t="str">
        <f>Podnozje_Broj_licence</f>
        <v>Broj licence:</v>
      </c>
      <c r="G91" s="13" t="str">
        <f>Podatak_Broj_Licence</f>
        <v>SR 1639/25</v>
      </c>
      <c r="H91" s="424"/>
      <c r="I91" s="424"/>
      <c r="J91" s="208"/>
      <c r="K91" s="747" t="str">
        <f>Podatak_Direktor</f>
        <v>Božo Delić</v>
      </c>
      <c r="L91" s="747"/>
    </row>
    <row r="92" spans="2:16" ht="20.25" customHeight="1">
      <c r="C92" s="180" t="str">
        <f>Podnozje_Dana</f>
        <v>Dana:</v>
      </c>
      <c r="D92" s="418" t="str">
        <f>Podatak_Dana</f>
        <v>31.07.2025.</v>
      </c>
      <c r="E92"/>
      <c r="F92" s="742"/>
      <c r="G92" s="742"/>
      <c r="K92" s="742"/>
      <c r="L92" s="742"/>
    </row>
    <row r="93" spans="2:16" ht="15.2" customHeight="1">
      <c r="F93" s="40"/>
      <c r="G93" s="40"/>
      <c r="H93" s="40"/>
      <c r="I93" s="9"/>
      <c r="J93" s="37"/>
      <c r="K93" s="37"/>
    </row>
    <row r="94" spans="2:16"/>
    <row r="95" spans="2:16"/>
    <row r="96" spans="2:16"/>
    <row r="97"/>
    <row r="98"/>
    <row r="99"/>
    <row r="100"/>
  </sheetData>
  <sheetProtection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929" yWindow="379"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10;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worksheet>
</file>

<file path=xl/worksheets/sheet7.xml><?xml version="1.0" encoding="utf-8"?>
<worksheet xmlns="http://schemas.openxmlformats.org/spreadsheetml/2006/main" xmlns:r="http://schemas.openxmlformats.org/officeDocument/2006/relationships">
  <sheetPr codeName="Sheet04">
    <tabColor rgb="FFB2B2B2"/>
  </sheetPr>
  <dimension ref="A1:IU101"/>
  <sheetViews>
    <sheetView showGridLines="0" showRowColHeaders="0" zoomScaleSheetLayoutView="100" workbookViewId="0">
      <pane xSplit="13" ySplit="4" topLeftCell="N74" activePane="bottomRight" state="frozen"/>
      <selection activeCell="K31" sqref="K31"/>
      <selection pane="topRight" activeCell="K31" sqref="K31"/>
      <selection pane="bottomLeft" activeCell="K31" sqref="K31"/>
      <selection pane="bottomRight" activeCell="J81" sqref="J81"/>
    </sheetView>
  </sheetViews>
  <sheetFormatPr defaultColWidth="0" defaultRowHeight="12.75" zeroHeight="1"/>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c r="C1" s="18"/>
      <c r="D1" s="18"/>
      <c r="E1" s="18"/>
      <c r="F1" s="18"/>
      <c r="G1" s="18"/>
      <c r="H1" s="18"/>
      <c r="I1" s="18"/>
      <c r="J1" s="18"/>
      <c r="K1" s="18"/>
    </row>
    <row r="2" spans="3:11">
      <c r="C2" s="18"/>
      <c r="D2" s="18"/>
      <c r="E2" s="18"/>
      <c r="F2" s="18"/>
      <c r="G2" s="18"/>
      <c r="H2" s="18"/>
      <c r="I2" s="18"/>
      <c r="J2" s="18"/>
      <c r="K2" s="18"/>
    </row>
    <row r="3" spans="3:11">
      <c r="C3" s="18"/>
      <c r="D3" s="18"/>
      <c r="E3" s="18"/>
      <c r="F3" s="18"/>
      <c r="G3" s="18"/>
      <c r="H3" s="18"/>
      <c r="I3" s="18"/>
      <c r="J3" s="18"/>
      <c r="K3" s="18"/>
    </row>
    <row r="4" spans="3:11">
      <c r="C4" s="18"/>
      <c r="D4" s="18"/>
      <c r="E4" s="18"/>
      <c r="F4" s="18"/>
      <c r="G4" s="18"/>
      <c r="H4" s="18"/>
      <c r="I4" s="18"/>
      <c r="J4" s="18"/>
      <c r="K4" s="18"/>
    </row>
    <row r="5" spans="3:11" ht="12.75" customHeight="1">
      <c r="C5" s="646" t="str">
        <f>Zaglavlje_Naziv_preduzeca</f>
        <v xml:space="preserve">Naziv privrednog društva, zadruge, drugog pravnog lica ili preduzetnika: </v>
      </c>
      <c r="D5" s="646"/>
      <c r="E5" s="646"/>
      <c r="J5" s="766" t="str">
        <f>Podatak_MB</f>
        <v>01937189</v>
      </c>
      <c r="K5" s="766"/>
    </row>
    <row r="6" spans="3:11">
      <c r="C6" s="646"/>
      <c r="D6" s="646"/>
      <c r="E6" s="646"/>
      <c r="F6" s="9"/>
      <c r="K6" s="421" t="str">
        <f>Zaglavlje_MB</f>
        <v>Matični broj</v>
      </c>
    </row>
    <row r="7" spans="3:11" ht="12.75" customHeight="1">
      <c r="C7" s="658" t="str">
        <f>Podatak_Naziv_preduzeca</f>
        <v>Javno preduzeće Komus akcionarsko društvo</v>
      </c>
      <c r="D7" s="658"/>
      <c r="E7" s="658"/>
      <c r="F7" s="17"/>
      <c r="K7" s="392" t="str">
        <f>Podatak_Sifra_djelatnosti</f>
        <v>38.11</v>
      </c>
    </row>
    <row r="8" spans="3:11">
      <c r="C8" s="125" t="str">
        <f>Zaglavlje_Sjediste</f>
        <v>Sjedište:</v>
      </c>
      <c r="D8" s="753" t="str">
        <f>Podatak_Sjediste</f>
        <v>Svetog Vasilija Ostroškog 5 Bileća</v>
      </c>
      <c r="E8" s="753"/>
      <c r="F8" s="17"/>
      <c r="K8" s="421" t="str">
        <f>Zaglavlje_Sifra_djelatnosti</f>
        <v>Šifra djelatnosti</v>
      </c>
    </row>
    <row r="9" spans="3:11">
      <c r="C9" s="657" t="str">
        <f>Zaglavlje_Ziro_racun</f>
        <v>Račun kod ovlašćene organizacije za platni promet:</v>
      </c>
      <c r="D9" s="657"/>
      <c r="E9" s="657"/>
      <c r="F9" s="244"/>
      <c r="K9" s="392" t="str">
        <f>Podatak_JIB</f>
        <v>4401376020001</v>
      </c>
    </row>
    <row r="10" spans="3:11">
      <c r="C10" s="659" t="str">
        <f>Podatak_Ziro_racun_1</f>
        <v>562-008-00000026-25</v>
      </c>
      <c r="D10" s="659"/>
      <c r="E10" s="659"/>
      <c r="F10" s="244"/>
      <c r="K10" s="243" t="str">
        <f>Zaglavlje_JIB</f>
        <v>JIB</v>
      </c>
    </row>
    <row r="11" spans="3:11">
      <c r="C11" s="659" t="str">
        <f>Podatak_Ziro_racun_2</f>
        <v>552-003-00007081-13</v>
      </c>
      <c r="D11" s="659"/>
      <c r="E11" s="659"/>
      <c r="F11" s="244"/>
      <c r="K11" s="246"/>
    </row>
    <row r="12" spans="3:11">
      <c r="C12" s="691" t="str">
        <f>Podatak_Ziro_racun_3</f>
        <v/>
      </c>
      <c r="D12" s="691"/>
      <c r="E12" s="691"/>
      <c r="F12" s="14"/>
    </row>
    <row r="13" spans="3:11">
      <c r="C13" s="691" t="str">
        <f>Podatak_Ziro_racun_4</f>
        <v/>
      </c>
      <c r="D13" s="691"/>
      <c r="E13" s="691"/>
      <c r="F13" s="18"/>
      <c r="G13" s="18"/>
      <c r="H13" s="18"/>
      <c r="I13" s="18"/>
      <c r="J13"/>
      <c r="K13"/>
    </row>
    <row r="14" spans="3:11" ht="15.75">
      <c r="C14" s="749" t="str">
        <f>IF( Id_Konsolidovani, Nazivi_bilansa_Konsolidovani_naziv &amp; LOWER( Nazivi_bilansa_Aneks), Nazivi_bilansa_Aneks)</f>
        <v>Aneks</v>
      </c>
      <c r="D14" s="749"/>
      <c r="E14" s="749"/>
      <c r="F14" s="749"/>
      <c r="G14" s="749"/>
      <c r="H14" s="749"/>
      <c r="I14" s="749"/>
      <c r="J14" s="749"/>
      <c r="K14" s="749"/>
    </row>
    <row r="15" spans="3:11">
      <c r="C15" s="750" t="str">
        <f>Nazivi_bilansa_Aneks1</f>
        <v>(Dodatni računovodstveni izvještaj)</v>
      </c>
      <c r="D15" s="750"/>
      <c r="E15" s="750"/>
      <c r="F15" s="750"/>
      <c r="G15" s="750"/>
      <c r="H15" s="750"/>
      <c r="I15" s="750"/>
      <c r="J15" s="750"/>
      <c r="K15" s="750"/>
    </row>
    <row r="16" spans="3:11">
      <c r="C16" s="750" t="str">
        <f>Datumi_Datum_Aneks</f>
        <v>za period od 01.01. do 30.06.2025. godine</v>
      </c>
      <c r="D16" s="750"/>
      <c r="E16" s="750"/>
      <c r="F16" s="750"/>
      <c r="G16" s="750"/>
      <c r="H16" s="750"/>
      <c r="I16" s="750"/>
      <c r="J16" s="750"/>
      <c r="K16" s="750"/>
    </row>
    <row r="17" spans="2:15">
      <c r="C17" s="41"/>
      <c r="D17" s="41"/>
      <c r="E17" s="41"/>
      <c r="F17" s="41"/>
      <c r="G17" s="41"/>
      <c r="H17" s="41"/>
      <c r="I17" s="41"/>
      <c r="J17" s="41"/>
      <c r="K17" s="21" t="str">
        <f>Tabele_zaglavlje_Valuta</f>
        <v>- u konvertibilnim markama -</v>
      </c>
    </row>
    <row r="18" spans="2:15">
      <c r="C18" s="728" t="str">
        <f>Tabele_zaglavlje_Grupa_racuna</f>
        <v>Grupa računa, račun</v>
      </c>
      <c r="D18" s="730" t="str">
        <f>Tabele_zaglavlje_Pozicija</f>
        <v>POZICIJA</v>
      </c>
      <c r="E18" s="730"/>
      <c r="F18" s="730"/>
      <c r="G18" s="730"/>
      <c r="H18" s="730"/>
      <c r="I18" s="739" t="str">
        <f>Tabele_zaglavlje_Oznaka_aop</f>
        <v>Oznaka za AOP</v>
      </c>
      <c r="J18" s="730" t="str">
        <f>Tabele_zaglavlje_Iznos</f>
        <v>Iznos</v>
      </c>
      <c r="K18" s="763"/>
    </row>
    <row r="19" spans="2:15" ht="25.5">
      <c r="C19" s="729"/>
      <c r="D19" s="731"/>
      <c r="E19" s="731"/>
      <c r="F19" s="731"/>
      <c r="G19" s="731"/>
      <c r="H19" s="731"/>
      <c r="I19" s="740"/>
      <c r="J19" s="42" t="str">
        <f>Tabele_zaglavlje_Tekuca_godina</f>
        <v>Tekuća godina</v>
      </c>
      <c r="K19" s="43" t="str">
        <f>Tabele_zaglavlje_Prethodna_godina</f>
        <v>Prethodna godina</v>
      </c>
      <c r="O19" s="134" t="s">
        <v>490</v>
      </c>
    </row>
    <row r="20" spans="2:15">
      <c r="B20" s="44" t="s">
        <v>123</v>
      </c>
      <c r="C20" s="69">
        <v>1</v>
      </c>
      <c r="D20" s="732">
        <v>2</v>
      </c>
      <c r="E20" s="732"/>
      <c r="F20" s="732"/>
      <c r="G20" s="732"/>
      <c r="H20" s="732"/>
      <c r="I20" s="70">
        <v>3</v>
      </c>
      <c r="J20" s="76">
        <v>4</v>
      </c>
      <c r="K20" s="77">
        <v>5</v>
      </c>
    </row>
    <row r="21" spans="2:15">
      <c r="B21" s="47">
        <v>352</v>
      </c>
      <c r="C21" s="71" t="str">
        <f>VLOOKUP( $B21, T_Aop[], 5, 1)</f>
        <v>010</v>
      </c>
      <c r="D21" s="764" t="str">
        <f>VLOOKUP( $B21, T_Aop[], 6, 1)</f>
        <v>Ulaganja u istraživanje i razvoj (dugovni promet bez početnog stanja)</v>
      </c>
      <c r="E21" s="764"/>
      <c r="F21" s="764"/>
      <c r="G21" s="764"/>
      <c r="H21" s="764"/>
      <c r="I21" s="190">
        <f>VLOOKUP( $B21, T_Aop[], 4, 1)</f>
        <v>601</v>
      </c>
      <c r="J21" s="205"/>
      <c r="K21" s="206"/>
      <c r="O21" s="27"/>
    </row>
    <row r="22" spans="2:15" ht="25.5">
      <c r="B22" s="47">
        <v>353</v>
      </c>
      <c r="C22" s="58" t="str">
        <f>VLOOKUP( $B22, T_Aop[], 5, 1)</f>
        <v>201, dio 200</v>
      </c>
      <c r="D22" s="721" t="str">
        <f>VLOOKUP( $B22, T_Aop[], 6, 1)</f>
        <v>Kupci iz Republike Srpske i kupci - povezana pravna lica iz RS (dugovni promet bez početnog stanja)</v>
      </c>
      <c r="E22" s="721"/>
      <c r="F22" s="721"/>
      <c r="G22" s="721"/>
      <c r="H22" s="721"/>
      <c r="I22" s="59">
        <f>VLOOKUP( $B22, T_Aop[], 4, 1)</f>
        <v>602</v>
      </c>
      <c r="J22" s="155">
        <f>149785+144344</f>
        <v>294129</v>
      </c>
      <c r="K22" s="156"/>
      <c r="O22" s="133" t="s">
        <v>313</v>
      </c>
    </row>
    <row r="23" spans="2:15" ht="25.5" customHeight="1">
      <c r="B23" s="47">
        <v>354</v>
      </c>
      <c r="C23" s="62" t="str">
        <f>VLOOKUP( $B23, T_Aop[], 5, 1)</f>
        <v>202, dio 200</v>
      </c>
      <c r="D23" s="757" t="str">
        <f>VLOOKUP( $B23, T_Aop[], 6, 1)</f>
        <v>Kupci iz Federacije BiH i kupci - povezana pravna lica iz FBiH (dugovni promet bez početnog stanja)</v>
      </c>
      <c r="E23" s="758"/>
      <c r="F23" s="758"/>
      <c r="G23" s="758"/>
      <c r="H23" s="759"/>
      <c r="I23" s="75">
        <f>VLOOKUP( $B23, T_Aop[], 4, 1)</f>
        <v>603</v>
      </c>
      <c r="J23" s="157">
        <v>3500</v>
      </c>
      <c r="K23" s="158">
        <v>2800</v>
      </c>
      <c r="O23" s="133" t="s">
        <v>313</v>
      </c>
    </row>
    <row r="24" spans="2:15" ht="25.5" customHeight="1">
      <c r="B24" s="47">
        <v>355</v>
      </c>
      <c r="C24" s="58" t="str">
        <f>VLOOKUP( $B24, T_Aop[], 5, 1)</f>
        <v>203, dio 200</v>
      </c>
      <c r="D24" s="760" t="str">
        <f>VLOOKUP( $B24, T_Aop[], 6, 1)</f>
        <v>Kupci iz Brčko Distrikta BiH i kupci - povezana pravna lica iz BD (dugovni promet bez početnog stanja)</v>
      </c>
      <c r="E24" s="761"/>
      <c r="F24" s="761"/>
      <c r="G24" s="761"/>
      <c r="H24" s="762"/>
      <c r="I24" s="59">
        <f>VLOOKUP( $B24, T_Aop[], 4, 1)</f>
        <v>604</v>
      </c>
      <c r="J24" s="155">
        <v>95</v>
      </c>
      <c r="K24" s="156">
        <v>58</v>
      </c>
      <c r="O24" s="133" t="s">
        <v>313</v>
      </c>
    </row>
    <row r="25" spans="2:15" ht="25.5">
      <c r="B25" s="47">
        <v>356</v>
      </c>
      <c r="C25" s="62" t="str">
        <f>VLOOKUP( $B25, T_Aop[], 5, 1)</f>
        <v>432, dio 431</v>
      </c>
      <c r="D25" s="757" t="str">
        <f>VLOOKUP( $B25, T_Aop[], 6, 1)</f>
        <v>Dobavljači iz Republike Srpske i dobavljači - povezana pravna lica iz RS (potražni promet bez početnog stanja)</v>
      </c>
      <c r="E25" s="758"/>
      <c r="F25" s="758"/>
      <c r="G25" s="758"/>
      <c r="H25" s="759"/>
      <c r="I25" s="75">
        <f>VLOOKUP( $B25, T_Aop[], 4, 1)</f>
        <v>605</v>
      </c>
      <c r="J25" s="157">
        <v>310590</v>
      </c>
      <c r="K25" s="158">
        <v>21398</v>
      </c>
      <c r="O25" s="133" t="s">
        <v>313</v>
      </c>
    </row>
    <row r="26" spans="2:15" ht="25.5">
      <c r="B26" s="47">
        <v>357</v>
      </c>
      <c r="C26" s="58" t="str">
        <f>VLOOKUP( $B26, T_Aop[], 5, 1)</f>
        <v>433, dio 431</v>
      </c>
      <c r="D26" s="760" t="str">
        <f>VLOOKUP( $B26, T_Aop[], 6, 1)</f>
        <v>Dobavljači iz Federacije BiH i dobavljači - povezana pravna lica iz FBiH (potražni promet bez početnog stanja)</v>
      </c>
      <c r="E26" s="761"/>
      <c r="F26" s="761"/>
      <c r="G26" s="761"/>
      <c r="H26" s="762"/>
      <c r="I26" s="59">
        <f>VLOOKUP( $B26, T_Aop[], 4, 1)</f>
        <v>606</v>
      </c>
      <c r="J26" s="155"/>
      <c r="K26" s="156"/>
      <c r="O26" s="133" t="s">
        <v>313</v>
      </c>
    </row>
    <row r="27" spans="2:15" ht="25.5">
      <c r="B27" s="47">
        <v>358</v>
      </c>
      <c r="C27" s="62" t="str">
        <f>VLOOKUP( $B27, T_Aop[], 5, 1)</f>
        <v>434, dio 431</v>
      </c>
      <c r="D27" s="757" t="str">
        <f>VLOOKUP( $B27, T_Aop[], 6, 1)</f>
        <v>Dobavljači iz Brčko Distrikta BiH i dobavljači - povezana pravna lica iz DB (potražni promet bez početnog stanja)</v>
      </c>
      <c r="E27" s="758"/>
      <c r="F27" s="758"/>
      <c r="G27" s="758"/>
      <c r="H27" s="759"/>
      <c r="I27" s="75">
        <f>VLOOKUP( $B27, T_Aop[], 4, 1)</f>
        <v>607</v>
      </c>
      <c r="J27" s="157"/>
      <c r="K27" s="158"/>
      <c r="O27" s="133" t="s">
        <v>313</v>
      </c>
    </row>
    <row r="28" spans="2:15" ht="25.5" customHeight="1">
      <c r="B28" s="47">
        <v>359</v>
      </c>
      <c r="C28" s="58" t="str">
        <f>VLOOKUP( $B28, T_Aop[], 5, 1)</f>
        <v>601, dio 600, dio 605</v>
      </c>
      <c r="D28" s="760" t="str">
        <f>VLOOKUP( $B28, T_Aop[], 6, 1)</f>
        <v>Prihodi od prodaje robe u Republici Srpskoj i prihodi od prodaje robe povezanim pravnim licima u RS</v>
      </c>
      <c r="E28" s="761"/>
      <c r="F28" s="761"/>
      <c r="G28" s="761"/>
      <c r="H28" s="762"/>
      <c r="I28" s="59">
        <f>VLOOKUP( $B28, T_Aop[], 4, 1)</f>
        <v>608</v>
      </c>
      <c r="J28" s="155"/>
      <c r="K28" s="156"/>
      <c r="O28" s="133" t="s">
        <v>313</v>
      </c>
    </row>
    <row r="29" spans="2:15" ht="25.5" customHeight="1">
      <c r="B29" s="47">
        <v>360</v>
      </c>
      <c r="C29" s="62" t="str">
        <f>VLOOKUP( $B29, T_Aop[], 5, 1)</f>
        <v>602, dio 600, dio 605</v>
      </c>
      <c r="D29" s="757" t="str">
        <f>VLOOKUP( $B29, T_Aop[], 6, 1)</f>
        <v>Prihodi od prodaje robe u Federaciji BiH i prihodi od prodaje robe povezanim pravnim licima u FBiH</v>
      </c>
      <c r="E29" s="758"/>
      <c r="F29" s="758"/>
      <c r="G29" s="758"/>
      <c r="H29" s="759"/>
      <c r="I29" s="75">
        <f>VLOOKUP( $B29, T_Aop[], 4, 1)</f>
        <v>609</v>
      </c>
      <c r="J29" s="157"/>
      <c r="K29" s="158"/>
      <c r="O29" s="133" t="s">
        <v>313</v>
      </c>
    </row>
    <row r="30" spans="2:15" ht="25.5" customHeight="1">
      <c r="B30" s="47">
        <v>361</v>
      </c>
      <c r="C30" s="58" t="str">
        <f>VLOOKUP( $B30, T_Aop[], 5, 1)</f>
        <v>603, dio 600, dio 605</v>
      </c>
      <c r="D30" s="760" t="str">
        <f>VLOOKUP( $B30, T_Aop[], 6, 1)</f>
        <v>Prihodi od prodaje robe u Brčko Distriktu BiH i prihodi od prodaje robe povezanim pravnim licima u BD</v>
      </c>
      <c r="E30" s="761"/>
      <c r="F30" s="761"/>
      <c r="G30" s="761"/>
      <c r="H30" s="762"/>
      <c r="I30" s="59">
        <f>VLOOKUP( $B30, T_Aop[], 4, 1)</f>
        <v>610</v>
      </c>
      <c r="J30" s="155"/>
      <c r="K30" s="156"/>
      <c r="O30" s="133" t="s">
        <v>313</v>
      </c>
    </row>
    <row r="31" spans="2:15" ht="25.5" customHeight="1">
      <c r="B31" s="47">
        <v>362</v>
      </c>
      <c r="C31" s="62" t="str">
        <f>VLOOKUP( $B31, T_Aop[], 5, 1)</f>
        <v>611, dio 610, dio 615</v>
      </c>
      <c r="D31" s="757" t="str">
        <f>VLOOKUP( $B31, T_Aop[], 6, 1)</f>
        <v>Prihodi od prodaje proizvoda u Republici Srpskoj i prihodi od prodaje proizvoda povezanim pravnim licima u Republici Srpskoj</v>
      </c>
      <c r="E31" s="758"/>
      <c r="F31" s="758"/>
      <c r="G31" s="758"/>
      <c r="H31" s="759"/>
      <c r="I31" s="75">
        <f>VLOOKUP( $B31, T_Aop[], 4, 1)</f>
        <v>611</v>
      </c>
      <c r="J31" s="157"/>
      <c r="K31" s="158"/>
      <c r="O31"/>
    </row>
    <row r="32" spans="2:15" ht="25.5" customHeight="1">
      <c r="B32" s="47">
        <v>363</v>
      </c>
      <c r="C32" s="58" t="str">
        <f>VLOOKUP( $B32, T_Aop[], 5, 1)</f>
        <v>612, dio 610, dio 615</v>
      </c>
      <c r="D32" s="760" t="str">
        <f>VLOOKUP( $B32, T_Aop[], 6, 1)</f>
        <v>Prihodi od prodaje proizvoda u Federaciji BiH i prihodi od prodaje proizvoda povezanim pravnim licima u Federaciji BiH</v>
      </c>
      <c r="E32" s="761"/>
      <c r="F32" s="761"/>
      <c r="G32" s="761"/>
      <c r="H32" s="762"/>
      <c r="I32" s="59">
        <f>VLOOKUP( $B32, T_Aop[], 4, 1)</f>
        <v>612</v>
      </c>
      <c r="J32" s="155"/>
      <c r="K32" s="156"/>
      <c r="O32"/>
    </row>
    <row r="33" spans="2:15" ht="25.5" customHeight="1">
      <c r="B33" s="47">
        <v>364</v>
      </c>
      <c r="C33" s="62" t="str">
        <f>VLOOKUP( $B33, T_Aop[], 5, 1)</f>
        <v>613, dio 610, dio 615</v>
      </c>
      <c r="D33" s="757" t="str">
        <f>VLOOKUP( $B33, T_Aop[], 6, 1)</f>
        <v>Prihodi od prodaje proizvoda u Brčko Distriktu BiH i prihodi od prodaje učinaka povezanim pravnim licima u Brčko Distriktu BiH</v>
      </c>
      <c r="E33" s="758"/>
      <c r="F33" s="758"/>
      <c r="G33" s="758"/>
      <c r="H33" s="759"/>
      <c r="I33" s="75">
        <f>VLOOKUP( $B33, T_Aop[], 4, 1)</f>
        <v>613</v>
      </c>
      <c r="J33" s="157"/>
      <c r="K33" s="158"/>
      <c r="O33" s="133" t="s">
        <v>313</v>
      </c>
    </row>
    <row r="34" spans="2:15" ht="25.5" customHeight="1">
      <c r="B34" s="47">
        <v>365</v>
      </c>
      <c r="C34" s="58" t="str">
        <f>VLOOKUP( $B34, T_Aop[], 5, 1)</f>
        <v>621, dio 620, dio 625</v>
      </c>
      <c r="D34" s="760" t="str">
        <f>VLOOKUP( $B34, T_Aop[], 6, 1)</f>
        <v xml:space="preserve">Prihodi od pruženih usluga u Republici Srpskoj i prihodi od pruženih usluga povezanim pravnim licima u Republici Srpskoj  </v>
      </c>
      <c r="E34" s="761"/>
      <c r="F34" s="761"/>
      <c r="G34" s="761"/>
      <c r="H34" s="762"/>
      <c r="I34" s="59">
        <f>VLOOKUP( $B34, T_Aop[], 4, 1)</f>
        <v>614</v>
      </c>
      <c r="J34" s="155">
        <v>254451</v>
      </c>
      <c r="K34" s="156">
        <v>190324</v>
      </c>
      <c r="O34" s="133" t="s">
        <v>313</v>
      </c>
    </row>
    <row r="35" spans="2:15" ht="25.5" customHeight="1">
      <c r="B35" s="47">
        <v>366</v>
      </c>
      <c r="C35" s="62" t="str">
        <f>VLOOKUP( $B35, T_Aop[], 5, 1)</f>
        <v>622, dio 620, dio 625</v>
      </c>
      <c r="D35" s="757" t="str">
        <f>VLOOKUP( $B35, T_Aop[], 6, 1)</f>
        <v>Prihodi od pruženih usluga u Federaciji BiH i prihodi od pruženih usluga povezanim pravnim licima u Federaciji BiH</v>
      </c>
      <c r="E35" s="758"/>
      <c r="F35" s="758"/>
      <c r="G35" s="758"/>
      <c r="H35" s="759"/>
      <c r="I35" s="75">
        <f>VLOOKUP( $B35, T_Aop[], 4, 1)</f>
        <v>615</v>
      </c>
      <c r="J35" s="157"/>
      <c r="K35" s="158"/>
      <c r="O35" s="133" t="s">
        <v>313</v>
      </c>
    </row>
    <row r="36" spans="2:15" ht="25.5" customHeight="1">
      <c r="B36" s="47">
        <v>367</v>
      </c>
      <c r="C36" s="58" t="str">
        <f>VLOOKUP( $B36, T_Aop[], 5, 1)</f>
        <v>623, dio 620, dio 625</v>
      </c>
      <c r="D36" s="760" t="str">
        <f>VLOOKUP( $B36, T_Aop[], 6, 1)</f>
        <v>Prihodi od pruženih usluga u Brčko Distriktu BiH i prihodi od pruženih usluga povezanim pravnim licima u Brčko Distriktu BiH</v>
      </c>
      <c r="E36" s="761"/>
      <c r="F36" s="761"/>
      <c r="G36" s="761"/>
      <c r="H36" s="762"/>
      <c r="I36" s="59">
        <f>VLOOKUP( $B36, T_Aop[], 4, 1)</f>
        <v>616</v>
      </c>
      <c r="J36" s="155"/>
      <c r="K36" s="156"/>
      <c r="O36" s="27"/>
    </row>
    <row r="37" spans="2:15" ht="12.75" customHeight="1">
      <c r="B37" s="47">
        <v>368</v>
      </c>
      <c r="C37" s="188">
        <f>VLOOKUP( $B37, T_Aop[], 5, 1)</f>
        <v>65</v>
      </c>
      <c r="D37" s="692" t="str">
        <f>VLOOKUP( $B37, T_Aop[], 6, 1)</f>
        <v>OSTALI POSLOVNI PRIHODI (618 + 621 + 622 + 623 + 624 + 625 + 626 + 627 + 628)</v>
      </c>
      <c r="E37" s="693"/>
      <c r="F37" s="693"/>
      <c r="G37" s="693"/>
      <c r="H37" s="694"/>
      <c r="I37" s="189">
        <f>VLOOKUP( $B37, T_Aop[], 4, 1)</f>
        <v>617</v>
      </c>
      <c r="J37" s="64">
        <f>SUBTOTAL( 9, J38, J41:J48)</f>
        <v>0</v>
      </c>
      <c r="K37" s="65">
        <f>SUBTOTAL( 9, K38, K41:K48)</f>
        <v>0</v>
      </c>
      <c r="O37" s="27"/>
    </row>
    <row r="38" spans="2:15" ht="12.75" customHeight="1">
      <c r="B38" s="47">
        <v>369</v>
      </c>
      <c r="C38" s="58">
        <f>VLOOKUP( $B38, T_Aop[], 5, 1)</f>
        <v>650</v>
      </c>
      <c r="D38" s="760" t="str">
        <f>VLOOKUP( $B38, T_Aop[], 6, 1)</f>
        <v xml:space="preserve">  a) Prihodi od premija, subvencija, dotacija, regresa, podsticaja i slično</v>
      </c>
      <c r="E38" s="761"/>
      <c r="F38" s="761"/>
      <c r="G38" s="761"/>
      <c r="H38" s="762"/>
      <c r="I38" s="59">
        <f>VLOOKUP( $B38, T_Aop[], 4, 1)</f>
        <v>618</v>
      </c>
      <c r="J38" s="155"/>
      <c r="K38" s="156"/>
      <c r="O38" s="27"/>
    </row>
    <row r="39" spans="2:15" ht="25.5" customHeight="1">
      <c r="B39" s="47">
        <v>370</v>
      </c>
      <c r="C39" s="62" t="str">
        <f>VLOOKUP( $B39, T_Aop[], 5, 1)</f>
        <v>dio 650</v>
      </c>
      <c r="D39" s="757" t="str">
        <f>VLOOKUP( $B39, T_Aop[], 6, 1)</f>
        <v xml:space="preserve">    Od toga: prihodi po osnovu subvencija na proizvode1 (subvencije koje se mogu prikazati po jedinici proizvoda, npr. vozna karta, brašno, hljeb, mlijeko i dr.)</v>
      </c>
      <c r="E39" s="758"/>
      <c r="F39" s="758"/>
      <c r="G39" s="758"/>
      <c r="H39" s="759"/>
      <c r="I39" s="75">
        <f>VLOOKUP( $B39, T_Aop[], 4, 1)</f>
        <v>619</v>
      </c>
      <c r="J39" s="157"/>
      <c r="K39" s="158"/>
      <c r="O39" s="27"/>
    </row>
    <row r="40" spans="2:15" ht="25.5" customHeight="1">
      <c r="B40" s="47">
        <v>371</v>
      </c>
      <c r="C40" s="58" t="str">
        <f>VLOOKUP( $B40, T_Aop[], 5, 1)</f>
        <v>dio 650</v>
      </c>
      <c r="D40" s="760" t="str">
        <f>VLOOKUP( $B40, T_Aop[], 6, 1)</f>
        <v xml:space="preserve">    Od toga: prihodi po osnovu subvencija na proizvodnju2 (na zapošljavanje, platu, kamatnu stopu, za smanjenje zagađenja i dr.)</v>
      </c>
      <c r="E40" s="761"/>
      <c r="F40" s="761"/>
      <c r="G40" s="761"/>
      <c r="H40" s="762"/>
      <c r="I40" s="59">
        <f>VLOOKUP( $B40, T_Aop[], 4, 1)</f>
        <v>620</v>
      </c>
      <c r="J40" s="155"/>
      <c r="K40" s="156"/>
      <c r="O40" s="27"/>
    </row>
    <row r="41" spans="2:15" ht="12.75" customHeight="1">
      <c r="B41" s="47">
        <v>372</v>
      </c>
      <c r="C41" s="62">
        <f>VLOOKUP( $B41, T_Aop[], 5, 1)</f>
        <v>651</v>
      </c>
      <c r="D41" s="757" t="str">
        <f>VLOOKUP( $B41, T_Aop[], 6, 1)</f>
        <v xml:space="preserve">  b) Prihod od zakupnina</v>
      </c>
      <c r="E41" s="758"/>
      <c r="F41" s="758"/>
      <c r="G41" s="758"/>
      <c r="H41" s="759"/>
      <c r="I41" s="75">
        <f>VLOOKUP( $B41, T_Aop[], 4, 1)</f>
        <v>621</v>
      </c>
      <c r="J41" s="157"/>
      <c r="K41" s="158"/>
      <c r="O41" s="133" t="s">
        <v>313</v>
      </c>
    </row>
    <row r="42" spans="2:15" ht="12.75" customHeight="1">
      <c r="B42" s="47">
        <v>373</v>
      </c>
      <c r="C42" s="58">
        <f>VLOOKUP( $B42, T_Aop[], 5, 1)</f>
        <v>652</v>
      </c>
      <c r="D42" s="760" t="str">
        <f>VLOOKUP( $B42, T_Aop[], 6, 1)</f>
        <v xml:space="preserve">  v) Prihod od donacija</v>
      </c>
      <c r="E42" s="761"/>
      <c r="F42" s="761"/>
      <c r="G42" s="761"/>
      <c r="H42" s="762"/>
      <c r="I42" s="59">
        <f>VLOOKUP( $B42, T_Aop[], 4, 1)</f>
        <v>622</v>
      </c>
      <c r="J42" s="155"/>
      <c r="K42" s="156"/>
      <c r="O42" s="133" t="s">
        <v>313</v>
      </c>
    </row>
    <row r="43" spans="2:15" ht="12.75" customHeight="1">
      <c r="B43" s="47">
        <v>374</v>
      </c>
      <c r="C43" s="62">
        <f>VLOOKUP( $B43, T_Aop[], 5, 1)</f>
        <v>653</v>
      </c>
      <c r="D43" s="757" t="str">
        <f>VLOOKUP( $B43, T_Aop[], 6, 1)</f>
        <v xml:space="preserve">  g) Prihod od članarina</v>
      </c>
      <c r="E43" s="758"/>
      <c r="F43" s="758"/>
      <c r="G43" s="758"/>
      <c r="H43" s="759"/>
      <c r="I43" s="75">
        <f>VLOOKUP( $B43, T_Aop[], 4, 1)</f>
        <v>623</v>
      </c>
      <c r="J43" s="157"/>
      <c r="K43" s="158"/>
      <c r="O43" s="27"/>
    </row>
    <row r="44" spans="2:15" ht="12.75" customHeight="1">
      <c r="B44" s="47">
        <v>375</v>
      </c>
      <c r="C44" s="58">
        <f>VLOOKUP( $B44, T_Aop[], 5, 1)</f>
        <v>654</v>
      </c>
      <c r="D44" s="760" t="str">
        <f>VLOOKUP( $B44, T_Aop[], 6, 1)</f>
        <v xml:space="preserve">  d) Prihod od tantijema i licencnih prava</v>
      </c>
      <c r="E44" s="761"/>
      <c r="F44" s="761"/>
      <c r="G44" s="761"/>
      <c r="H44" s="762"/>
      <c r="I44" s="59">
        <f>VLOOKUP( $B44, T_Aop[], 4, 1)</f>
        <v>624</v>
      </c>
      <c r="J44" s="155"/>
      <c r="K44" s="156"/>
      <c r="O44" s="27"/>
    </row>
    <row r="45" spans="2:15" ht="12.75" customHeight="1">
      <c r="B45" s="47">
        <v>376</v>
      </c>
      <c r="C45" s="62">
        <f>VLOOKUP( $B45, T_Aop[], 5, 1)</f>
        <v>655</v>
      </c>
      <c r="D45" s="757" t="str">
        <f>VLOOKUP( $B45, T_Aop[], 6, 1)</f>
        <v xml:space="preserve">  đ) Prihod iz namjenskih izvora finansiranja (iz budžeta, fondova i dr.)</v>
      </c>
      <c r="E45" s="758"/>
      <c r="F45" s="758"/>
      <c r="G45" s="758"/>
      <c r="H45" s="759"/>
      <c r="I45" s="75">
        <f>VLOOKUP( $B45, T_Aop[], 4, 1)</f>
        <v>625</v>
      </c>
      <c r="J45" s="157"/>
      <c r="K45" s="158"/>
      <c r="O45" s="27"/>
    </row>
    <row r="46" spans="2:15" ht="12.75" customHeight="1">
      <c r="B46" s="47">
        <v>377</v>
      </c>
      <c r="C46" s="58" t="str">
        <f>VLOOKUP( $B46, T_Aop[], 5, 1)</f>
        <v>656</v>
      </c>
      <c r="D46" s="760" t="str">
        <f>VLOOKUP( $B46, T_Aop[], 6, 1)</f>
        <v xml:space="preserve">  e) Prihodi od dividendi</v>
      </c>
      <c r="E46" s="761"/>
      <c r="F46" s="761"/>
      <c r="G46" s="761"/>
      <c r="H46" s="762"/>
      <c r="I46" s="59">
        <f>VLOOKUP( $B46, T_Aop[], 4, 1)</f>
        <v>626</v>
      </c>
      <c r="J46" s="155"/>
      <c r="K46" s="156"/>
      <c r="O46" s="27"/>
    </row>
    <row r="47" spans="2:15" ht="12.75" customHeight="1">
      <c r="B47" s="47">
        <v>378</v>
      </c>
      <c r="C47" s="62" t="str">
        <f>VLOOKUP( $B47, T_Aop[], 5, 1)</f>
        <v>657</v>
      </c>
      <c r="D47" s="757" t="str">
        <f>VLOOKUP( $B47, T_Aop[], 6, 1)</f>
        <v xml:space="preserve">  ž) Prihodi od aktiviranja ili potrošnje robe, gotovih proizvoda ili usluga</v>
      </c>
      <c r="E47" s="758"/>
      <c r="F47" s="758"/>
      <c r="G47" s="758"/>
      <c r="H47" s="759"/>
      <c r="I47" s="75">
        <f>VLOOKUP( $B47, T_Aop[], 4, 1)</f>
        <v>627</v>
      </c>
      <c r="J47" s="157"/>
      <c r="K47" s="158"/>
      <c r="O47" s="27"/>
    </row>
    <row r="48" spans="2:15" ht="12.75" customHeight="1">
      <c r="B48" s="47">
        <v>379</v>
      </c>
      <c r="C48" s="58">
        <f>VLOOKUP( $B48, T_Aop[], 5, 1)</f>
        <v>659</v>
      </c>
      <c r="D48" s="760" t="str">
        <f>VLOOKUP( $B48, T_Aop[], 6, 1)</f>
        <v xml:space="preserve">  z) Ostali poslovni prihodi po drugim osnovima</v>
      </c>
      <c r="E48" s="761"/>
      <c r="F48" s="761"/>
      <c r="G48" s="761"/>
      <c r="H48" s="762"/>
      <c r="I48" s="59">
        <f>VLOOKUP( $B48, T_Aop[], 4, 1)</f>
        <v>628</v>
      </c>
      <c r="J48" s="155"/>
      <c r="K48" s="156"/>
      <c r="O48" s="27"/>
    </row>
    <row r="49" spans="2:15" ht="12.75" customHeight="1">
      <c r="B49" s="47">
        <v>380</v>
      </c>
      <c r="C49" s="188" t="str">
        <f>VLOOKUP( $B49, T_Aop[], 5, 1)</f>
        <v>66 + 67</v>
      </c>
      <c r="D49" s="692" t="str">
        <f>VLOOKUP( $B49, T_Aop[], 6, 1)</f>
        <v>FINANSIJSKI I OSTALI PRIHODI</v>
      </c>
      <c r="E49" s="693"/>
      <c r="F49" s="693"/>
      <c r="G49" s="693"/>
      <c r="H49" s="694"/>
      <c r="I49" s="189">
        <f>VLOOKUP( $B49, T_Aop[], 4, 1)</f>
        <v>629</v>
      </c>
      <c r="J49" s="203"/>
      <c r="K49" s="204"/>
      <c r="O49" s="27"/>
    </row>
    <row r="50" spans="2:15" ht="12.75" customHeight="1">
      <c r="B50" s="47">
        <v>381</v>
      </c>
      <c r="C50" s="58" t="str">
        <f>VLOOKUP( $B50, T_Aop[], 5, 1)</f>
        <v>dio 670</v>
      </c>
      <c r="D50" s="760" t="str">
        <f>VLOOKUP( $B50, T_Aop[], 6, 1)</f>
        <v xml:space="preserve">    Od toga: dobici po osnovu prodaje nekretnina, postrojenja i opreme </v>
      </c>
      <c r="E50" s="761"/>
      <c r="F50" s="761"/>
      <c r="G50" s="761"/>
      <c r="H50" s="762"/>
      <c r="I50" s="59">
        <f>VLOOKUP( $B50, T_Aop[], 4, 1)</f>
        <v>630</v>
      </c>
      <c r="J50" s="155"/>
      <c r="K50" s="156"/>
      <c r="O50" s="27"/>
    </row>
    <row r="51" spans="2:15" ht="12.75" customHeight="1">
      <c r="B51" s="47">
        <v>382</v>
      </c>
      <c r="C51" s="62" t="str">
        <f>VLOOKUP( $B51, T_Aop[], 5, 1)</f>
        <v>678</v>
      </c>
      <c r="D51" s="757" t="str">
        <f>VLOOKUP( $B51, T_Aop[], 6, 1)</f>
        <v xml:space="preserve">  Dobici od derivatnih finansijskih instrumenata</v>
      </c>
      <c r="E51" s="758"/>
      <c r="F51" s="758"/>
      <c r="G51" s="758"/>
      <c r="H51" s="759"/>
      <c r="I51" s="75">
        <f>VLOOKUP( $B51, T_Aop[], 4, 1)</f>
        <v>631</v>
      </c>
      <c r="J51" s="157"/>
      <c r="K51" s="158"/>
      <c r="O51" s="54"/>
    </row>
    <row r="52" spans="2:15" ht="12.75" customHeight="1">
      <c r="B52" s="47">
        <v>383</v>
      </c>
      <c r="C52" s="187">
        <f>VLOOKUP( $B52, T_Aop[], 5, 1)</f>
        <v>52</v>
      </c>
      <c r="D52" s="688" t="str">
        <f>VLOOKUP( $B52, T_Aop[], 6, 1)</f>
        <v>TROŠKOVI PLATA, NAKNADA PLATA I OSTALIH LIČNIH PRIMANJA</v>
      </c>
      <c r="E52" s="689"/>
      <c r="F52" s="689"/>
      <c r="G52" s="689"/>
      <c r="H52" s="690"/>
      <c r="I52" s="178">
        <f>VLOOKUP( $B52, T_Aop[], 4, 1)</f>
        <v>632</v>
      </c>
      <c r="J52" s="81">
        <f>232420+150+11200</f>
        <v>243770</v>
      </c>
      <c r="K52" s="82">
        <v>316372</v>
      </c>
      <c r="O52" s="27"/>
    </row>
    <row r="53" spans="2:15" ht="12.75" customHeight="1">
      <c r="B53" s="47">
        <v>384</v>
      </c>
      <c r="C53" s="62" t="str">
        <f>VLOOKUP( $B53, T_Aop[], 5, 1)</f>
        <v>522 + 523</v>
      </c>
      <c r="D53" s="757" t="str">
        <f>VLOOKUP( $B53, T_Aop[], 6, 1)</f>
        <v xml:space="preserve">  Troškovi bruto naknada članovima upravnog, nadzornog, odbora za reviziju i dr.</v>
      </c>
      <c r="E53" s="758"/>
      <c r="F53" s="758"/>
      <c r="G53" s="758"/>
      <c r="H53" s="759"/>
      <c r="I53" s="75">
        <f>VLOOKUP( $B53, T_Aop[], 4, 1)</f>
        <v>633</v>
      </c>
      <c r="J53" s="157"/>
      <c r="K53" s="204"/>
      <c r="O53" s="27"/>
    </row>
    <row r="54" spans="2:15" ht="12.75" customHeight="1">
      <c r="B54" s="47">
        <v>385</v>
      </c>
      <c r="C54" s="58">
        <f>VLOOKUP( $B54, T_Aop[], 5, 1)</f>
        <v>525</v>
      </c>
      <c r="D54" s="760" t="str">
        <f>VLOOKUP( $B54, T_Aop[], 6, 1)</f>
        <v xml:space="preserve">  Troškovi zaposlenih na službenom putu</v>
      </c>
      <c r="E54" s="761"/>
      <c r="F54" s="761"/>
      <c r="G54" s="761"/>
      <c r="H54" s="762"/>
      <c r="I54" s="59">
        <f>VLOOKUP( $B54, T_Aop[], 4, 1)</f>
        <v>634</v>
      </c>
      <c r="J54" s="155"/>
      <c r="K54" s="156"/>
      <c r="O54" s="27"/>
    </row>
    <row r="55" spans="2:15" ht="12.75" customHeight="1">
      <c r="B55" s="47">
        <v>386</v>
      </c>
      <c r="C55" s="62" t="str">
        <f>VLOOKUP( $B55, T_Aop[], 5, 1)</f>
        <v>dio 525</v>
      </c>
      <c r="D55" s="757" t="str">
        <f>VLOOKUP( $B55, T_Aop[], 6, 1)</f>
        <v xml:space="preserve">    Od toga: dnevnice</v>
      </c>
      <c r="E55" s="758"/>
      <c r="F55" s="758"/>
      <c r="G55" s="758"/>
      <c r="H55" s="759"/>
      <c r="I55" s="75">
        <f>VLOOKUP( $B55, T_Aop[], 4, 1)</f>
        <v>635</v>
      </c>
      <c r="J55" s="157"/>
      <c r="K55" s="158"/>
      <c r="O55" s="27"/>
    </row>
    <row r="56" spans="2:15" ht="12.75" customHeight="1">
      <c r="B56" s="47">
        <v>387</v>
      </c>
      <c r="C56" s="187">
        <f>VLOOKUP( $B56, T_Aop[], 5, 1)</f>
        <v>53</v>
      </c>
      <c r="D56" s="688" t="str">
        <f>VLOOKUP( $B56, T_Aop[], 6, 1)</f>
        <v>TROŠKOVI PROIZVODNIH USLUGA (637 + 638 + 639 + 640 + 641 + 642 + 643 + 644)</v>
      </c>
      <c r="E56" s="689"/>
      <c r="F56" s="689"/>
      <c r="G56" s="689"/>
      <c r="H56" s="690"/>
      <c r="I56" s="178">
        <f>VLOOKUP( $B56, T_Aop[], 4, 1)</f>
        <v>636</v>
      </c>
      <c r="J56" s="560">
        <f>SUBTOTAL( 9, J57:J64)</f>
        <v>550</v>
      </c>
      <c r="K56" s="493">
        <f>SUBTOTAL( 9, K57:K64)</f>
        <v>2056</v>
      </c>
      <c r="O56" s="27"/>
    </row>
    <row r="57" spans="2:15" ht="12.75" customHeight="1">
      <c r="B57" s="47">
        <v>388</v>
      </c>
      <c r="C57" s="62">
        <f>VLOOKUP( $B57, T_Aop[], 5, 1)</f>
        <v>530</v>
      </c>
      <c r="D57" s="757" t="str">
        <f>VLOOKUP( $B57, T_Aop[], 6, 1)</f>
        <v xml:space="preserve">  a) Troškovi usluga na izradi učinaka</v>
      </c>
      <c r="E57" s="758"/>
      <c r="F57" s="758"/>
      <c r="G57" s="758"/>
      <c r="H57" s="759"/>
      <c r="I57" s="75">
        <f>VLOOKUP( $B57, T_Aop[], 4, 1)</f>
        <v>637</v>
      </c>
      <c r="J57" s="157"/>
      <c r="K57" s="158"/>
      <c r="O57" s="27"/>
    </row>
    <row r="58" spans="2:15">
      <c r="B58" s="47">
        <v>389</v>
      </c>
      <c r="C58" s="58">
        <f>VLOOKUP( $B58, T_Aop[], 5, 1)</f>
        <v>531</v>
      </c>
      <c r="D58" s="760" t="str">
        <f>VLOOKUP( $B58, T_Aop[], 6, 1)</f>
        <v xml:space="preserve">  b) Troškovi transportnih usluga</v>
      </c>
      <c r="E58" s="761"/>
      <c r="F58" s="761"/>
      <c r="G58" s="761"/>
      <c r="H58" s="762"/>
      <c r="I58" s="59">
        <f>VLOOKUP( $B58, T_Aop[], 4, 1)</f>
        <v>638</v>
      </c>
      <c r="J58" s="155">
        <v>450</v>
      </c>
      <c r="K58" s="156">
        <v>773</v>
      </c>
      <c r="O58" s="27"/>
    </row>
    <row r="59" spans="2:15" ht="12.75" customHeight="1">
      <c r="B59" s="47">
        <v>390</v>
      </c>
      <c r="C59" s="62" t="str">
        <f>VLOOKUP( $B59, T_Aop[], 5, 1)</f>
        <v>dio 532</v>
      </c>
      <c r="D59" s="757" t="str">
        <f>VLOOKUP( $B59, T_Aop[], 6, 1)</f>
        <v xml:space="preserve">  v) Troškovi za usluge tekućeg održavanja osnovnih sredstava</v>
      </c>
      <c r="E59" s="758"/>
      <c r="F59" s="758"/>
      <c r="G59" s="758"/>
      <c r="H59" s="759"/>
      <c r="I59" s="75">
        <f>VLOOKUP( $B59, T_Aop[], 4, 1)</f>
        <v>639</v>
      </c>
      <c r="J59" s="157">
        <v>100</v>
      </c>
      <c r="K59" s="158">
        <v>300</v>
      </c>
      <c r="O59" s="27"/>
    </row>
    <row r="60" spans="2:15" ht="12.75" customHeight="1">
      <c r="B60" s="47">
        <v>391</v>
      </c>
      <c r="C60" s="58" t="str">
        <f>VLOOKUP( $B60, T_Aop[], 5, 1)</f>
        <v>dio 532</v>
      </c>
      <c r="D60" s="760" t="str">
        <f>VLOOKUP( $B60, T_Aop[], 6, 1)</f>
        <v xml:space="preserve">  g) Troškovi za usluge investicionog održavanja osnovnih sredstava</v>
      </c>
      <c r="E60" s="761"/>
      <c r="F60" s="761"/>
      <c r="G60" s="761"/>
      <c r="H60" s="762"/>
      <c r="I60" s="59">
        <f>VLOOKUP( $B60, T_Aop[], 4, 1)</f>
        <v>640</v>
      </c>
      <c r="J60" s="155"/>
      <c r="K60" s="156"/>
      <c r="O60" s="27"/>
    </row>
    <row r="61" spans="2:15" ht="12.75" customHeight="1">
      <c r="B61" s="47">
        <v>392</v>
      </c>
      <c r="C61" s="62">
        <f>VLOOKUP( $B61, T_Aop[], 5, 1)</f>
        <v>533</v>
      </c>
      <c r="D61" s="757" t="str">
        <f>VLOOKUP( $B61, T_Aop[], 6, 1)</f>
        <v xml:space="preserve">  d) Troškovi zakupa</v>
      </c>
      <c r="E61" s="758"/>
      <c r="F61" s="758"/>
      <c r="G61" s="758"/>
      <c r="H61" s="759"/>
      <c r="I61" s="75">
        <f>VLOOKUP( $B61, T_Aop[], 4, 1)</f>
        <v>641</v>
      </c>
      <c r="J61" s="157"/>
      <c r="K61" s="158"/>
      <c r="O61" s="27"/>
    </row>
    <row r="62" spans="2:15" ht="12.75" customHeight="1">
      <c r="B62" s="47">
        <v>393</v>
      </c>
      <c r="C62" s="58" t="str">
        <f>VLOOKUP( $B62, T_Aop[], 5, 1)</f>
        <v>534 + 535</v>
      </c>
      <c r="D62" s="760" t="str">
        <f>VLOOKUP( $B62, T_Aop[], 6, 1)</f>
        <v xml:space="preserve">  đ) Troškovi sajmova, reklame i propagande</v>
      </c>
      <c r="E62" s="761"/>
      <c r="F62" s="761"/>
      <c r="G62" s="761"/>
      <c r="H62" s="762"/>
      <c r="I62" s="59">
        <f>VLOOKUP( $B62, T_Aop[], 4, 1)</f>
        <v>642</v>
      </c>
      <c r="J62" s="155"/>
      <c r="K62" s="156"/>
      <c r="O62" s="27"/>
    </row>
    <row r="63" spans="2:15" ht="12.75" customHeight="1">
      <c r="B63" s="47">
        <v>394</v>
      </c>
      <c r="C63" s="62" t="str">
        <f>VLOOKUP( $B63, T_Aop[], 5, 1)</f>
        <v>536 + 537</v>
      </c>
      <c r="D63" s="757" t="str">
        <f>VLOOKUP( $B63, T_Aop[], 6, 1)</f>
        <v xml:space="preserve">  e) Troškovi istraživanja i razvoja koji se ne kapitalizuju</v>
      </c>
      <c r="E63" s="758"/>
      <c r="F63" s="758"/>
      <c r="G63" s="758"/>
      <c r="H63" s="759"/>
      <c r="I63" s="75">
        <f>VLOOKUP( $B63, T_Aop[], 4, 1)</f>
        <v>643</v>
      </c>
      <c r="J63" s="157"/>
      <c r="K63" s="158"/>
      <c r="O63" s="27"/>
    </row>
    <row r="64" spans="2:15">
      <c r="B64" s="47">
        <v>395</v>
      </c>
      <c r="C64" s="58">
        <f>VLOOKUP( $B64, T_Aop[], 5, 1)</f>
        <v>539</v>
      </c>
      <c r="D64" s="760" t="str">
        <f>VLOOKUP( $B64, T_Aop[], 6, 1)</f>
        <v xml:space="preserve">  ž) Troškovi ostalih usluga</v>
      </c>
      <c r="E64" s="761"/>
      <c r="F64" s="761"/>
      <c r="G64" s="761"/>
      <c r="H64" s="762"/>
      <c r="I64" s="59">
        <f>VLOOKUP( $B64, T_Aop[], 4, 1)</f>
        <v>644</v>
      </c>
      <c r="J64" s="155"/>
      <c r="K64" s="156">
        <v>983</v>
      </c>
      <c r="O64" s="27"/>
    </row>
    <row r="65" spans="2:15" ht="12.75" customHeight="1">
      <c r="B65" s="47">
        <v>396</v>
      </c>
      <c r="C65" s="62" t="str">
        <f>VLOOKUP( $B65, T_Aop[], 5, 1)</f>
        <v>dio 539</v>
      </c>
      <c r="D65" s="757" t="str">
        <f>VLOOKUP( $B65, T_Aop[], 6, 1)</f>
        <v xml:space="preserve">    Od toga: bruto iznosi naknada po ugovorima sa fizičkim licima van radnog odnosa</v>
      </c>
      <c r="E65" s="758"/>
      <c r="F65" s="758"/>
      <c r="G65" s="758"/>
      <c r="H65" s="759"/>
      <c r="I65" s="75">
        <f>VLOOKUP( $B65, T_Aop[], 4, 1)</f>
        <v>645</v>
      </c>
      <c r="J65" s="157"/>
      <c r="K65" s="158"/>
      <c r="O65" s="27"/>
    </row>
    <row r="66" spans="2:15" ht="12.75" customHeight="1">
      <c r="B66" s="47">
        <v>397</v>
      </c>
      <c r="C66" s="187">
        <f>VLOOKUP( $B66, T_Aop[], 5, 1)</f>
        <v>55</v>
      </c>
      <c r="D66" s="688" t="str">
        <f>VLOOKUP( $B66, T_Aop[], 6, 1)</f>
        <v>NEMATERIJALNI TROŠKOVI (647 + 650 + 651 + 652 + 653 + 654 + 655 + 656)</v>
      </c>
      <c r="E66" s="689"/>
      <c r="F66" s="689"/>
      <c r="G66" s="689"/>
      <c r="H66" s="690"/>
      <c r="I66" s="178">
        <f>VLOOKUP( $B66, T_Aop[], 4, 1)</f>
        <v>646</v>
      </c>
      <c r="J66" s="560">
        <f>SUBTOTAL( 9, J67, J70:J76)</f>
        <v>13175</v>
      </c>
      <c r="K66" s="493">
        <f>SUBTOTAL( 9, K67, K70:K76)</f>
        <v>5685</v>
      </c>
      <c r="O66" s="27"/>
    </row>
    <row r="67" spans="2:15" ht="12.75" customHeight="1">
      <c r="B67" s="47">
        <v>398</v>
      </c>
      <c r="C67" s="62">
        <f>VLOOKUP( $B67, T_Aop[], 5, 1)</f>
        <v>550</v>
      </c>
      <c r="D67" s="757" t="str">
        <f>VLOOKUP( $B67, T_Aop[], 6, 1)</f>
        <v xml:space="preserve">  a) Troškovi ostalih usluga</v>
      </c>
      <c r="E67" s="758"/>
      <c r="F67" s="758"/>
      <c r="G67" s="758"/>
      <c r="H67" s="759"/>
      <c r="I67" s="75">
        <f>VLOOKUP( $B67, T_Aop[], 4, 1)</f>
        <v>647</v>
      </c>
      <c r="J67" s="157">
        <f>2400+658+128+680</f>
        <v>3866</v>
      </c>
      <c r="K67" s="158">
        <v>363</v>
      </c>
      <c r="O67" s="27"/>
    </row>
    <row r="68" spans="2:15" ht="12.75" customHeight="1">
      <c r="B68" s="47">
        <v>399</v>
      </c>
      <c r="C68" s="58" t="str">
        <f>VLOOKUP( $B68, T_Aop[], 5, 1)</f>
        <v>dio 550</v>
      </c>
      <c r="D68" s="760" t="str">
        <f>VLOOKUP( $B68, T_Aop[], 6, 1)</f>
        <v xml:space="preserve">    Od toga: troškovi stručnog obrazovanja i usavršavanja zaposlenih</v>
      </c>
      <c r="E68" s="761"/>
      <c r="F68" s="761"/>
      <c r="G68" s="761"/>
      <c r="H68" s="762"/>
      <c r="I68" s="59">
        <f>VLOOKUP( $B68, T_Aop[], 4, 1)</f>
        <v>648</v>
      </c>
      <c r="J68" s="155"/>
      <c r="K68" s="156"/>
      <c r="O68" s="27"/>
    </row>
    <row r="69" spans="2:15" ht="12.75" customHeight="1">
      <c r="B69" s="47">
        <v>400</v>
      </c>
      <c r="C69" s="62" t="str">
        <f>VLOOKUP( $B69, T_Aop[], 5, 1)</f>
        <v>dio 550</v>
      </c>
      <c r="D69" s="757" t="str">
        <f>VLOOKUP( $B69, T_Aop[], 6, 1)</f>
        <v xml:space="preserve">    Od toga: bruto iznosi naknada po ugovorima sa fizičkim licima van radnog odnosa</v>
      </c>
      <c r="E69" s="758"/>
      <c r="F69" s="758"/>
      <c r="G69" s="758"/>
      <c r="H69" s="759"/>
      <c r="I69" s="75">
        <f>VLOOKUP( $B69, T_Aop[], 4, 1)</f>
        <v>649</v>
      </c>
      <c r="J69" s="157"/>
      <c r="K69" s="158"/>
      <c r="O69" s="27"/>
    </row>
    <row r="70" spans="2:15" ht="12.75" customHeight="1">
      <c r="B70" s="47">
        <v>401</v>
      </c>
      <c r="C70" s="58">
        <f>VLOOKUP( $B70, T_Aop[], 5, 1)</f>
        <v>551</v>
      </c>
      <c r="D70" s="760" t="str">
        <f>VLOOKUP( $B70, T_Aop[], 6, 1)</f>
        <v xml:space="preserve">  b) Troškovi reprezentacije</v>
      </c>
      <c r="E70" s="761"/>
      <c r="F70" s="761"/>
      <c r="G70" s="761"/>
      <c r="H70" s="762"/>
      <c r="I70" s="59">
        <f>VLOOKUP( $B70, T_Aop[], 4, 1)</f>
        <v>650</v>
      </c>
      <c r="J70" s="155"/>
      <c r="K70" s="156"/>
      <c r="O70" s="27"/>
    </row>
    <row r="71" spans="2:15" ht="12.75" customHeight="1">
      <c r="B71" s="47">
        <v>402</v>
      </c>
      <c r="C71" s="62">
        <f>VLOOKUP( $B71, T_Aop[], 5, 1)</f>
        <v>552</v>
      </c>
      <c r="D71" s="757" t="str">
        <f>VLOOKUP( $B71, T_Aop[], 6, 1)</f>
        <v xml:space="preserve">  v) Troškovi premije osiguranja</v>
      </c>
      <c r="E71" s="758"/>
      <c r="F71" s="758"/>
      <c r="G71" s="758"/>
      <c r="H71" s="759"/>
      <c r="I71" s="75">
        <f>VLOOKUP( $B71, T_Aop[], 4, 1)</f>
        <v>651</v>
      </c>
      <c r="J71" s="157"/>
      <c r="K71" s="158"/>
      <c r="O71"/>
    </row>
    <row r="72" spans="2:15" ht="12.75" customHeight="1">
      <c r="B72" s="47">
        <v>403</v>
      </c>
      <c r="C72" s="58">
        <f>VLOOKUP( $B72, T_Aop[], 5, 1)</f>
        <v>553</v>
      </c>
      <c r="D72" s="760" t="str">
        <f>VLOOKUP( $B72, T_Aop[], 6, 1)</f>
        <v xml:space="preserve">  g) Troškovi platnog prometa</v>
      </c>
      <c r="E72" s="761"/>
      <c r="F72" s="761"/>
      <c r="G72" s="761"/>
      <c r="H72" s="762"/>
      <c r="I72" s="59">
        <f>VLOOKUP( $B72, T_Aop[], 4, 1)</f>
        <v>652</v>
      </c>
      <c r="J72" s="155">
        <v>6498</v>
      </c>
      <c r="K72" s="156">
        <v>4781</v>
      </c>
      <c r="O72"/>
    </row>
    <row r="73" spans="2:15" ht="12.75" customHeight="1">
      <c r="B73" s="47">
        <v>404</v>
      </c>
      <c r="C73" s="62">
        <f>VLOOKUP( $B73, T_Aop[], 5, 1)</f>
        <v>554</v>
      </c>
      <c r="D73" s="757" t="str">
        <f>VLOOKUP( $B73, T_Aop[], 6, 1)</f>
        <v xml:space="preserve">  d) Troškovi članarina</v>
      </c>
      <c r="E73" s="758"/>
      <c r="F73" s="758"/>
      <c r="G73" s="758"/>
      <c r="H73" s="759"/>
      <c r="I73" s="75">
        <f>VLOOKUP( $B73, T_Aop[], 4, 1)</f>
        <v>653</v>
      </c>
      <c r="J73" s="157"/>
      <c r="K73" s="158"/>
      <c r="O73"/>
    </row>
    <row r="74" spans="2:15" ht="12.75" customHeight="1">
      <c r="B74" s="47">
        <v>405</v>
      </c>
      <c r="C74" s="58" t="str">
        <f>VLOOKUP( $B74, T_Aop[], 5, 1)</f>
        <v>dio 555</v>
      </c>
      <c r="D74" s="760" t="str">
        <f>VLOOKUP( $B74, T_Aop[], 6, 1)</f>
        <v xml:space="preserve">  đ) Troškovi poreza na proizvode3, carine, boravišne takse, porez na igre na sreću i sl.</v>
      </c>
      <c r="E74" s="761"/>
      <c r="F74" s="761"/>
      <c r="G74" s="761"/>
      <c r="H74" s="762"/>
      <c r="I74" s="59">
        <f>VLOOKUP( $B74, T_Aop[], 4, 1)</f>
        <v>654</v>
      </c>
      <c r="J74" s="155"/>
      <c r="K74" s="156"/>
      <c r="O74" s="27"/>
    </row>
    <row r="75" spans="2:15" ht="25.5" customHeight="1">
      <c r="B75" s="47">
        <v>406</v>
      </c>
      <c r="C75" s="62" t="str">
        <f>VLOOKUP( $B75, T_Aop[], 5, 1)</f>
        <v>dio 555</v>
      </c>
      <c r="D75" s="757" t="str">
        <f>VLOOKUP( $B75, T_Aop[], 6, 1)</f>
        <v xml:space="preserve">  e) Troškovi poreza na proizvodnju4: na imovinu, na zemljište, za korišćenje voda i šuma, za protivpožarnu zaštitu i sl.</v>
      </c>
      <c r="E75" s="758"/>
      <c r="F75" s="758"/>
      <c r="G75" s="758"/>
      <c r="H75" s="759"/>
      <c r="I75" s="75">
        <f>VLOOKUP( $B75, T_Aop[], 4, 1)</f>
        <v>655</v>
      </c>
      <c r="J75" s="157"/>
      <c r="K75" s="158"/>
      <c r="O75" s="27"/>
    </row>
    <row r="76" spans="2:15" ht="12.75" customHeight="1">
      <c r="B76" s="47">
        <v>407</v>
      </c>
      <c r="C76" s="58">
        <f>VLOOKUP( $B76, T_Aop[], 5, 1)</f>
        <v>559</v>
      </c>
      <c r="D76" s="760" t="str">
        <f>VLOOKUP( $B76, T_Aop[], 6, 1)</f>
        <v xml:space="preserve">  ž) Ostali nematerijalni troškovi</v>
      </c>
      <c r="E76" s="761"/>
      <c r="F76" s="761"/>
      <c r="G76" s="761"/>
      <c r="H76" s="762"/>
      <c r="I76" s="59">
        <f>VLOOKUP( $B76, T_Aop[], 4, 1)</f>
        <v>656</v>
      </c>
      <c r="J76" s="155">
        <f>1492+453+772+94</f>
        <v>2811</v>
      </c>
      <c r="K76" s="156">
        <v>541</v>
      </c>
      <c r="O76" s="27"/>
    </row>
    <row r="77" spans="2:15" ht="12.75" customHeight="1">
      <c r="B77" s="47">
        <v>408</v>
      </c>
      <c r="C77" s="62">
        <f>VLOOKUP( $B77, T_Aop[], 5, 1)</f>
        <v>0</v>
      </c>
      <c r="D77" s="757" t="str">
        <f>VLOOKUP( $B77, T_Aop[], 6, 1)</f>
        <v>OBAVEZE I POTRAŽIVANJA</v>
      </c>
      <c r="E77" s="758"/>
      <c r="F77" s="758"/>
      <c r="G77" s="758"/>
      <c r="H77" s="759"/>
      <c r="I77" s="75">
        <f>VLOOKUP( $B77, T_Aop[], 4, 1)</f>
        <v>657</v>
      </c>
      <c r="J77" s="157"/>
      <c r="K77" s="158"/>
      <c r="O77" s="27"/>
    </row>
    <row r="78" spans="2:15" ht="12.75" customHeight="1">
      <c r="B78" s="47">
        <v>409</v>
      </c>
      <c r="C78" s="58" t="str">
        <f>VLOOKUP( $B78, T_Aop[], 5, 1)</f>
        <v>47, osim 479</v>
      </c>
      <c r="D78" s="760" t="str">
        <f>VLOOKUP( $B78, T_Aop[], 6, 1)</f>
        <v xml:space="preserve">  Obračunati (fakturisani) porez na dodatu vrijednost (kumulativan promet konta)</v>
      </c>
      <c r="E78" s="761"/>
      <c r="F78" s="761"/>
      <c r="G78" s="761"/>
      <c r="H78" s="762"/>
      <c r="I78" s="59">
        <f>VLOOKUP( $B78, T_Aop[], 4, 1)</f>
        <v>658</v>
      </c>
      <c r="J78" s="155">
        <f>26214+17537</f>
        <v>43751</v>
      </c>
      <c r="K78" s="156">
        <v>32353</v>
      </c>
      <c r="O78" s="133" t="s">
        <v>313</v>
      </c>
    </row>
    <row r="79" spans="2:15" ht="12.75" customHeight="1">
      <c r="B79" s="47">
        <v>410</v>
      </c>
      <c r="C79" s="62" t="str">
        <f>VLOOKUP( $B79, T_Aop[], 5, 1)</f>
        <v>27, osim 279</v>
      </c>
      <c r="D79" s="757" t="str">
        <f>VLOOKUP( $B79, T_Aop[], 6, 1)</f>
        <v xml:space="preserve">  Ulazni porez na dodatu vrijednost (kumulativan promet konta)</v>
      </c>
      <c r="E79" s="758"/>
      <c r="F79" s="758"/>
      <c r="G79" s="758"/>
      <c r="H79" s="759"/>
      <c r="I79" s="75">
        <f>VLOOKUP( $B79, T_Aop[], 4, 1)</f>
        <v>659</v>
      </c>
      <c r="J79" s="157">
        <v>44691</v>
      </c>
      <c r="K79" s="158">
        <v>2913</v>
      </c>
      <c r="O79" s="27"/>
    </row>
    <row r="80" spans="2:15" ht="12.75" customHeight="1">
      <c r="B80" s="47">
        <v>411</v>
      </c>
      <c r="C80" s="58">
        <f>VLOOKUP( $B80, T_Aop[], 5, 1)</f>
        <v>479</v>
      </c>
      <c r="D80" s="760" t="str">
        <f>VLOOKUP( $B80, T_Aop[], 6, 1)</f>
        <v xml:space="preserve">  Obaveze za PDV po osnovu razlike između obračunatog i akontacionog PDV-a (saldo konta)</v>
      </c>
      <c r="E80" s="761"/>
      <c r="F80" s="761"/>
      <c r="G80" s="761"/>
      <c r="H80" s="762"/>
      <c r="I80" s="59">
        <f>VLOOKUP( $B80, T_Aop[], 4, 1)</f>
        <v>660</v>
      </c>
      <c r="J80" s="155">
        <v>0</v>
      </c>
      <c r="K80" s="156">
        <v>2492</v>
      </c>
      <c r="O80" s="27"/>
    </row>
    <row r="81" spans="2:15" ht="12.75" customHeight="1">
      <c r="B81" s="47">
        <v>412</v>
      </c>
      <c r="C81" s="62">
        <f>VLOOKUP( $B81, T_Aop[], 5, 1)</f>
        <v>279</v>
      </c>
      <c r="D81" s="757" t="str">
        <f>VLOOKUP( $B81, T_Aop[], 6, 1)</f>
        <v xml:space="preserve">  Potraživanja po osnovu razlike između akontacionog i obračunatog PDV-a (saldo konta)</v>
      </c>
      <c r="E81" s="758"/>
      <c r="F81" s="758"/>
      <c r="G81" s="758"/>
      <c r="H81" s="759"/>
      <c r="I81" s="75">
        <f>VLOOKUP( $B81, T_Aop[], 4, 1)</f>
        <v>661</v>
      </c>
      <c r="J81" s="157"/>
      <c r="K81" s="158"/>
      <c r="O81" s="27"/>
    </row>
    <row r="82" spans="2:15" ht="12.75" customHeight="1">
      <c r="B82" s="47">
        <v>413</v>
      </c>
      <c r="C82" s="58">
        <f>VLOOKUP( $B82, T_Aop[], 5, 1)</f>
        <v>271</v>
      </c>
      <c r="D82" s="760" t="str">
        <f>VLOOKUP( $B82, T_Aop[], 6, 1)</f>
        <v xml:space="preserve">  PDV plaćen pri uvozu (kumulativan promet konta)</v>
      </c>
      <c r="E82" s="761"/>
      <c r="F82" s="761"/>
      <c r="G82" s="761"/>
      <c r="H82" s="762"/>
      <c r="I82" s="59">
        <f>VLOOKUP( $B82, T_Aop[], 4, 1)</f>
        <v>662</v>
      </c>
      <c r="J82" s="155"/>
      <c r="K82" s="156"/>
      <c r="O82" s="27"/>
    </row>
    <row r="83" spans="2:15" ht="12.75" customHeight="1">
      <c r="B83" s="47">
        <v>414</v>
      </c>
      <c r="C83" s="62">
        <f>VLOOKUP( $B83, T_Aop[], 5, 1)</f>
        <v>484</v>
      </c>
      <c r="D83" s="757" t="str">
        <f>VLOOKUP( $B83, T_Aop[], 6, 1)</f>
        <v xml:space="preserve">  Obaveze za PDV plaćen pri uvozu (kumulativan promet konta)</v>
      </c>
      <c r="E83" s="758"/>
      <c r="F83" s="758"/>
      <c r="G83" s="758"/>
      <c r="H83" s="759"/>
      <c r="I83" s="75">
        <f>VLOOKUP( $B83, T_Aop[], 4, 1)</f>
        <v>663</v>
      </c>
      <c r="J83" s="157"/>
      <c r="K83" s="158"/>
      <c r="O83" s="27"/>
    </row>
    <row r="84" spans="2:15" ht="12.75" customHeight="1">
      <c r="B84" s="47">
        <v>415</v>
      </c>
      <c r="C84" s="58">
        <f>VLOOKUP( $B84, T_Aop[], 5, 1)</f>
        <v>480</v>
      </c>
      <c r="D84" s="760" t="str">
        <f>VLOOKUP( $B84, T_Aop[], 6, 1)</f>
        <v xml:space="preserve">  Obaveze za akcize (kumulativan promet konta)</v>
      </c>
      <c r="E84" s="761"/>
      <c r="F84" s="761"/>
      <c r="G84" s="761"/>
      <c r="H84" s="762"/>
      <c r="I84" s="59">
        <f>VLOOKUP( $B84, T_Aop[], 4, 1)</f>
        <v>664</v>
      </c>
      <c r="J84" s="155"/>
      <c r="K84" s="156"/>
      <c r="O84" s="27"/>
    </row>
    <row r="85" spans="2:15" ht="12.75" customHeight="1">
      <c r="B85" s="47">
        <v>416</v>
      </c>
      <c r="C85" s="62" t="str">
        <f>VLOOKUP( $B85, T_Aop[], 5, 1)</f>
        <v>nema konta</v>
      </c>
      <c r="D85" s="757" t="str">
        <f>VLOOKUP( $B85, T_Aop[], 6, 1)</f>
        <v xml:space="preserve">  Prihodi ostvareni na bazi podugovaranja</v>
      </c>
      <c r="E85" s="758"/>
      <c r="F85" s="758"/>
      <c r="G85" s="758"/>
      <c r="H85" s="759"/>
      <c r="I85" s="75">
        <f>VLOOKUP( $B85, T_Aop[], 4, 1)</f>
        <v>665</v>
      </c>
      <c r="J85" s="157"/>
      <c r="K85" s="158"/>
      <c r="O85" s="27"/>
    </row>
    <row r="86" spans="2:15" ht="12.75" customHeight="1">
      <c r="B86" s="47">
        <v>417</v>
      </c>
      <c r="C86" s="58" t="str">
        <f>VLOOKUP( $B86, T_Aop[], 5, 1)</f>
        <v>nema konta</v>
      </c>
      <c r="D86" s="760" t="str">
        <f>VLOOKUP( $B86, T_Aop[], 6, 1)</f>
        <v xml:space="preserve">  Plaćanja podugovaračima za rad, isporučene proizvode i usluge</v>
      </c>
      <c r="E86" s="761"/>
      <c r="F86" s="761"/>
      <c r="G86" s="761"/>
      <c r="H86" s="762"/>
      <c r="I86" s="59">
        <f>VLOOKUP( $B86, T_Aop[], 4, 1)</f>
        <v>666</v>
      </c>
      <c r="J86" s="155"/>
      <c r="K86" s="156"/>
      <c r="O86" s="27"/>
    </row>
    <row r="87" spans="2:15" ht="12.75" customHeight="1">
      <c r="B87" s="47">
        <v>418</v>
      </c>
      <c r="C87" s="547" t="str">
        <f>VLOOKUP( $B87, T_Aop[], 5, 1)</f>
        <v>nema konta</v>
      </c>
      <c r="D87" s="754" t="str">
        <f>VLOOKUP( $B87, T_Aop[], 6, 1)</f>
        <v xml:space="preserve">  Ukupan broj odrađenih časova rada (efektivni časovi rada bez bolovanja, godišnjih odmora, državnih praznika i sl.)</v>
      </c>
      <c r="E87" s="755"/>
      <c r="F87" s="755"/>
      <c r="G87" s="755"/>
      <c r="H87" s="756"/>
      <c r="I87" s="548">
        <f>VLOOKUP( $B87, T_Aop[], 4, 1)</f>
        <v>667</v>
      </c>
      <c r="J87" s="549">
        <v>20640</v>
      </c>
      <c r="K87" s="550">
        <v>20800</v>
      </c>
      <c r="O87" s="27"/>
    </row>
    <row r="88" spans="2:15" ht="12.75" customHeight="1">
      <c r="B88" s="47"/>
      <c r="C88" s="562"/>
      <c r="D88" s="563"/>
      <c r="E88" s="563"/>
      <c r="F88" s="563"/>
      <c r="G88" s="563"/>
      <c r="H88" s="563"/>
      <c r="I88" s="564"/>
      <c r="J88" s="565"/>
      <c r="K88" s="565"/>
      <c r="O88" s="27"/>
    </row>
    <row r="89" spans="2:15" ht="21.75" customHeight="1">
      <c r="B89" s="47">
        <v>419</v>
      </c>
      <c r="C89" s="765" t="str">
        <f>Prevod!G107</f>
        <v>1 Subvencije na proizvode obuhvataju subvencije koje se mogu iskazati po jedinici proizvoda, tj. iznos ovih subvencija zavisi od obima proizvodnje (npr. vozna karta, brašno, hljeb, mlijeko i sl.).</v>
      </c>
      <c r="D89" s="765"/>
      <c r="E89" s="765"/>
      <c r="F89" s="765"/>
      <c r="G89" s="765"/>
      <c r="H89" s="765"/>
      <c r="I89" s="765"/>
      <c r="J89" s="765"/>
      <c r="K89" s="765"/>
      <c r="O89" s="27"/>
    </row>
    <row r="90" spans="2:15" ht="21.75" customHeight="1">
      <c r="B90" s="47">
        <v>420</v>
      </c>
      <c r="C90" s="765" t="str">
        <f>Prevod!G108</f>
        <v>2 Subvencije na proizvodnju obuhvataju subvencije koje se ne mogu iskazati po jedinici proizvoda ili usluge  (npr. zapošljavanje, platu, kamatnu stopu, za smanjenje zagađenja i sl.).</v>
      </c>
      <c r="D90" s="765"/>
      <c r="E90" s="765"/>
      <c r="F90" s="765"/>
      <c r="G90" s="765"/>
      <c r="H90" s="765"/>
      <c r="I90" s="765"/>
      <c r="J90" s="765"/>
      <c r="K90" s="765"/>
      <c r="O90" s="27"/>
    </row>
    <row r="91" spans="2:15" ht="23.65" customHeight="1">
      <c r="B91" s="47">
        <v>421</v>
      </c>
      <c r="C91" s="765" t="str">
        <f>Prevod!G109</f>
        <v>3 Porezi na proizvode zavise od količine ili vrijednosti proizvedenih dobara i usluga (npr. carine, boravišne takse, porez na igre na sreću i sl.).</v>
      </c>
      <c r="D91" s="765"/>
      <c r="E91" s="765"/>
      <c r="F91" s="765"/>
      <c r="G91" s="765"/>
      <c r="H91" s="765"/>
      <c r="I91" s="765"/>
      <c r="J91" s="765"/>
      <c r="K91" s="765"/>
      <c r="O91" s="27"/>
    </row>
    <row r="92" spans="2:15" ht="21.75" customHeight="1">
      <c r="B92" s="47">
        <v>422</v>
      </c>
      <c r="C92" s="765"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5"/>
      <c r="E92" s="765"/>
      <c r="F92" s="765"/>
      <c r="G92" s="765"/>
      <c r="H92" s="765"/>
      <c r="I92" s="765"/>
      <c r="J92" s="765"/>
      <c r="K92" s="765"/>
      <c r="O92" s="27"/>
    </row>
    <row r="93" spans="2:15" ht="23.65" customHeight="1">
      <c r="C93" s="37"/>
      <c r="D93" s="40"/>
      <c r="E93" s="40"/>
      <c r="F93" s="40"/>
      <c r="G93" s="40"/>
      <c r="H93" s="40"/>
      <c r="I93" s="233"/>
      <c r="J93" s="37"/>
      <c r="K93" s="37"/>
    </row>
    <row r="94" spans="2:15">
      <c r="C94" s="180" t="str">
        <f>Podnozje_U</f>
        <v>U:</v>
      </c>
      <c r="D94" s="419" t="str">
        <f>Podatak_U</f>
        <v>Bileći</v>
      </c>
      <c r="E94"/>
      <c r="F94" s="1" t="str">
        <f>Podnozje_Lice_sa_licencom</f>
        <v>Lice sa licencom:</v>
      </c>
      <c r="G94" s="1" t="str">
        <f>Podatak_Lice_sa_licencom</f>
        <v>Dragana Popara</v>
      </c>
      <c r="H94" s="37" t="str">
        <f>Podnozje_MP</f>
        <v>(M.P.)</v>
      </c>
      <c r="J94" s="746" t="str">
        <f>Podnozje_Direktor</f>
        <v>Lice ovlašćeno za zastupanje:</v>
      </c>
      <c r="K94" s="746"/>
      <c r="L94" s="746"/>
    </row>
    <row r="95" spans="2:15">
      <c r="C95" s="28"/>
      <c r="D95" s="127"/>
      <c r="E95"/>
      <c r="F95" s="13" t="str">
        <f>Podnozje_Broj_licence</f>
        <v>Broj licence:</v>
      </c>
      <c r="G95" s="13" t="str">
        <f>Podatak_Broj_Licence</f>
        <v>SR 1639/25</v>
      </c>
      <c r="H95" s="78"/>
      <c r="I95" s="78"/>
      <c r="J95" s="747" t="str">
        <f>Podatak_Direktor</f>
        <v>Božo Delić</v>
      </c>
      <c r="K95" s="747"/>
      <c r="L95" s="9"/>
    </row>
    <row r="96" spans="2:15">
      <c r="C96" s="180" t="str">
        <f>Podnozje_Dana</f>
        <v>Dana:</v>
      </c>
      <c r="D96" s="418" t="str">
        <f>Podatak_Dana</f>
        <v>31.07.2025.</v>
      </c>
      <c r="E96"/>
      <c r="F96" s="704"/>
      <c r="G96" s="704"/>
      <c r="J96" s="704"/>
      <c r="K96" s="704"/>
    </row>
    <row r="97" spans="6:11">
      <c r="G97" s="39"/>
      <c r="H97" s="37"/>
      <c r="I97" s="181"/>
      <c r="J97" s="39"/>
      <c r="K97" s="39"/>
    </row>
    <row r="98" spans="6:11" hidden="1">
      <c r="F98" s="40"/>
      <c r="G98" s="40"/>
      <c r="H98" s="40"/>
      <c r="I98" s="9"/>
      <c r="J98" s="37"/>
      <c r="K98" s="37"/>
    </row>
    <row r="99" spans="6:11"/>
    <row r="100" spans="6:11"/>
    <row r="101" spans="6:11"/>
  </sheetData>
  <sheetProtection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10;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worksheet>
</file>

<file path=xl/worksheets/sheet8.xml><?xml version="1.0" encoding="utf-8"?>
<worksheet xmlns="http://schemas.openxmlformats.org/spreadsheetml/2006/main" xmlns:r="http://schemas.openxmlformats.org/officeDocument/2006/relationships">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c r="A1" s="2" t="s">
        <v>109</v>
      </c>
      <c r="B1" s="2" t="s">
        <v>124</v>
      </c>
      <c r="C1" s="2" t="s">
        <v>105</v>
      </c>
      <c r="D1" s="2" t="s">
        <v>108</v>
      </c>
      <c r="E1" s="2" t="s">
        <v>106</v>
      </c>
      <c r="F1" s="2" t="s">
        <v>2109</v>
      </c>
      <c r="G1" s="36" t="s">
        <v>250</v>
      </c>
      <c r="H1" s="2" t="s">
        <v>136</v>
      </c>
      <c r="I1" s="2" t="s">
        <v>395</v>
      </c>
    </row>
    <row r="2" spans="1:9">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c r="A4" s="1" t="s">
        <v>206</v>
      </c>
      <c r="B4" s="1" t="s">
        <v>209</v>
      </c>
      <c r="C4" s="1" t="s">
        <v>232</v>
      </c>
      <c r="D4" s="1" t="s">
        <v>272</v>
      </c>
      <c r="E4" s="1" t="s">
        <v>233</v>
      </c>
      <c r="F4" t="s">
        <v>2112</v>
      </c>
      <c r="G4" s="7" t="str">
        <f t="shared" si="0"/>
        <v>Naziv banke</v>
      </c>
      <c r="H4" s="7" t="str">
        <f t="shared" si="2"/>
        <v>Objasnjenja_Banka</v>
      </c>
      <c r="I4">
        <f t="shared" si="1"/>
        <v>1</v>
      </c>
    </row>
    <row r="5" spans="1:9">
      <c r="A5" s="1" t="s">
        <v>206</v>
      </c>
      <c r="B5" s="1" t="s">
        <v>210</v>
      </c>
      <c r="C5" s="1" t="s">
        <v>211</v>
      </c>
      <c r="D5" s="1" t="s">
        <v>273</v>
      </c>
      <c r="E5" s="1" t="s">
        <v>107</v>
      </c>
      <c r="F5" t="s">
        <v>2113</v>
      </c>
      <c r="G5" s="7" t="str">
        <f t="shared" si="0"/>
        <v>Računi u banci:</v>
      </c>
      <c r="H5" s="7" t="str">
        <f t="shared" si="2"/>
        <v>Objasnjenja_Bankovni_racun</v>
      </c>
      <c r="I5" s="3">
        <f t="shared" si="1"/>
        <v>1</v>
      </c>
    </row>
    <row r="6" spans="1:9">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c r="A7" s="1" t="s">
        <v>206</v>
      </c>
      <c r="B7" s="1" t="s">
        <v>429</v>
      </c>
      <c r="C7" s="1" t="s">
        <v>401</v>
      </c>
      <c r="D7" s="1" t="s">
        <v>428</v>
      </c>
      <c r="E7" s="1" t="s">
        <v>403</v>
      </c>
      <c r="F7" t="s">
        <v>2114</v>
      </c>
      <c r="G7" s="7" t="str">
        <f t="shared" si="0"/>
        <v>Glavni račun:</v>
      </c>
      <c r="H7" s="7" t="str">
        <f t="shared" si="3"/>
        <v>Objasnjenja_Glavni_racun</v>
      </c>
      <c r="I7" s="3">
        <f t="shared" si="1"/>
        <v>1</v>
      </c>
    </row>
    <row r="8" spans="1:9">
      <c r="A8" s="1" t="s">
        <v>206</v>
      </c>
      <c r="B8" s="1" t="s">
        <v>267</v>
      </c>
      <c r="C8" s="1" t="s">
        <v>267</v>
      </c>
      <c r="D8" s="1" t="s">
        <v>274</v>
      </c>
      <c r="E8" s="1" t="s">
        <v>268</v>
      </c>
      <c r="F8" t="s">
        <v>2115</v>
      </c>
      <c r="G8" s="7" t="str">
        <f t="shared" si="0"/>
        <v>Navigacija</v>
      </c>
      <c r="H8" s="7" t="str">
        <f t="shared" si="3"/>
        <v>Objasnjenja_Navigacija</v>
      </c>
      <c r="I8" s="3">
        <f t="shared" si="1"/>
        <v>1</v>
      </c>
    </row>
    <row r="9" spans="1:9">
      <c r="A9" s="1" t="s">
        <v>206</v>
      </c>
      <c r="B9" s="1" t="s">
        <v>182</v>
      </c>
      <c r="C9" s="1" t="s">
        <v>182</v>
      </c>
      <c r="D9" s="1" t="s">
        <v>433</v>
      </c>
      <c r="E9" s="1" t="s">
        <v>430</v>
      </c>
      <c r="F9" t="s">
        <v>2116</v>
      </c>
      <c r="G9" s="7" t="str">
        <f t="shared" si="0"/>
        <v>Dan</v>
      </c>
      <c r="H9" s="7" t="str">
        <f t="shared" si="3"/>
        <v>Objasnjenja_Dan</v>
      </c>
      <c r="I9" s="3">
        <f t="shared" si="1"/>
        <v>1</v>
      </c>
    </row>
    <row r="10" spans="1:9">
      <c r="A10" s="1" t="s">
        <v>206</v>
      </c>
      <c r="B10" s="1" t="s">
        <v>181</v>
      </c>
      <c r="C10" s="1" t="s">
        <v>181</v>
      </c>
      <c r="D10" s="1" t="s">
        <v>434</v>
      </c>
      <c r="E10" s="1" t="s">
        <v>431</v>
      </c>
      <c r="F10" t="s">
        <v>2117</v>
      </c>
      <c r="G10" s="7" t="str">
        <f t="shared" si="0"/>
        <v>Mjesec</v>
      </c>
      <c r="H10" s="7" t="str">
        <f t="shared" si="3"/>
        <v>Objasnjenja_Mjesec</v>
      </c>
      <c r="I10" s="3">
        <f t="shared" si="1"/>
        <v>1</v>
      </c>
    </row>
    <row r="11" spans="1:9">
      <c r="A11" s="1" t="s">
        <v>206</v>
      </c>
      <c r="B11" s="1" t="s">
        <v>177</v>
      </c>
      <c r="C11" s="1" t="s">
        <v>177</v>
      </c>
      <c r="D11" s="1" t="s">
        <v>435</v>
      </c>
      <c r="E11" s="1" t="s">
        <v>432</v>
      </c>
      <c r="F11" t="s">
        <v>2118</v>
      </c>
      <c r="G11" s="7" t="str">
        <f t="shared" si="0"/>
        <v>Godina</v>
      </c>
      <c r="H11" s="7" t="str">
        <f t="shared" si="3"/>
        <v>Objasnjenja_Godina</v>
      </c>
      <c r="I11" s="3">
        <f t="shared" si="1"/>
        <v>1</v>
      </c>
    </row>
    <row r="12" spans="1:9">
      <c r="A12" s="1" t="s">
        <v>213</v>
      </c>
      <c r="B12" s="1" t="s">
        <v>214</v>
      </c>
      <c r="C12" s="1" t="s">
        <v>215</v>
      </c>
      <c r="D12" s="1" t="s">
        <v>228</v>
      </c>
      <c r="E12" s="1" t="s">
        <v>223</v>
      </c>
      <c r="F12" t="s">
        <v>2119</v>
      </c>
      <c r="G12" s="7" t="str">
        <f t="shared" si="0"/>
        <v>Adresa i broj:</v>
      </c>
      <c r="H12" s="7" t="str">
        <f t="shared" si="2"/>
        <v>Kontakt_Adresa</v>
      </c>
      <c r="I12" s="3">
        <f t="shared" si="1"/>
        <v>1</v>
      </c>
    </row>
    <row r="13" spans="1:9">
      <c r="A13" s="1" t="s">
        <v>213</v>
      </c>
      <c r="B13" s="1" t="s">
        <v>220</v>
      </c>
      <c r="C13" s="1" t="s">
        <v>217</v>
      </c>
      <c r="D13" s="1" t="s">
        <v>229</v>
      </c>
      <c r="E13" s="1" t="s">
        <v>225</v>
      </c>
      <c r="F13" t="s">
        <v>2120</v>
      </c>
      <c r="G13" s="7" t="str">
        <f t="shared" si="0"/>
        <v>Internet adresa:</v>
      </c>
      <c r="H13" s="7" t="str">
        <f t="shared" si="2"/>
        <v>Kontakt_web</v>
      </c>
      <c r="I13" s="3">
        <f t="shared" si="1"/>
        <v>1</v>
      </c>
    </row>
    <row r="14" spans="1:9">
      <c r="A14" s="1" t="s">
        <v>213</v>
      </c>
      <c r="B14" s="1" t="s">
        <v>216</v>
      </c>
      <c r="C14" s="1" t="s">
        <v>300</v>
      </c>
      <c r="D14" s="1" t="s">
        <v>301</v>
      </c>
      <c r="E14" s="1" t="s">
        <v>224</v>
      </c>
      <c r="F14" t="s">
        <v>2121</v>
      </c>
      <c r="G14" s="7" t="str">
        <f t="shared" si="0"/>
        <v>Adresa e-pošte (email):</v>
      </c>
      <c r="H14" s="7" t="str">
        <f t="shared" si="2"/>
        <v>Kontakt_email</v>
      </c>
      <c r="I14" s="3">
        <f t="shared" si="1"/>
        <v>1</v>
      </c>
    </row>
    <row r="15" spans="1:9">
      <c r="A15" s="1" t="s">
        <v>213</v>
      </c>
      <c r="B15" s="1" t="s">
        <v>221</v>
      </c>
      <c r="C15" s="1" t="s">
        <v>218</v>
      </c>
      <c r="D15" s="1" t="s">
        <v>230</v>
      </c>
      <c r="E15" s="1" t="s">
        <v>226</v>
      </c>
      <c r="F15" t="s">
        <v>2122</v>
      </c>
      <c r="G15" s="7" t="str">
        <f t="shared" si="0"/>
        <v>Telefon:</v>
      </c>
      <c r="H15" s="7" t="str">
        <f t="shared" si="2"/>
        <v>Kontakt_tel</v>
      </c>
      <c r="I15" s="3">
        <f t="shared" si="1"/>
        <v>1</v>
      </c>
    </row>
    <row r="16" spans="1:9">
      <c r="A16" s="1" t="s">
        <v>213</v>
      </c>
      <c r="B16" s="1" t="s">
        <v>222</v>
      </c>
      <c r="C16" s="1" t="s">
        <v>219</v>
      </c>
      <c r="D16" s="1" t="s">
        <v>231</v>
      </c>
      <c r="E16" s="1" t="s">
        <v>227</v>
      </c>
      <c r="F16" t="s">
        <v>2123</v>
      </c>
      <c r="G16" s="7" t="str">
        <f t="shared" si="0"/>
        <v>Faks:</v>
      </c>
      <c r="H16" s="7" t="str">
        <f t="shared" si="2"/>
        <v>Kontakt_fax</v>
      </c>
      <c r="I16" s="3">
        <f t="shared" si="1"/>
        <v>1</v>
      </c>
    </row>
    <row r="17" spans="1:9">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c r="A25" s="1" t="s">
        <v>234</v>
      </c>
      <c r="B25" s="1" t="s">
        <v>238</v>
      </c>
      <c r="C25" s="1" t="s">
        <v>175</v>
      </c>
      <c r="D25" s="1" t="s">
        <v>246</v>
      </c>
      <c r="E25" s="1" t="s">
        <v>242</v>
      </c>
      <c r="F25" t="s">
        <v>2132</v>
      </c>
      <c r="G25" s="7" t="str">
        <f t="shared" si="0"/>
        <v>Godišnji</v>
      </c>
      <c r="H25" s="7" t="str">
        <f t="shared" si="2"/>
        <v>Vrsta_izvjestaja_Godisnji</v>
      </c>
      <c r="I25" s="3">
        <f t="shared" si="1"/>
        <v>1</v>
      </c>
    </row>
    <row r="26" spans="1:9">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c r="A27" t="s">
        <v>207</v>
      </c>
      <c r="B27" t="s">
        <v>125</v>
      </c>
      <c r="C27" t="s">
        <v>2747</v>
      </c>
      <c r="D27" t="s">
        <v>2744</v>
      </c>
      <c r="E27" t="s">
        <v>2745</v>
      </c>
      <c r="F27" t="s">
        <v>2746</v>
      </c>
      <c r="G27" t="str">
        <f t="shared" si="0"/>
        <v>Matični broj</v>
      </c>
      <c r="H27" t="str">
        <f t="shared" si="2"/>
        <v>Zaglavlje_MB</v>
      </c>
      <c r="I27">
        <f t="shared" si="1"/>
        <v>1</v>
      </c>
    </row>
    <row r="28" spans="1:9">
      <c r="A28" t="s">
        <v>207</v>
      </c>
      <c r="B28" t="s">
        <v>126</v>
      </c>
      <c r="C28" t="s">
        <v>2748</v>
      </c>
      <c r="D28" t="s">
        <v>2749</v>
      </c>
      <c r="E28" t="s">
        <v>2750</v>
      </c>
      <c r="F28" t="s">
        <v>2751</v>
      </c>
      <c r="G28" t="str">
        <f t="shared" si="0"/>
        <v>Šifra djelatnosti</v>
      </c>
      <c r="H28" t="str">
        <f t="shared" si="2"/>
        <v>Zaglavlje_Sifra_djelatnosti</v>
      </c>
      <c r="I28">
        <f t="shared" si="1"/>
        <v>1</v>
      </c>
    </row>
    <row r="29" spans="1:9">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c r="A30" t="s">
        <v>207</v>
      </c>
      <c r="B30" t="s">
        <v>128</v>
      </c>
      <c r="C30" t="s">
        <v>102</v>
      </c>
      <c r="D30" t="s">
        <v>113</v>
      </c>
      <c r="E30" t="s">
        <v>103</v>
      </c>
      <c r="F30" t="s">
        <v>2135</v>
      </c>
      <c r="G30" t="str">
        <f t="shared" si="0"/>
        <v>Sjedište:</v>
      </c>
      <c r="H30" t="str">
        <f t="shared" si="2"/>
        <v>Zaglavlje_Sjediste</v>
      </c>
      <c r="I30">
        <f t="shared" si="1"/>
        <v>1</v>
      </c>
    </row>
    <row r="31" spans="1:9">
      <c r="A31" t="s">
        <v>207</v>
      </c>
      <c r="B31" t="s">
        <v>55</v>
      </c>
      <c r="C31" t="s">
        <v>55</v>
      </c>
      <c r="D31" t="s">
        <v>1123</v>
      </c>
      <c r="E31" t="s">
        <v>1124</v>
      </c>
      <c r="F31" t="s">
        <v>2136</v>
      </c>
      <c r="G31" t="str">
        <f t="shared" si="0"/>
        <v>JIB</v>
      </c>
      <c r="H31" t="str">
        <f t="shared" si="2"/>
        <v>Zaglavlje_JIB</v>
      </c>
      <c r="I31">
        <f t="shared" si="1"/>
        <v>1</v>
      </c>
    </row>
    <row r="32" spans="1:9">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c r="A35" t="s">
        <v>208</v>
      </c>
      <c r="B35" t="s">
        <v>63</v>
      </c>
      <c r="C35" t="s">
        <v>696</v>
      </c>
      <c r="D35" t="s">
        <v>114</v>
      </c>
      <c r="E35" t="s">
        <v>54</v>
      </c>
      <c r="F35" t="s">
        <v>2140</v>
      </c>
      <c r="G35" t="str">
        <f t="shared" ref="G35:G70" si="5">CHOOSE( ID_Jezik, C35, D35, E35,F35)</f>
        <v>U:</v>
      </c>
      <c r="H35" t="str">
        <f t="shared" si="2"/>
        <v>Podnozje_U</v>
      </c>
      <c r="I35">
        <f t="shared" si="4"/>
        <v>1</v>
      </c>
    </row>
    <row r="36" spans="1:9">
      <c r="A36" t="s">
        <v>208</v>
      </c>
      <c r="B36" t="s">
        <v>64</v>
      </c>
      <c r="C36" t="s">
        <v>1314</v>
      </c>
      <c r="D36" t="s">
        <v>1313</v>
      </c>
      <c r="E36" t="s">
        <v>697</v>
      </c>
      <c r="F36" t="s">
        <v>2141</v>
      </c>
      <c r="G36" t="str">
        <f t="shared" si="5"/>
        <v>Dana:</v>
      </c>
      <c r="H36" t="str">
        <f t="shared" si="2"/>
        <v>Podnozje_Dana</v>
      </c>
      <c r="I36">
        <f t="shared" si="4"/>
        <v>1</v>
      </c>
    </row>
    <row r="37" spans="1:9">
      <c r="A37" t="s">
        <v>208</v>
      </c>
      <c r="B37" t="s">
        <v>130</v>
      </c>
      <c r="C37" t="s">
        <v>111</v>
      </c>
      <c r="D37" t="s">
        <v>115</v>
      </c>
      <c r="E37" t="s">
        <v>438</v>
      </c>
      <c r="F37" t="s">
        <v>2142</v>
      </c>
      <c r="G37" t="str">
        <f t="shared" si="5"/>
        <v>Lice sa licencom:</v>
      </c>
      <c r="H37" t="str">
        <f t="shared" si="2"/>
        <v>Podnozje_Lice_sa_licencom</v>
      </c>
      <c r="I37">
        <f t="shared" si="4"/>
        <v>1</v>
      </c>
    </row>
    <row r="38" spans="1:9">
      <c r="A38" t="s">
        <v>208</v>
      </c>
      <c r="B38" t="s">
        <v>436</v>
      </c>
      <c r="C38" t="s">
        <v>402</v>
      </c>
      <c r="D38" t="s">
        <v>437</v>
      </c>
      <c r="E38" t="s">
        <v>698</v>
      </c>
      <c r="F38" t="s">
        <v>2143</v>
      </c>
      <c r="G38" s="3" t="str">
        <f t="shared" si="5"/>
        <v>Broj licence:</v>
      </c>
      <c r="H38" s="3" t="str">
        <f>SUBSTITUTE(A38&amp;"_"&amp;B38," ","_")</f>
        <v>Podnozje_Broj_licence</v>
      </c>
      <c r="I38" s="3">
        <f t="shared" si="4"/>
        <v>1</v>
      </c>
    </row>
    <row r="39" spans="1:9">
      <c r="A39" t="s">
        <v>208</v>
      </c>
      <c r="B39" t="s">
        <v>65</v>
      </c>
      <c r="C39" t="s">
        <v>695</v>
      </c>
      <c r="D39" t="s">
        <v>694</v>
      </c>
      <c r="E39" t="s">
        <v>406</v>
      </c>
      <c r="F39" t="s">
        <v>2144</v>
      </c>
      <c r="G39" t="str">
        <f t="shared" si="5"/>
        <v>Lice ovlašćeno za zastupanje:</v>
      </c>
      <c r="H39" t="str">
        <f t="shared" si="2"/>
        <v>Podnozje_Direktor</v>
      </c>
      <c r="I39">
        <f t="shared" si="4"/>
        <v>1</v>
      </c>
    </row>
    <row r="40" spans="1:9">
      <c r="A40" t="s">
        <v>208</v>
      </c>
      <c r="B40" t="s">
        <v>3030</v>
      </c>
      <c r="D40" t="s">
        <v>3026</v>
      </c>
      <c r="E40" t="s">
        <v>3036</v>
      </c>
      <c r="F40">
        <v>1</v>
      </c>
      <c r="G40">
        <f t="shared" si="5"/>
        <v>0</v>
      </c>
      <c r="H40" t="str">
        <f>SUBSTITUTE(A40&amp;"_"&amp;B40," ","_")</f>
        <v>Podnozje_Napomena_1.</v>
      </c>
      <c r="I40">
        <f t="shared" si="4"/>
        <v>1</v>
      </c>
    </row>
    <row r="41" spans="1:9">
      <c r="A41" t="s">
        <v>208</v>
      </c>
      <c r="B41" t="s">
        <v>3031</v>
      </c>
      <c r="D41" t="s">
        <v>3027</v>
      </c>
      <c r="E41" t="s">
        <v>3035</v>
      </c>
      <c r="F41">
        <v>2</v>
      </c>
      <c r="G41">
        <f t="shared" si="5"/>
        <v>0</v>
      </c>
      <c r="H41" t="str">
        <f>SUBSTITUTE(A41&amp;"_"&amp;B41," ","_")</f>
        <v>Podnozje_Napomena_2.</v>
      </c>
      <c r="I41">
        <f t="shared" si="4"/>
        <v>1</v>
      </c>
    </row>
    <row r="42" spans="1:9">
      <c r="A42" t="s">
        <v>208</v>
      </c>
      <c r="B42" t="s">
        <v>3032</v>
      </c>
      <c r="D42" t="s">
        <v>3028</v>
      </c>
      <c r="E42" t="s">
        <v>3037</v>
      </c>
      <c r="F42">
        <v>3</v>
      </c>
      <c r="G42">
        <f t="shared" si="5"/>
        <v>0</v>
      </c>
      <c r="H42" t="str">
        <f>SUBSTITUTE(A42&amp;"_"&amp;B42," ","_")</f>
        <v>Podnozje_Napomena_3.</v>
      </c>
      <c r="I42">
        <f t="shared" si="4"/>
        <v>1</v>
      </c>
    </row>
    <row r="43" spans="1:9">
      <c r="A43" t="s">
        <v>208</v>
      </c>
      <c r="B43" t="s">
        <v>3033</v>
      </c>
      <c r="D43" t="s">
        <v>3029</v>
      </c>
      <c r="E43" t="s">
        <v>3034</v>
      </c>
      <c r="F43">
        <v>4</v>
      </c>
      <c r="G43">
        <f t="shared" si="5"/>
        <v>0</v>
      </c>
      <c r="H43" t="str">
        <f>SUBSTITUTE(A43&amp;"_"&amp;B43," ","_")</f>
        <v>Podnozje_Napomena_4.</v>
      </c>
      <c r="I43">
        <f t="shared" si="4"/>
        <v>1</v>
      </c>
    </row>
    <row r="44" spans="1:9">
      <c r="A44" t="s">
        <v>208</v>
      </c>
      <c r="B44" t="s">
        <v>131</v>
      </c>
      <c r="C44" t="s">
        <v>112</v>
      </c>
      <c r="D44" t="s">
        <v>116</v>
      </c>
      <c r="E44" t="s">
        <v>201</v>
      </c>
      <c r="F44" t="s">
        <v>116</v>
      </c>
      <c r="G44" t="str">
        <f t="shared" si="5"/>
        <v>(M.P.)</v>
      </c>
      <c r="H44" t="str">
        <f t="shared" si="2"/>
        <v>Podnozje_MP</v>
      </c>
      <c r="I44">
        <f t="shared" si="4"/>
        <v>1</v>
      </c>
    </row>
    <row r="45" spans="1:9">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c r="A46" t="s">
        <v>110</v>
      </c>
      <c r="B46" t="s">
        <v>132</v>
      </c>
      <c r="C46" t="s">
        <v>16</v>
      </c>
      <c r="D46" t="s">
        <v>117</v>
      </c>
      <c r="E46" t="s">
        <v>14</v>
      </c>
      <c r="F46" t="s">
        <v>2146</v>
      </c>
      <c r="G46" t="str">
        <f t="shared" si="5"/>
        <v>Bilans stanja</v>
      </c>
      <c r="H46" t="str">
        <f t="shared" si="2"/>
        <v>Nazivi_bilansa_BS</v>
      </c>
      <c r="I46">
        <f t="shared" si="4"/>
        <v>1</v>
      </c>
    </row>
    <row r="47" spans="1:9">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c r="A48" t="s">
        <v>110</v>
      </c>
      <c r="B48" t="s">
        <v>255</v>
      </c>
      <c r="C48" t="s">
        <v>17</v>
      </c>
      <c r="D48" t="s">
        <v>118</v>
      </c>
      <c r="E48" t="s">
        <v>15</v>
      </c>
      <c r="F48" t="s">
        <v>2148</v>
      </c>
      <c r="G48" t="str">
        <f t="shared" si="5"/>
        <v>Bilans uspjeha</v>
      </c>
      <c r="H48" t="str">
        <f t="shared" si="2"/>
        <v>Nazivi_bilansa_BUa</v>
      </c>
      <c r="I48">
        <f t="shared" si="4"/>
        <v>1</v>
      </c>
    </row>
    <row r="49" spans="1:9">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c r="A50" t="s">
        <v>110</v>
      </c>
      <c r="B50" t="s">
        <v>264</v>
      </c>
      <c r="C50" t="s">
        <v>266</v>
      </c>
      <c r="D50" t="s">
        <v>275</v>
      </c>
      <c r="E50" t="s">
        <v>310</v>
      </c>
      <c r="F50" t="s">
        <v>2150</v>
      </c>
      <c r="G50" s="3" t="str">
        <f t="shared" si="5"/>
        <v>Izvještaj</v>
      </c>
      <c r="H50" s="3" t="str">
        <f>SUBSTITUTE(A50&amp;"_"&amp;B50," ","_")</f>
        <v>Nazivi_bilansa_BUb</v>
      </c>
      <c r="I50" s="3">
        <f t="shared" si="4"/>
        <v>1</v>
      </c>
    </row>
    <row r="51" spans="1:9">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c r="A52" t="s">
        <v>110</v>
      </c>
      <c r="B52" t="s">
        <v>133</v>
      </c>
      <c r="C52" t="s">
        <v>18</v>
      </c>
      <c r="D52" t="s">
        <v>119</v>
      </c>
      <c r="E52" t="s">
        <v>24</v>
      </c>
      <c r="F52" t="s">
        <v>2152</v>
      </c>
      <c r="G52" t="str">
        <f t="shared" si="5"/>
        <v>Bilans tokova gotovine</v>
      </c>
      <c r="H52" t="str">
        <f t="shared" si="2"/>
        <v>Nazivi_bilansa_BTG</v>
      </c>
      <c r="I52">
        <f t="shared" si="4"/>
        <v>1</v>
      </c>
    </row>
    <row r="53" spans="1:9">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c r="A54" t="s">
        <v>110</v>
      </c>
      <c r="B54" t="s">
        <v>134</v>
      </c>
      <c r="C54" t="s">
        <v>134</v>
      </c>
      <c r="D54" t="s">
        <v>189</v>
      </c>
      <c r="E54" t="s">
        <v>170</v>
      </c>
      <c r="F54" t="s">
        <v>2154</v>
      </c>
      <c r="G54" t="str">
        <f t="shared" si="5"/>
        <v>Aneks</v>
      </c>
      <c r="H54" t="str">
        <f t="shared" si="6"/>
        <v>Nazivi_bilansa_Aneks</v>
      </c>
      <c r="I54">
        <f t="shared" si="4"/>
        <v>1</v>
      </c>
    </row>
    <row r="55" spans="1:9">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c r="A56" t="s">
        <v>110</v>
      </c>
      <c r="B56" t="s">
        <v>135</v>
      </c>
      <c r="C56" t="s">
        <v>1630</v>
      </c>
      <c r="D56" t="s">
        <v>2238</v>
      </c>
      <c r="E56" t="s">
        <v>28</v>
      </c>
      <c r="F56" t="s">
        <v>2156</v>
      </c>
      <c r="G56" t="str">
        <f t="shared" si="5"/>
        <v>IZVJEŠTAJ O PROMJENAMA NA KAPITALU</v>
      </c>
      <c r="H56" t="str">
        <f t="shared" si="6"/>
        <v>Nazivi_bilansa_BPK</v>
      </c>
      <c r="I56">
        <f t="shared" si="4"/>
        <v>1</v>
      </c>
    </row>
    <row r="57" spans="1:9">
      <c r="A57" t="s">
        <v>260</v>
      </c>
      <c r="B57" t="s">
        <v>147</v>
      </c>
      <c r="C57" s="53" t="str">
        <f>CONCATENATE("na dan ",Datum_Format," godine")</f>
        <v>na dan 30.06.2025. godine</v>
      </c>
      <c r="D57" s="53" t="str">
        <f>CONCATENATE("нa дaн ",Datum_Format," гoдинe")</f>
        <v>нa дaн 30.06.2025. гoдинe</v>
      </c>
      <c r="E57" s="53" t="str">
        <f>CONCATENATE("date ",Datum_Format)</f>
        <v>date 30.06.2025.</v>
      </c>
      <c r="F57" s="53" t="str">
        <f>CONCATENATE("на дату ",Datum_Format," года")</f>
        <v>на дату 30.06.2025. года</v>
      </c>
      <c r="G57" s="3" t="str">
        <f t="shared" si="5"/>
        <v>na dan 30.06.2025. godine</v>
      </c>
      <c r="H57" s="3" t="str">
        <f t="shared" si="6"/>
        <v>Datumi_Datum_BS</v>
      </c>
      <c r="I57" s="3">
        <f t="shared" si="4"/>
        <v>1</v>
      </c>
    </row>
    <row r="58" spans="1:9">
      <c r="A58" t="s">
        <v>260</v>
      </c>
      <c r="B58" t="s">
        <v>148</v>
      </c>
      <c r="C58" s="53" t="str">
        <f>CONCATENATE("za period od 01.01. do ",Datum_Format," godine")</f>
        <v>za period od 01.01. do 30.06.2025. godine</v>
      </c>
      <c r="D58" s="53" t="str">
        <f>CONCATENATE("зa пeриoд oд 01.01. дo ",Datum_Format," гoдинe")</f>
        <v>зa пeриoд oд 01.01. дo 30.06.2025. гoдинe</v>
      </c>
      <c r="E58" s="53" t="str">
        <f>CONCATENATE("from 01.01. to ",Datum_Format)</f>
        <v>from 01.01. to 30.06.2025.</v>
      </c>
      <c r="F58" s="53" t="str">
        <f>CONCATENATE("за период с 01.01. to ",Datum_Format," года")</f>
        <v>за период с 01.01. to 30.06.2025. года</v>
      </c>
      <c r="G58" s="3" t="str">
        <f t="shared" si="5"/>
        <v>za period od 01.01. do 30.06.2025. godine</v>
      </c>
      <c r="H58" s="3" t="str">
        <f t="shared" si="6"/>
        <v>Datumi_Datum_BU</v>
      </c>
      <c r="I58" s="3">
        <f t="shared" si="4"/>
        <v>1</v>
      </c>
    </row>
    <row r="59" spans="1:9">
      <c r="A59" t="s">
        <v>260</v>
      </c>
      <c r="B59" t="s">
        <v>149</v>
      </c>
      <c r="C59" s="53" t="str">
        <f>CONCATENATE("za period od 01.01. do ",Datum_Format," godine")</f>
        <v>za period od 01.01. do 30.06.2025. godine</v>
      </c>
      <c r="D59" s="53" t="str">
        <f>CONCATENATE("зa пeриoд oд 01.01. дo ",Datum_Format," гoдинe")</f>
        <v>зa пeриoд oд 01.01. дo 30.06.2025. гoдинe</v>
      </c>
      <c r="E59" s="53" t="str">
        <f>CONCATENATE("from 01.01. to ",Datum_Format)</f>
        <v>from 01.01. to 30.06.2025.</v>
      </c>
      <c r="F59" s="53" t="str">
        <f>CONCATENATE("за период с 01.01. to ",Datum_Format," года")</f>
        <v>за период с 01.01. to 30.06.2025. года</v>
      </c>
      <c r="G59" s="3" t="str">
        <f t="shared" si="5"/>
        <v>za period od 01.01. do 30.06.2025. godine</v>
      </c>
      <c r="H59" s="3" t="str">
        <f t="shared" si="6"/>
        <v>Datumi_Datum_BTG</v>
      </c>
      <c r="I59" s="3">
        <f t="shared" si="4"/>
        <v>1</v>
      </c>
    </row>
    <row r="60" spans="1:9">
      <c r="A60" t="s">
        <v>260</v>
      </c>
      <c r="B60" t="s">
        <v>159</v>
      </c>
      <c r="C60" s="53" t="str">
        <f>CONCATENATE("od 01.01. do ",Datum_Format," godine")</f>
        <v>od 01.01. do 30.06.2025. godine</v>
      </c>
      <c r="D60" s="53" t="str">
        <f>CONCATENATE("oд 01.01. дo ",Datum_Format," гoдинe")</f>
        <v>oд 01.01. дo 30.06.2025. гoдинe</v>
      </c>
      <c r="E60" s="53" t="str">
        <f>CONCATENATE("from 01.01. to ",Datum_Format)</f>
        <v>from 01.01. to 30.06.2025.</v>
      </c>
      <c r="F60" s="53" t="str">
        <f>CONCATENATE("с 01.01. to ",Datum_Format," года")</f>
        <v>с 01.01. to 30.06.2025. года</v>
      </c>
      <c r="G60" s="3" t="str">
        <f t="shared" si="5"/>
        <v>od 01.01. do 30.06.2025. godine</v>
      </c>
      <c r="H60" s="3" t="str">
        <f t="shared" si="6"/>
        <v>Datumi_Datum_ODGP</v>
      </c>
      <c r="I60" s="3">
        <f t="shared" si="4"/>
        <v>1</v>
      </c>
    </row>
    <row r="61" spans="1:9">
      <c r="A61" t="s">
        <v>260</v>
      </c>
      <c r="B61" t="s">
        <v>160</v>
      </c>
      <c r="C61" s="53" t="str">
        <f>CONCATENATE("za period od 01.01. do ",Datum_Format," godine")</f>
        <v>za period od 01.01. do 30.06.2025. godine</v>
      </c>
      <c r="D61" s="53" t="str">
        <f>CONCATENATE("зa пeриoд oд 01.01. дo ",Datum_Format," гoдинe")</f>
        <v>зa пeриoд oд 01.01. дo 30.06.2025. гoдинe</v>
      </c>
      <c r="E61" s="53" t="str">
        <f>CONCATENATE("from 01.01. to ",Datum_Format)</f>
        <v>from 01.01. to 30.06.2025.</v>
      </c>
      <c r="F61" s="53" t="str">
        <f>CONCATENATE("за период с 01.01. to ",Datum_Format," года")</f>
        <v>за период с 01.01. to 30.06.2025. года</v>
      </c>
      <c r="G61" s="3" t="str">
        <f t="shared" si="5"/>
        <v>za period od 01.01. do 30.06.2025. godine</v>
      </c>
      <c r="H61" s="3" t="str">
        <f t="shared" si="6"/>
        <v>Datumi_Datum_Aneks</v>
      </c>
      <c r="I61" s="3">
        <f t="shared" si="4"/>
        <v>1</v>
      </c>
    </row>
    <row r="62" spans="1:9">
      <c r="A62" t="s">
        <v>260</v>
      </c>
      <c r="B62" t="s">
        <v>173</v>
      </c>
      <c r="C62" s="53" t="str">
        <f>CONCATENATE("za period koji se završava na dan ",Datum_Format," godine")</f>
        <v>za period koji se završava na dan 30.06.2025. godine</v>
      </c>
      <c r="D62" s="53" t="str">
        <f>CONCATENATE("зa пeриoд кojи сe зaвршaвa нa дaн ",Datum_Format," гoдинe")</f>
        <v>зa пeриoд кojи сe зaвршaвa нa дaн 30.06.2025. гoдинe</v>
      </c>
      <c r="E62" s="53" t="str">
        <f>CONCATENATE("for period ending ",Datum_Format)</f>
        <v>for period ending 30.06.2025.</v>
      </c>
      <c r="F62" s="53" t="str">
        <f>CONCATENATE("за период, закончившийся на дату ",Datum_Format," года")</f>
        <v>за период, закончившийся на дату 30.06.2025. года</v>
      </c>
      <c r="G62" s="3" t="str">
        <f t="shared" si="5"/>
        <v>za period koji se završava na dan 30.06.2025. godine</v>
      </c>
      <c r="H62" s="3" t="str">
        <f t="shared" si="6"/>
        <v>Datumi_Datum_BPK</v>
      </c>
      <c r="I62" s="3">
        <f t="shared" si="4"/>
        <v>1</v>
      </c>
    </row>
    <row r="63" spans="1:9">
      <c r="A63" t="s">
        <v>161</v>
      </c>
      <c r="B63" t="s">
        <v>167</v>
      </c>
      <c r="C63" t="s">
        <v>171</v>
      </c>
      <c r="D63" t="s">
        <v>190</v>
      </c>
      <c r="E63" t="s">
        <v>203</v>
      </c>
      <c r="F63" t="s">
        <v>2157</v>
      </c>
      <c r="G63" s="3" t="str">
        <f t="shared" si="5"/>
        <v>Uputstvo za popunjavanje</v>
      </c>
      <c r="H63" s="3" t="str">
        <f t="shared" si="6"/>
        <v>Linkovi_Link_Uputstvo</v>
      </c>
      <c r="I63" s="3">
        <f t="shared" si="4"/>
        <v>1</v>
      </c>
    </row>
    <row r="64" spans="1:9">
      <c r="A64" t="s">
        <v>161</v>
      </c>
      <c r="B64" t="s">
        <v>168</v>
      </c>
      <c r="C64" t="s">
        <v>172</v>
      </c>
      <c r="D64" t="s">
        <v>191</v>
      </c>
      <c r="E64" t="s">
        <v>204</v>
      </c>
      <c r="F64" t="s">
        <v>2158</v>
      </c>
      <c r="G64" s="3" t="str">
        <f t="shared" si="5"/>
        <v>Osnovni podaci</v>
      </c>
      <c r="H64" s="3" t="str">
        <f t="shared" si="6"/>
        <v>Linkovi_Link_Osnovni_podaci</v>
      </c>
      <c r="I64" s="3">
        <f t="shared" si="4"/>
        <v>1</v>
      </c>
    </row>
    <row r="65" spans="1:9">
      <c r="A65" t="s">
        <v>161</v>
      </c>
      <c r="B65" t="s">
        <v>162</v>
      </c>
      <c r="C65" t="s">
        <v>315</v>
      </c>
      <c r="D65" t="s">
        <v>321</v>
      </c>
      <c r="E65" t="s">
        <v>327</v>
      </c>
      <c r="F65" t="s">
        <v>2159</v>
      </c>
      <c r="G65" s="3" t="str">
        <f t="shared" si="5"/>
        <v>01) Bilans stanja</v>
      </c>
      <c r="H65" s="3" t="str">
        <f t="shared" si="6"/>
        <v>Linkovi_Link_BS</v>
      </c>
      <c r="I65" s="3">
        <f t="shared" si="4"/>
        <v>1</v>
      </c>
    </row>
    <row r="66" spans="1:9">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c r="A68" t="s">
        <v>161</v>
      </c>
      <c r="B68" t="s">
        <v>164</v>
      </c>
      <c r="C68" t="s">
        <v>318</v>
      </c>
      <c r="D68" t="s">
        <v>324</v>
      </c>
      <c r="E68" t="s">
        <v>329</v>
      </c>
      <c r="F68" t="s">
        <v>2162</v>
      </c>
      <c r="G68" s="3" t="str">
        <f t="shared" si="5"/>
        <v>03) Bilans tokova gotovine</v>
      </c>
      <c r="H68" s="3" t="str">
        <f t="shared" si="6"/>
        <v>Linkovi_Link_BTG</v>
      </c>
      <c r="I68" s="3">
        <f t="shared" si="7"/>
        <v>1</v>
      </c>
    </row>
    <row r="69" spans="1:9">
      <c r="A69" t="s">
        <v>161</v>
      </c>
      <c r="B69" t="s">
        <v>169</v>
      </c>
      <c r="C69" t="s">
        <v>319</v>
      </c>
      <c r="D69" t="s">
        <v>325</v>
      </c>
      <c r="E69" t="s">
        <v>330</v>
      </c>
      <c r="F69" t="s">
        <v>2163</v>
      </c>
      <c r="G69" s="3" t="str">
        <f t="shared" si="5"/>
        <v>04) Aneks</v>
      </c>
      <c r="H69" s="3" t="str">
        <f t="shared" si="6"/>
        <v>Linkovi_Link_Aneks</v>
      </c>
      <c r="I69" s="3">
        <f t="shared" si="7"/>
        <v>1</v>
      </c>
    </row>
    <row r="70" spans="1:9">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c r="A72" t="s">
        <v>262</v>
      </c>
      <c r="B72" t="s">
        <v>138</v>
      </c>
      <c r="C72" t="s">
        <v>691</v>
      </c>
      <c r="D72" t="s">
        <v>692</v>
      </c>
      <c r="E72" t="s">
        <v>693</v>
      </c>
      <c r="F72" t="s">
        <v>2166</v>
      </c>
      <c r="G72" s="3" t="str">
        <f t="shared" si="8"/>
        <v>POZICIJA</v>
      </c>
      <c r="H72" s="3" t="str">
        <f t="shared" si="6"/>
        <v>Tabele_zaglavlje_Pozicija</v>
      </c>
      <c r="I72">
        <f t="shared" si="7"/>
        <v>1</v>
      </c>
    </row>
    <row r="73" spans="1:9">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c r="A74" t="s">
        <v>262</v>
      </c>
      <c r="B74" t="s">
        <v>139</v>
      </c>
      <c r="C74" t="s">
        <v>56</v>
      </c>
      <c r="D74" t="s">
        <v>193</v>
      </c>
      <c r="E74" t="s">
        <v>74</v>
      </c>
      <c r="F74" t="s">
        <v>2196</v>
      </c>
      <c r="G74" s="3" t="str">
        <f t="shared" si="8"/>
        <v>Oznaka za AOP</v>
      </c>
      <c r="H74" s="3" t="str">
        <f t="shared" si="6"/>
        <v>Tabele_zaglavlje_Oznaka_aop</v>
      </c>
      <c r="I74">
        <f t="shared" si="7"/>
        <v>1</v>
      </c>
    </row>
    <row r="75" spans="1:9">
      <c r="A75" t="s">
        <v>262</v>
      </c>
      <c r="B75" t="s">
        <v>269</v>
      </c>
      <c r="C75" t="s">
        <v>270</v>
      </c>
      <c r="D75" t="s">
        <v>276</v>
      </c>
      <c r="E75" t="s">
        <v>271</v>
      </c>
      <c r="F75" t="s">
        <v>2167</v>
      </c>
      <c r="G75" s="3" t="str">
        <f t="shared" si="8"/>
        <v>Redni broj</v>
      </c>
      <c r="H75" s="3" t="str">
        <f>SUBSTITUTE(A75&amp;"_"&amp;B75," ","_")</f>
        <v>Tabele_zaglavlje_Redni_broj</v>
      </c>
      <c r="I75" s="3">
        <f t="shared" si="7"/>
        <v>1</v>
      </c>
    </row>
    <row r="76" spans="1:9">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c r="A77" t="s">
        <v>262</v>
      </c>
      <c r="B77" t="s">
        <v>258</v>
      </c>
      <c r="C77" t="s">
        <v>69</v>
      </c>
      <c r="D77" t="s">
        <v>195</v>
      </c>
      <c r="E77" t="s">
        <v>77</v>
      </c>
      <c r="F77" t="s">
        <v>2169</v>
      </c>
      <c r="G77" s="3" t="str">
        <f t="shared" si="8"/>
        <v>Bruto</v>
      </c>
      <c r="H77" s="3" t="str">
        <f t="shared" si="6"/>
        <v>Tabele_zaglavlje_BS_bruto</v>
      </c>
      <c r="I77">
        <f t="shared" si="7"/>
        <v>1</v>
      </c>
    </row>
    <row r="78" spans="1:9">
      <c r="A78" t="s">
        <v>262</v>
      </c>
      <c r="B78" t="s">
        <v>259</v>
      </c>
      <c r="C78" t="s">
        <v>70</v>
      </c>
      <c r="D78" t="s">
        <v>196</v>
      </c>
      <c r="E78" t="s">
        <v>78</v>
      </c>
      <c r="F78" t="s">
        <v>2170</v>
      </c>
      <c r="G78" s="3" t="str">
        <f t="shared" si="8"/>
        <v>Ispravka vrijednosti</v>
      </c>
      <c r="H78" s="3" t="str">
        <f t="shared" si="6"/>
        <v>Tabele_zaglavlje_BS_ispravka</v>
      </c>
      <c r="I78">
        <f t="shared" si="7"/>
        <v>1</v>
      </c>
    </row>
    <row r="79" spans="1:9">
      <c r="A79" t="s">
        <v>262</v>
      </c>
      <c r="B79" t="s">
        <v>141</v>
      </c>
      <c r="C79" t="s">
        <v>2870</v>
      </c>
      <c r="D79" t="s">
        <v>2867</v>
      </c>
      <c r="E79" t="s">
        <v>2868</v>
      </c>
      <c r="F79" t="s">
        <v>2869</v>
      </c>
      <c r="G79" s="3" t="str">
        <f t="shared" si="8"/>
        <v>Neto (5-6)</v>
      </c>
      <c r="H79" s="3" t="str">
        <f t="shared" si="6"/>
        <v>Tabele_zaglavlje_BS_neto</v>
      </c>
      <c r="I79">
        <f t="shared" si="7"/>
        <v>1</v>
      </c>
    </row>
    <row r="80" spans="1:9">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c r="A81" t="s">
        <v>262</v>
      </c>
      <c r="B81" t="s">
        <v>60</v>
      </c>
      <c r="C81" t="s">
        <v>60</v>
      </c>
      <c r="D81" t="s">
        <v>197</v>
      </c>
      <c r="E81" t="s">
        <v>50</v>
      </c>
      <c r="F81" t="s">
        <v>2172</v>
      </c>
      <c r="G81" s="3" t="str">
        <f t="shared" si="8"/>
        <v>Iznos</v>
      </c>
      <c r="H81" s="3" t="str">
        <f t="shared" si="6"/>
        <v>Tabele_zaglavlje_Iznos</v>
      </c>
      <c r="I81" s="3">
        <f t="shared" si="7"/>
        <v>1</v>
      </c>
    </row>
    <row r="82" spans="1:9">
      <c r="A82" t="s">
        <v>262</v>
      </c>
      <c r="B82" t="s">
        <v>145</v>
      </c>
      <c r="C82" t="s">
        <v>61</v>
      </c>
      <c r="D82" t="s">
        <v>198</v>
      </c>
      <c r="E82" t="s">
        <v>51</v>
      </c>
      <c r="F82" t="s">
        <v>2173</v>
      </c>
      <c r="G82" s="3" t="str">
        <f t="shared" si="8"/>
        <v>Tekuća godina</v>
      </c>
      <c r="H82" s="3" t="str">
        <f t="shared" si="6"/>
        <v>Tabele_zaglavlje_Tekuca_godina</v>
      </c>
      <c r="I82">
        <f t="shared" si="7"/>
        <v>1</v>
      </c>
    </row>
    <row r="83" spans="1:9">
      <c r="A83" t="s">
        <v>262</v>
      </c>
      <c r="B83" t="s">
        <v>146</v>
      </c>
      <c r="C83" t="s">
        <v>62</v>
      </c>
      <c r="D83" t="s">
        <v>199</v>
      </c>
      <c r="E83" t="s">
        <v>52</v>
      </c>
      <c r="F83" t="s">
        <v>2174</v>
      </c>
      <c r="G83" s="3" t="str">
        <f t="shared" si="8"/>
        <v>Prethodna godina</v>
      </c>
      <c r="H83" s="3" t="str">
        <f t="shared" si="6"/>
        <v>Tabele_zaglavlje_Prethodna_godina</v>
      </c>
      <c r="I83">
        <f t="shared" si="7"/>
        <v>1</v>
      </c>
    </row>
    <row r="84" spans="1:9">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6.5">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6.25">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c r="A99" t="s">
        <v>445</v>
      </c>
      <c r="B99" t="s">
        <v>446</v>
      </c>
      <c r="C99" t="s">
        <v>398</v>
      </c>
      <c r="D99" t="s">
        <v>439</v>
      </c>
      <c r="E99" t="s">
        <v>407</v>
      </c>
      <c r="F99" t="s">
        <v>2187</v>
      </c>
      <c r="G99" s="3" t="str">
        <f t="shared" si="8"/>
        <v>Revidiran izvještaj:</v>
      </c>
      <c r="H99" s="3" t="str">
        <f t="shared" si="11"/>
        <v>Revizija_Revidiran_izvjestaj</v>
      </c>
      <c r="I99" s="3">
        <f t="shared" si="12"/>
        <v>1</v>
      </c>
    </row>
    <row r="100" spans="1:9">
      <c r="A100" t="s">
        <v>445</v>
      </c>
      <c r="B100" t="s">
        <v>447</v>
      </c>
      <c r="C100" t="s">
        <v>463</v>
      </c>
      <c r="D100" t="s">
        <v>464</v>
      </c>
      <c r="E100" t="s">
        <v>465</v>
      </c>
      <c r="F100" t="s">
        <v>2188</v>
      </c>
      <c r="G100" s="3" t="str">
        <f t="shared" si="8"/>
        <v>Mišljenje revizora:</v>
      </c>
      <c r="H100" s="3" t="str">
        <f t="shared" si="11"/>
        <v>Revizija_Misljenje</v>
      </c>
      <c r="I100" s="3">
        <f t="shared" si="12"/>
        <v>1</v>
      </c>
    </row>
    <row r="101" spans="1:9">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c r="A105" t="s">
        <v>445</v>
      </c>
      <c r="B105" t="s">
        <v>449</v>
      </c>
      <c r="C105" t="s">
        <v>411</v>
      </c>
      <c r="D105" t="s">
        <v>443</v>
      </c>
      <c r="E105" t="s">
        <v>410</v>
      </c>
      <c r="F105" t="s">
        <v>2193</v>
      </c>
      <c r="G105" s="3" t="str">
        <f t="shared" si="13"/>
        <v>Negativno mišljenje</v>
      </c>
      <c r="H105" s="3" t="str">
        <f t="shared" si="11"/>
        <v>Revizija_Negativno</v>
      </c>
      <c r="I105" s="3">
        <f t="shared" si="12"/>
        <v>1</v>
      </c>
    </row>
    <row r="106" spans="1:9">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sheet="1" objects="1" scenarios="1"/>
  <phoneticPr fontId="26"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sheetPr codeName="Sheet12">
    <tabColor rgb="FFFF0000"/>
  </sheetPr>
  <dimension ref="A1:P453"/>
  <sheetViews>
    <sheetView showGridLines="0" showRowColHeaders="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c r="A453">
        <f t="shared" si="6"/>
        <v>452</v>
      </c>
      <c r="B453" t="s">
        <v>135</v>
      </c>
      <c r="C453" s="3">
        <v>0</v>
      </c>
      <c r="D453">
        <v>925</v>
      </c>
      <c r="E453" s="2" t="str">
        <f>VLOOKUP( T_Aop[[#This Row],[Id]], T_Aop[], ID_Jezik +10, 1)</f>
        <v>25</v>
      </c>
      <c r="F453" t="str">
        <f>REPT( "  ", T_Aop[[#This Row],[Aop nivo]]) &amp; VLOOKUP( T_Aop[[#This Row],[Id]], T_Aop[], ID_Jezik + 6, 1)</f>
        <v>25. Stanje na dan 30.06.2025. godine (916 ± 919 ± 920  - 921 - 922± 923 ± 924)</v>
      </c>
      <c r="G453" s="306" t="str">
        <f>CONCATENATE("25. Stanje na dan ",Datum_Format," godine (916 ± 919 ± 920  - 921 - 922± 923 ± 924)")</f>
        <v>25. Stanje na dan 30.06.2025. godine (916 ± 919 ± 920  - 921 - 922± 923 ± 924)</v>
      </c>
      <c r="H453" s="306" t="str">
        <f>CONCATENATE("25. Стање на дан ",Datum_Format," године (916 ± 919 ± 920  - 921 - 922± 923 ± 924)")</f>
        <v>25. Стање на дан 30.06.2025. године (916 ± 919 ± 920  - 921 - 922± 923 ± 924)</v>
      </c>
      <c r="I453" s="306" t="str">
        <f>CONCATENATE("25. Value on day ",  Podesavanja!$Y$3,"(916 ± 919 ± 920  - 921 - 922± 923 ± 924)")</f>
        <v>25. Value on day 30.06.2025(916 ± 919 ± 920  - 921 - 922± 923 ± 924)</v>
      </c>
      <c r="J453" s="306" t="str">
        <f>CONCATENATE("25. Состояние на дату ",  ,Datum_Format," года (916 ± 919 ± 920  - 921 - 922± 923 ± 924)")</f>
        <v>25. Состояние на дату 30.06.2025. года (916 ± 919 ± 920  - 921 - 922± 923 ± 924)</v>
      </c>
      <c r="K453" s="292" t="s">
        <v>1625</v>
      </c>
      <c r="L453" s="292" t="s">
        <v>1625</v>
      </c>
      <c r="M453" s="292" t="s">
        <v>1625</v>
      </c>
      <c r="N453" s="292" t="s">
        <v>1625</v>
      </c>
      <c r="O453" s="10">
        <v>1</v>
      </c>
      <c r="P453" s="10"/>
    </row>
  </sheetData>
  <sheetProtection sheet="1" objects="1" scenarios="1"/>
  <phoneticPr fontId="26"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2.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Korisnik</cp:lastModifiedBy>
  <cp:lastPrinted>2023-01-12T14:40:06Z</cp:lastPrinted>
  <dcterms:created xsi:type="dcterms:W3CDTF">2007-02-19T09:55:19Z</dcterms:created>
  <dcterms:modified xsi:type="dcterms:W3CDTF">2025-08-08T16:56:51Z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