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tables/table1.xml" ContentType="application/vnd.openxmlformats-officedocument.spreadsheetml.table+xml"/>
  <Override PartName="/xl/worksheets/sheet9.xml" ContentType="application/vnd.openxmlformats-officedocument.spreadsheetml.worksheet+xml"/>
  <Override PartName="/xl/comments2.xml" ContentType="application/vnd.openxmlformats-officedocument.spreadsheetml.comments+xml"/>
  <Override PartName="/xl/tables/table2.xml" ContentType="application/vnd.openxmlformats-officedocument.spreadsheetml.table+xml"/>
  <Override PartName="/xl/worksheets/sheet10.xml" ContentType="application/vnd.openxmlformats-officedocument.spreadsheetml.worksheet+xml"/>
  <Override PartName="/xl/drawings/drawing8.xml" ContentType="application/vnd.openxmlformats-officedocument.drawing+xml"/>
  <Override PartName="/xl/comments3.xml" ContentType="application/vnd.openxmlformats-officedocument.spreadsheetml.comments+xml"/>
  <Override PartName="/xl/worksheets/sheet11.xml" ContentType="application/vnd.openxmlformats-officedocument.spreadsheetml.worksheet+xml"/>
  <Override PartName="/xl/comments4.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worksheets/sheet12.xml" ContentType="application/vnd.openxmlformats-officedocument.spreadsheetml.worksheet+xml"/>
  <Override PartName="/xl/tables/table9.xml" ContentType="application/vnd.openxmlformats-officedocument.spreadsheetml.table+xml"/>
  <Override PartName="/xl/worksheets/sheet13.xml" ContentType="application/vnd.openxmlformats-officedocument.spreadsheetml.worksheet+xml"/>
  <Override PartName="/xl/tables/table10.xml" ContentType="application/vnd.openxmlformats-officedocument.spreadsheetml.table+xml"/>
  <Override PartName="/xl/worksheets/sheet14.xml" ContentType="application/vnd.openxmlformats-officedocument.spreadsheetml.worksheet+xml"/>
  <Override PartName="/xl/drawings/drawing9.xml" ContentType="application/vnd.openxmlformats-officedocument.drawing+xml"/>
  <Override PartName="/xl/comments5.xml" ContentType="application/vnd.openxmlformats-officedocument.spreadsheetml.comments+xml"/>
  <Override PartName="/xl/tables/table11.xml" ContentType="application/vnd.openxmlformats-officedocument.spreadsheetml.table+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Korisnik"/>
  <workbookPr/>
  <workbookProtection workbookAlgorithmName="SHA-512" workbookHashValue="KZHN3owcJYRA2xa0cEhd7bEjyijGc/wTKvzARp+cWiMN3nxqbQX6t2Iql8z5NZ7EuwcQDsF8xj/wQrJYakQPpA==" workbookSaltValue="XesHedfC2ydXHDgn9KfTcA==" workbookSpinCount="100000" lockStructure="1" lockWindows="1"/>
  <bookViews>
    <workbookView activeTab="3" xWindow="240" yWindow="60" windowWidth="17310" windowHeight="9810" tabRatio="674"/>
  </bookViews>
  <sheets>
    <sheet name="Uputstvo" sheetId="1" r:id="rId4"/>
    <sheet name="Osnovni_podaci" sheetId="2" r:id="rId5"/>
    <sheet name="01" sheetId="3" r:id="rId6"/>
    <sheet name="02a" sheetId="4" r:id="rId7"/>
    <sheet name="02b" sheetId="5" r:id="rId8"/>
    <sheet name="03" sheetId="6" r:id="rId9"/>
    <sheet name="04" sheetId="7" r:id="rId10"/>
    <sheet name="Prevod" sheetId="8" state="hidden" r:id="rId11"/>
    <sheet name="Aop" sheetId="9" state="hidden" r:id="rId12"/>
    <sheet name="05" sheetId="10" r:id="rId13"/>
    <sheet name="Podesavanja" sheetId="11" state="hidden" r:id="rId14"/>
    <sheet name="Baza" sheetId="12" state="hidden" r:id="rId15"/>
    <sheet name="BazaBPK" sheetId="13" state="hidden" r:id="rId16"/>
    <sheet name="APIF_Import" sheetId="14" r:id="rId17"/>
  </sheets>
  <definedNames>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 name="_xlnm.Print_Area" localSheetId="0">Uputstvo!$5:$61</definedName>
    <definedName name="_xlnm.Print_Area" localSheetId="1">Osnovni_podaci!$B$7:$W$126</definedName>
    <definedName name="_xlnm.Print_Area" localSheetId="2">'01'!$C$5:$N$170</definedName>
    <definedName name="_xlnm.Print_Area" localSheetId="3">'02a'!$B$5:$L$161</definedName>
    <definedName name="_xlnm.Print_Titles" localSheetId="3">'02a'!$18:$20</definedName>
    <definedName name="_xlnm.Print_Area" localSheetId="4">'02b'!$C$5:$L$61</definedName>
    <definedName name="_xlnm.Print_Area" localSheetId="5">'03'!$C$5:$M$92</definedName>
    <definedName name="_xlnm.Print_Titles" localSheetId="5">'03'!$18:$19</definedName>
    <definedName name="_xlnm.Print_Area" localSheetId="6">'04'!$A$1:$N$96</definedName>
    <definedName name="_xlnm.Print_Titles" localSheetId="6">'04'!$18:$20</definedName>
    <definedName name="_xlnm.Print_Area" localSheetId="9">'05'!$D$5:$Q$57</definedName>
    <definedName name="_xlnm.Print_Area" localSheetId="13">APIF_Import!$A$1:$N$444</definedName>
  </definedNames>
  <calcPr/>
  <extLst>
    <ext uri="smNativeData">
      <pm:revision xmlns:pm="smNativeData" day="1714042646" val="1068" rev="124" revOS="4" revMin="124" revMax="0"/>
      <pm:docPrefs xmlns:pm="smNativeData" id="1714042646" fixedDigits="0" showNotice="1" showFrameBounds="1" autoChart="1" recalcOnPrint="1" recalcOnCopy="1" finalRounding="1" compatTextArt="1" tab="567" useDefinedPrintRange="1" printArea="currentSheet"/>
      <pm:compatibility xmlns:pm="smNativeData" id="1714042646" overlapCells="1"/>
      <pm:defCurrency xmlns:pm="smNativeData" id="1714042646"/>
    </ext>
  </extLst>
</workbook>
</file>

<file path=xl/comments1.xml><?xml version="1.0" encoding="utf-8"?>
<comments xmlns="http://schemas.openxmlformats.org/spreadsheetml/2006/main">
  <authors>
    <author>Unknown</author>
  </authors>
  <commentList>
    <comment ref="B20" authorId="0">
      <text>
        <r>
          <rPr>
            <rFont val="Tahoma"/>
            <charset val="0"/>
            <family val="2"/>
            <sz val="9"/>
            <b val="0"/>
            <i val="0"/>
            <extLst>
              <ext uri="smNativeData">
                <pm:charSpec xmlns:pm="smNativeData" id="1714042646">
                  <pm:latin face="Tahoma" sz="180" weight="normal" i="0"/>
                  <pm:cs face="Tahoma" sz="180"/>
                  <pm:ea face="Tahoma" sz="180"/>
                </pm:charSpec>
              </ext>
            </extLst>
          </rPr>
          <t>Službeni glasnik RS 59/22</t>
        </r>
      </text>
    </comment>
    <comment ref="B25" authorId="0">
      <text>
        <r>
          <rPr>
            <rFont val="Tahoma"/>
            <charset val="0"/>
            <family val="2"/>
            <sz val="9"/>
            <b val="0"/>
            <i val="0"/>
            <extLst>
              <ext uri="smNativeData">
                <pm:charSpec xmlns:pm="smNativeData" id="1714042646">
                  <pm:latin face="Tahoma" sz="180" weight="normal" i="0"/>
                  <pm:cs face="Tahoma" sz="180"/>
                  <pm:ea face="Tahoma" sz="180"/>
                </pm:charSpec>
              </ext>
            </extLst>
          </rPr>
          <t>Službeni glasnik RS 59/22</t>
        </r>
      </text>
    </comment>
    <comment ref="B28" authorId="0">
      <text>
        <r>
          <rPr>
            <rFont val="Tahoma"/>
            <charset val="0"/>
            <family val="2"/>
            <sz val="9"/>
            <b val="0"/>
            <i val="0"/>
            <extLst>
              <ext uri="smNativeData">
                <pm:charSpec xmlns:pm="smNativeData" id="1714042646">
                  <pm:latin face="Tahoma" sz="180" weight="normal" i="0"/>
                  <pm:cs face="Tahoma" sz="180"/>
                  <pm:ea face="Tahoma" sz="180"/>
                </pm:charSpec>
              </ext>
            </extLst>
          </rPr>
          <t>Službeni glasnik RS 63/16</t>
        </r>
      </text>
    </comment>
    <comment ref="B31" authorId="0">
      <text>
        <r>
          <rPr>
            <rFont val="Tahoma"/>
            <charset val="0"/>
            <family val="2"/>
            <sz val="9"/>
            <b val="0"/>
            <i val="0"/>
            <extLst>
              <ext uri="smNativeData">
                <pm:charSpec xmlns:pm="smNativeData" id="1714042646">
                  <pm:latin face="Tahoma" sz="180" weight="normal" i="0"/>
                  <pm:cs face="Tahoma" sz="180"/>
                  <pm:ea face="Tahoma" sz="180"/>
                </pm:charSpec>
              </ext>
            </extLst>
          </rPr>
          <t>Službeni glasnik RS 59/22</t>
        </r>
      </text>
    </comment>
    <comment ref="B34" authorId="0">
      <text>
        <r>
          <rPr>
            <rFont val="Tahoma"/>
            <charset val="0"/>
            <family val="2"/>
            <sz val="9"/>
            <b val="0"/>
            <i val="0"/>
            <extLst>
              <ext uri="smNativeData">
                <pm:charSpec xmlns:pm="smNativeData" id="1714042646">
                  <pm:latin face="Tahoma" sz="180" weight="normal" i="0"/>
                  <pm:cs face="Tahoma" sz="180"/>
                  <pm:ea face="Tahoma" sz="180"/>
                </pm:charSpec>
              </ext>
            </extLst>
          </rPr>
          <t>Službeni glasnik RS 62/16</t>
        </r>
      </text>
    </comment>
    <comment ref="B37" authorId="0">
      <text>
        <r>
          <rPr>
            <rFont val="Tahoma"/>
            <charset val="0"/>
            <family val="2"/>
            <sz val="9"/>
            <b val="0"/>
            <i val="0"/>
            <extLst>
              <ext uri="smNativeData">
                <pm:charSpec xmlns:pm="smNativeData" id="1714042646">
                  <pm:latin face="Tahoma" sz="180" weight="normal" i="0"/>
                  <pm:cs face="Tahoma" sz="180"/>
                  <pm:ea face="Tahoma" sz="180"/>
                </pm:charSpec>
              </ext>
            </extLst>
          </rPr>
          <t>Službeni glasnik RS 59/22</t>
        </r>
      </text>
    </comment>
  </commentList>
</comments>
</file>

<file path=xl/comments2.xml><?xml version="1.0" encoding="utf-8"?>
<comments xmlns="http://schemas.openxmlformats.org/spreadsheetml/2006/main">
  <authors>
    <author>Unknown</author>
  </authors>
  <commentList>
    <comment ref="J372" authorId="0">
      <text>
        <r>
          <rPr>
            <rFont val="Tahoma"/>
            <charset val="0"/>
            <family val="2"/>
            <sz val="9"/>
            <b/>
            <i val="0"/>
            <extLst>
              <ext uri="smNativeData">
                <pm:charSpec xmlns:pm="smNativeData" id="1714042646">
                  <pm:latin face="Tahoma" sz="180" weight="bold" i="0"/>
                  <pm:cs face="Tahoma" sz="180" weight="bold"/>
                  <pm:ea face="Tahoma" sz="180" weight="bold"/>
                </pm:charSpec>
              </ext>
            </extLst>
          </rPr>
          <t>natasa:</t>
        </r>
        <r>
          <rPr>
            <rFont val="Tahoma"/>
            <charset val="0"/>
            <family val="2"/>
            <sz val="9"/>
            <b val="0"/>
            <i val="0"/>
            <extLst>
              <ext uri="smNativeData">
                <pm:charSpec xmlns:pm="smNativeData" id="1714042646">
                  <pm:latin face="Tahoma" sz="180" weight="normal" i="0"/>
                  <pm:cs face="Tahoma" sz="180"/>
                  <pm:ea face="Tahoma" sz="180"/>
                </pm:charSpec>
              </ext>
            </extLst>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text>
        <r>
          <rPr>
            <rFont val="Tahoma"/>
            <charset val="0"/>
            <family val="2"/>
            <sz val="9"/>
            <b/>
            <i val="0"/>
            <extLst>
              <ext uri="smNativeData">
                <pm:charSpec xmlns:pm="smNativeData" id="1714042646">
                  <pm:latin face="Tahoma" sz="180" weight="bold" i="0"/>
                  <pm:cs face="Tahoma" sz="180" weight="bold"/>
                  <pm:ea face="Tahoma" sz="180" weight="bold"/>
                </pm:charSpec>
              </ext>
            </extLst>
          </rPr>
          <t>natasa:</t>
        </r>
        <r>
          <rPr>
            <rFont val="Tahoma"/>
            <charset val="0"/>
            <family val="2"/>
            <sz val="9"/>
            <b val="0"/>
            <i val="0"/>
            <extLst>
              <ext uri="smNativeData">
                <pm:charSpec xmlns:pm="smNativeData" id="1714042646">
                  <pm:latin face="Tahoma" sz="180" weight="normal" i="0"/>
                  <pm:cs face="Tahoma" sz="180"/>
                  <pm:ea face="Tahoma" sz="180"/>
                </pm:charSpec>
              </ext>
            </extLst>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Unknown</author>
  </authors>
  <commentList>
    <comment ref="P17" authorId="0">
      <text>
        <r>
          <rPr>
            <rFont val="Tahoma"/>
            <charset val="0"/>
            <family val="2"/>
            <sz val="9"/>
            <b val="0"/>
            <i val="0"/>
            <extLst>
              <ext uri="smNativeData">
                <pm:charSpec xmlns:pm="smNativeData" id="1714042646">
                  <pm:latin face="Tahoma" sz="180" weight="normal" i="0"/>
                  <pm:cs face="Tahoma" sz="180"/>
                  <pm:ea face="Tahoma" sz="180"/>
                </pm:charSpec>
              </ext>
            </extLst>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Unknown</author>
  </authors>
  <commentList>
    <comment ref="Q2" authorId="0">
      <text>
        <r>
          <rPr>
            <rFont val="Tahoma"/>
            <charset val="0"/>
            <family val="2"/>
            <sz val="9"/>
            <b val="0"/>
            <i val="0"/>
            <extLst>
              <ext uri="smNativeData">
                <pm:charSpec xmlns:pm="smNativeData" id="1714042646">
                  <pm:latin face="Tahoma" sz="180" weight="normal" i="0"/>
                  <pm:cs face="Tahoma" sz="180"/>
                  <pm:ea face="Tahoma" sz="180"/>
                </pm:charSpec>
              </ext>
            </extLst>
          </rPr>
          <t>Koristi se za kreiranje APIF import fajla.</t>
        </r>
      </text>
    </comment>
  </commentList>
</comments>
</file>

<file path=xl/comments5.xml><?xml version="1.0" encoding="utf-8"?>
<comments xmlns="http://schemas.openxmlformats.org/spreadsheetml/2006/main">
  <authors>
    <author>Unknown</author>
  </authors>
  <commentList>
    <comment ref="E1" authorId="0">
      <text>
        <r>
          <rPr>
            <rFont val="Tahoma"/>
            <charset val="0"/>
            <family val="2"/>
            <sz val="9"/>
            <b val="0"/>
            <i val="0"/>
            <extLst>
              <ext uri="smNativeData">
                <pm:charSpec xmlns:pm="smNativeData" id="1714042646">
                  <pm:latin face="Tahoma" sz="180" weight="normal" i="0"/>
                  <pm:cs face="Tahoma" sz="180"/>
                  <pm:ea face="Tahoma" sz="180"/>
                </pm:charSpec>
              </ext>
            </extLst>
          </rPr>
          <t>Kod decimalnih brojeva, tačka je separator (15.57).</t>
        </r>
      </text>
    </comment>
    <comment ref="F1" authorId="0">
      <text>
        <r>
          <rPr>
            <rFont val="Tahoma"/>
            <charset val="0"/>
            <family val="2"/>
            <sz val="9"/>
            <b val="0"/>
            <i val="0"/>
            <extLst>
              <ext uri="smNativeData">
                <pm:charSpec xmlns:pm="smNativeData" id="1714042646">
                  <pm:latin face="Tahoma" sz="180" weight="normal" i="0"/>
                  <pm:cs face="Tahoma" sz="180"/>
                  <pm:ea face="Tahoma" sz="180"/>
                </pm:charSpec>
              </ext>
            </extLst>
          </rPr>
          <t>Kod decimalnih brojeva, tačka je separator (15.57).</t>
        </r>
      </text>
    </comment>
  </commentList>
</comments>
</file>

<file path=xl/sharedStrings.xml><?xml version="1.0" encoding="utf-8"?>
<sst xmlns="http://schemas.openxmlformats.org/spreadsheetml/2006/main" count="4797" uniqueCount="3082">
  <si>
    <t>Uputstvo za popunjavanje obrazaca</t>
  </si>
  <si>
    <t>Osnovne napomene</t>
  </si>
  <si>
    <r>
      <t xml:space="preserve">Na kartici </t>
    </r>
    <r>
      <rPr>
        <rFont val="Calibri"/>
        <charset val="0"/>
        <family val="2"/>
        <sz val="11"/>
        <b val="0"/>
        <i val="0"/>
        <u val="single"/>
        <extLst>
          <ext uri="smNativeData">
            <pm:charSpec xmlns:pm="smNativeData" id="1714042646" ulstyle="single">
              <pm:latin face="Calibri" sz="220" weight="normal" i="0"/>
              <pm:cs sz="220"/>
              <pm:ea sz="220"/>
            </pm:charSpec>
          </ext>
        </extLst>
      </rPr>
      <t>Osnovni podaci</t>
    </r>
    <r>
      <rPr>
        <rFont val="Calibri"/>
        <charset val="0"/>
        <family val="2"/>
        <sz val="11"/>
        <b val="0"/>
        <i val="0"/>
        <extLst>
          <ext uri="smNativeData">
            <pm:charSpec xmlns:pm="smNativeData" id="1714042646">
              <pm:latin face="Calibri" sz="220" weight="normal" i="0"/>
              <pm:cs sz="220"/>
              <pm:ea sz="220"/>
            </pm:charSpec>
          </ext>
        </extLst>
      </rPr>
      <t xml:space="preserve"> potrebno je izabrati jezik (pismo) na kome želite popuniti obrazac.</t>
    </r>
  </si>
  <si>
    <t>Obrazac je zaštićen i nisu dozvoljene izmjene i zloupotrebe obrasca.</t>
  </si>
  <si>
    <r>
      <t xml:space="preserve">Osnovne podatke (matični broj, šifra djelatnosti, naziv i sl.) je dovoljno popuniti na kartici </t>
    </r>
    <r>
      <rPr>
        <rFont val="Calibri"/>
        <charset val="0"/>
        <family val="2"/>
        <sz val="11"/>
        <b val="0"/>
        <i val="0"/>
        <u val="single"/>
        <extLst>
          <ext uri="smNativeData">
            <pm:charSpec xmlns:pm="smNativeData" id="1714042646" ulstyle="single">
              <pm:latin face="Calibri" sz="220" weight="normal" i="0"/>
              <pm:cs sz="220"/>
              <pm:ea sz="220"/>
            </pm:charSpec>
          </ext>
        </extLst>
      </rPr>
      <t>Osnovni podaci,</t>
    </r>
    <r>
      <rPr>
        <rFont val="Calibri"/>
        <charset val="0"/>
        <family val="2"/>
        <sz val="11"/>
        <b val="0"/>
        <i val="0"/>
        <extLst>
          <ext uri="smNativeData">
            <pm:charSpec xmlns:pm="smNativeData" id="1714042646">
              <pm:latin face="Calibri" sz="220" weight="normal" i="0"/>
              <pm:cs sz="220"/>
              <pm:ea sz="220"/>
            </pm:charSpec>
          </ext>
        </extLst>
      </rPr>
      <t xml:space="preserve"> na ostalim bilansima ovi podaci se automatski prikazuju.</t>
    </r>
  </si>
  <si>
    <t>Pozitivne promjene, odnosno korekcije, se unose kao pozitivni brojevi (osnovni kapital, dobitak period, pozitivne korekcije).</t>
  </si>
  <si>
    <t>Štampanje</t>
  </si>
  <si>
    <t>Obrasci su prilagođeni za štampu, ali ih korisnici sami mogu podesiti u skladu sa svojim potrebama.</t>
  </si>
  <si>
    <t>Engleska verzija finansijskih izvještaja je samo za informacione svrhe.</t>
  </si>
  <si>
    <t>Banjalučka berza ne odgovara za tačnost prevoda na engleski jezik.</t>
  </si>
  <si>
    <t>The English version of financial statements is provided for information purposes only.</t>
  </si>
  <si>
    <t xml:space="preserve">The Banja Luka Stock Exchange cannot be held responsible and accountable for the accuracy of translation into English.   </t>
  </si>
  <si>
    <t>Bilans stanja</t>
  </si>
  <si>
    <t>U aktivi Bilansa stanja popunjavaju se samo kolone "Bruto" (5) i "Ispravka vrijednosti" (6), dok se kolona "Neto" (7) automatski izračunava.</t>
  </si>
  <si>
    <t>Potrebno je popuniti i kolonu "Iznos prethodne godine (početno stanje)" (8).</t>
  </si>
  <si>
    <t>Gubitak grupa računa 35 (AOP 128) obuhvata gubitak ranijih godina, račun 350 i gubitak tekuće godine, račun 351.</t>
  </si>
  <si>
    <t>Bilans uspjeha</t>
  </si>
  <si>
    <t>U Bilansu uspjeha popunjavaju se kolone 5 i 6, dok se zbirovi automatski računaju.</t>
  </si>
  <si>
    <t>Izvještaj o ostalom rezultatu u periodu</t>
  </si>
  <si>
    <t>Obveznici koji u izvještajnom periodu nisu ostvarili ostale dobitke i gubitke, odnosno dobitke i gubitke utvrđene direktno u kapitalu nisu obavezni da prezentuju Izvještaj o ostalom rezultatu u periodu.</t>
  </si>
  <si>
    <t>Bilans tokova gotovine</t>
  </si>
  <si>
    <t>U Bilansu tokova gotovine popunjavaju se kolone 5 i 6, dok se zbirovi automatski računaju.</t>
  </si>
  <si>
    <t>Aneks</t>
  </si>
  <si>
    <t>U Aneksu popunjavaju se kolone 4 i 5, dok se zbirovi automatski računaju.</t>
  </si>
  <si>
    <t>Promjene na kapitalu</t>
  </si>
  <si>
    <t>U obrazacu Promjene na kapitalu potrebno je popuniti čitavu tabelu.</t>
  </si>
  <si>
    <t>Promjene koje utiču na smanjenje kapitala se unose kao negativni brojevi (Na primjer: objava dividende, gubitak perioda, pokrice gubitka, negativna korekcija i sl.)</t>
  </si>
  <si>
    <t xml:space="preserve">U koloni 9 se unosi saldo nerasporedjenog dobitka, odnosno gubitka. </t>
  </si>
  <si>
    <t>Na primjer, ako je iskazano 31.12.2021. godine u bilansu stanja iskazano 1.000 KM neraporedjene dobiti i 100 KM gubitka iz prethodnih perioda unosi se neto 900 KM.</t>
  </si>
  <si>
    <t>Kolone 11 I 12 popunjavaju samo pravna lica koja sastavljaju konsolidovani finansijski izvještaj.</t>
  </si>
  <si>
    <t>Logičke kontrole obrazaca (greške su označene crvenom bojom)</t>
  </si>
  <si>
    <t>Redno broj kontrole</t>
  </si>
  <si>
    <t>Ispravno tekuća godina</t>
  </si>
  <si>
    <t>Ispravno prethodna godina</t>
  </si>
  <si>
    <t>1.</t>
  </si>
  <si>
    <t xml:space="preserve">AOP 066 (kolona 7, odnosno 8) = AOP 169 (kolona 5, odnosno 6) </t>
  </si>
  <si>
    <t>2.</t>
  </si>
  <si>
    <t xml:space="preserve">AOP 067 (kolona 7, odnosno 8) = AOP 170 (kolona 5, odnosno 6) </t>
  </si>
  <si>
    <t>3.</t>
  </si>
  <si>
    <r>
      <t xml:space="preserve">AOP 316 (kolona 5, odnosno 6) = AOP 126 (kolona 5, odnosno 6). </t>
    </r>
    <r>
      <rPr>
        <rFont val="Calibri"/>
        <charset val="0"/>
        <family val="2"/>
        <sz val="9"/>
        <b val="0"/>
        <i val="0"/>
        <extLst>
          <ext uri="smNativeData">
            <pm:charSpec xmlns:pm="smNativeData" id="1714042646">
              <pm:latin face="Calibri" sz="180" weight="normal" i="0"/>
              <pm:cs sz="220"/>
              <pm:ea sz="220"/>
            </pm:charSpec>
          </ext>
        </extLst>
      </rPr>
      <t>U pojedinim slučajevima (međudividenda i sl.) je dozvoljena razlika.</t>
    </r>
  </si>
  <si>
    <t>4.</t>
  </si>
  <si>
    <r>
      <t xml:space="preserve">AOP 317 (kolona 5, odnosno 6) = AOP 130 (kolona 5, odnosno 6). </t>
    </r>
    <r>
      <rPr>
        <rFont val="Calibri"/>
        <charset val="0"/>
        <family val="2"/>
        <sz val="9"/>
        <b val="0"/>
        <i val="0"/>
        <extLst>
          <ext uri="smNativeData">
            <pm:charSpec xmlns:pm="smNativeData" id="1714042646">
              <pm:latin face="Calibri" sz="180" weight="normal" i="0"/>
              <pm:cs sz="220"/>
              <pm:ea sz="220"/>
            </pm:charSpec>
          </ext>
        </extLst>
      </rPr>
      <t>U pojedinim slučajevima (međudividenda i sl.) je dozvoljena razlika.</t>
    </r>
  </si>
  <si>
    <t>5.</t>
  </si>
  <si>
    <t>AOP 568 (kolona 4, odnosno 5) = AOP 061 (kolona 7, odnosno 8).</t>
  </si>
  <si>
    <t>6.</t>
  </si>
  <si>
    <t>Ako je AOP 101 (kolona 6) &gt; 0, onda je AOP 913 (kolona 10) = AOP 101 (kolona 6).</t>
  </si>
  <si>
    <t>7.</t>
  </si>
  <si>
    <t>Ako je AOP 101 (kolona 5) &gt; 0, onda je AOP 925 (kolona 10) = AOP 101 (kolona 5).</t>
  </si>
  <si>
    <t>Ukoliko prilikom popunjavanja tabela imate bilo kakva pitanja budite slobodni da kontaktirate Sektor za poslovne operacije:</t>
  </si>
  <si>
    <t>Adrijana Cvijetić (adrijana.cvijetic@blberza.com - 051/326-053)</t>
  </si>
  <si>
    <t xml:space="preserve"> </t>
  </si>
  <si>
    <t>Banjalučka berza i Interfin SoftLab. Sva prava zadržana.</t>
  </si>
  <si>
    <t>Popunjenost</t>
  </si>
  <si>
    <t>Ispravnost</t>
  </si>
  <si>
    <t>Format polja:</t>
  </si>
  <si>
    <t>Format prikaza polja:</t>
  </si>
  <si>
    <t>.</t>
  </si>
  <si>
    <t>Napredak a.d. Pelagićevo</t>
  </si>
  <si>
    <t>Pelagićevo</t>
  </si>
  <si>
    <t>-</t>
  </si>
  <si>
    <t>Pelagićevu</t>
  </si>
  <si>
    <t>Jokica Gavrić</t>
  </si>
  <si>
    <t>srt-0336/24</t>
  </si>
  <si>
    <t>Pelagićevo bb 76256 Pelagićevo</t>
  </si>
  <si>
    <t>napredak@teol.net</t>
  </si>
  <si>
    <t>Kolona za dupli red</t>
  </si>
  <si>
    <t>Id</t>
  </si>
  <si>
    <t>2,A1)</t>
  </si>
  <si>
    <t>Obavezan unos podataka u formi!</t>
  </si>
  <si>
    <t xml:space="preserve">
</t>
  </si>
  <si>
    <t>Grupa</t>
  </si>
  <si>
    <t>Naziv Celije</t>
  </si>
  <si>
    <t>Latinica</t>
  </si>
  <si>
    <t>Ћирилица</t>
  </si>
  <si>
    <t>English</t>
  </si>
  <si>
    <t>Русский</t>
  </si>
  <si>
    <t>Prikaz</t>
  </si>
  <si>
    <t>Kolona za pravljenje imena</t>
  </si>
  <si>
    <t>Kontrola broj</t>
  </si>
  <si>
    <t>Objasnjenja</t>
  </si>
  <si>
    <t>Zaglavlje</t>
  </si>
  <si>
    <t>Podaci u zaglavlju:</t>
  </si>
  <si>
    <t>Пoдaци у зaглaвљу:</t>
  </si>
  <si>
    <t>Header:</t>
  </si>
  <si>
    <t>Сведения в заголовке:</t>
  </si>
  <si>
    <t>Podnozje</t>
  </si>
  <si>
    <t>Podaci ispod izvještaja:</t>
  </si>
  <si>
    <t>Пoдaци испoд извjeштaja:</t>
  </si>
  <si>
    <t>Footer:</t>
  </si>
  <si>
    <t>Данные ниже отчета:</t>
  </si>
  <si>
    <t>Banka</t>
  </si>
  <si>
    <t>Naziv banke</t>
  </si>
  <si>
    <t>Нaзив бaнкe</t>
  </si>
  <si>
    <t>Bank name</t>
  </si>
  <si>
    <t>Название банка</t>
  </si>
  <si>
    <t>Bankovni_racun</t>
  </si>
  <si>
    <t>Računi u banci:</t>
  </si>
  <si>
    <t>Рaчуни у бaнци:</t>
  </si>
  <si>
    <t>Bank Account Numbers:</t>
  </si>
  <si>
    <t>Счета в банке:</t>
  </si>
  <si>
    <t>Kontakti</t>
  </si>
  <si>
    <t>Kontakt podaci:</t>
  </si>
  <si>
    <t>Контакт подаци:</t>
  </si>
  <si>
    <t>Contact:</t>
  </si>
  <si>
    <t>Контактная информация:</t>
  </si>
  <si>
    <t>Glavni racun</t>
  </si>
  <si>
    <t>Glavni račun:</t>
  </si>
  <si>
    <t>Глaвни рaчун:</t>
  </si>
  <si>
    <t>Main Bank Account</t>
  </si>
  <si>
    <t>Основной счет:</t>
  </si>
  <si>
    <t>Navigacija</t>
  </si>
  <si>
    <t>Нaвигaциja</t>
  </si>
  <si>
    <t>Navigation</t>
  </si>
  <si>
    <t>Навигация</t>
  </si>
  <si>
    <t>Dan</t>
  </si>
  <si>
    <t>Дан</t>
  </si>
  <si>
    <t>Day</t>
  </si>
  <si>
    <t>День</t>
  </si>
  <si>
    <t>Mjesec</t>
  </si>
  <si>
    <t>Мјесец</t>
  </si>
  <si>
    <t>Month</t>
  </si>
  <si>
    <t>Месяц</t>
  </si>
  <si>
    <t>Godina</t>
  </si>
  <si>
    <t>Година</t>
  </si>
  <si>
    <t>Year</t>
  </si>
  <si>
    <t>Год</t>
  </si>
  <si>
    <t>Kontakt</t>
  </si>
  <si>
    <t>Adresa</t>
  </si>
  <si>
    <t>Adresa i broj:</t>
  </si>
  <si>
    <t>Aдрeсa и брoj:</t>
  </si>
  <si>
    <t>Address:</t>
  </si>
  <si>
    <t>Адрес и номер:</t>
  </si>
  <si>
    <t>web</t>
  </si>
  <si>
    <t>Internet adresa:</t>
  </si>
  <si>
    <t>Интeрнeт aдрeсa:</t>
  </si>
  <si>
    <t>Web:</t>
  </si>
  <si>
    <t>Интернет-адрес:</t>
  </si>
  <si>
    <t>email</t>
  </si>
  <si>
    <t>Adresa e-pošte (email):</t>
  </si>
  <si>
    <t>Aдрeсa e-пoштe (email):</t>
  </si>
  <si>
    <t>Email:</t>
  </si>
  <si>
    <t>Адрес электронной почты:</t>
  </si>
  <si>
    <t>tel</t>
  </si>
  <si>
    <t>Telefon:</t>
  </si>
  <si>
    <t>Teлeфoн:</t>
  </si>
  <si>
    <t>Phone:</t>
  </si>
  <si>
    <t>Телефон:</t>
  </si>
  <si>
    <t>fax</t>
  </si>
  <si>
    <t>Faks:</t>
  </si>
  <si>
    <t>Фaкс:</t>
  </si>
  <si>
    <t>Fax:</t>
  </si>
  <si>
    <t>Факс:</t>
  </si>
  <si>
    <t>Osnovno</t>
  </si>
  <si>
    <t>Izaberite_jezik</t>
  </si>
  <si>
    <t>Izaberite jezik | Choose language</t>
  </si>
  <si>
    <t>Изaбeритe jeзик | Choose language</t>
  </si>
  <si>
    <t>Выберите язык | Choose language</t>
  </si>
  <si>
    <t>Izvjestajni period</t>
  </si>
  <si>
    <t>Izvještajni period:</t>
  </si>
  <si>
    <t>Извjeштajни пeриoд:</t>
  </si>
  <si>
    <t>Reporting Period:</t>
  </si>
  <si>
    <t>Отчетный период:</t>
  </si>
  <si>
    <t>Pocetak perioda</t>
  </si>
  <si>
    <t>Početak izvještajnog perioda:</t>
  </si>
  <si>
    <t>Пoчeтaк извjeштajнoг пeриoдa:</t>
  </si>
  <si>
    <t>Start of Reporting Period:</t>
  </si>
  <si>
    <t>Начало отчетного периода:</t>
  </si>
  <si>
    <t>Kraj perioda</t>
  </si>
  <si>
    <t>Kraj izvještajnog perioda:</t>
  </si>
  <si>
    <t>Крaj извjeштajнoг пeриoдa:</t>
  </si>
  <si>
    <t>End of Reporting Period:</t>
  </si>
  <si>
    <t>Конец отчетного периода:</t>
  </si>
  <si>
    <t>Vrsta_izvjestaja</t>
  </si>
  <si>
    <t>Vrsta izvještaja:</t>
  </si>
  <si>
    <t>Врста извјештаја:</t>
  </si>
  <si>
    <t>Report type:</t>
  </si>
  <si>
    <t>Вид отчета:</t>
  </si>
  <si>
    <t>Vrsta izvjestaja</t>
  </si>
  <si>
    <t>Prvi_kvartal</t>
  </si>
  <si>
    <t>Prvi kvartal</t>
  </si>
  <si>
    <t>Први квaртaл</t>
  </si>
  <si>
    <t>The first quarter</t>
  </si>
  <si>
    <t>Первый квартал</t>
  </si>
  <si>
    <t>Polugodisnji</t>
  </si>
  <si>
    <t>Polugodišnji</t>
  </si>
  <si>
    <t>Пoлугoдишњи</t>
  </si>
  <si>
    <t>Semiannual</t>
  </si>
  <si>
    <t>Полугодовой</t>
  </si>
  <si>
    <t>Treci_kvartal</t>
  </si>
  <si>
    <t>Treći kvartal</t>
  </si>
  <si>
    <t>Tрeћи квaртaл</t>
  </si>
  <si>
    <t>The third quarter</t>
  </si>
  <si>
    <t>Третий квартал</t>
  </si>
  <si>
    <t>Godisnji</t>
  </si>
  <si>
    <t>Godišnji</t>
  </si>
  <si>
    <t>Гoдишњи</t>
  </si>
  <si>
    <t>Annual</t>
  </si>
  <si>
    <t>Годовой</t>
  </si>
  <si>
    <t>Specificni</t>
  </si>
  <si>
    <t>Specifični</t>
  </si>
  <si>
    <t>Специфични</t>
  </si>
  <si>
    <t>Specific</t>
  </si>
  <si>
    <t xml:space="preserve">Специфический </t>
  </si>
  <si>
    <t>MB</t>
  </si>
  <si>
    <t>Matični broj</t>
  </si>
  <si>
    <t>Maтични брoj</t>
  </si>
  <si>
    <t>ID Number</t>
  </si>
  <si>
    <t>Основной регистрационный номер</t>
  </si>
  <si>
    <t>Sifra_djelatnosti</t>
  </si>
  <si>
    <t>Šifra djelatnosti</t>
  </si>
  <si>
    <t>Шифрa дjeлaтности</t>
  </si>
  <si>
    <t>Code of Industry</t>
  </si>
  <si>
    <t>Код деятельности</t>
  </si>
  <si>
    <t>Naziv_preduzeca</t>
  </si>
  <si>
    <t xml:space="preserve">Naziv privrednog društva, zadruge, drugog pravnog lica ili preduzetnika: </t>
  </si>
  <si>
    <t>Нaзив приврeднoг друштвa, зaдругe, другoг прaвнoг лицa или прeдузeтникa:</t>
  </si>
  <si>
    <t>Company Name:</t>
  </si>
  <si>
    <t>Наименование хозяйственного общества, кооператива, иного юридического лица или предпринимателя:</t>
  </si>
  <si>
    <t>Sjediste</t>
  </si>
  <si>
    <t>Sjedište:</t>
  </si>
  <si>
    <t>Сjeдиштe:</t>
  </si>
  <si>
    <t>Registered Office:</t>
  </si>
  <si>
    <t>Адрес головного офиса:</t>
  </si>
  <si>
    <t>JIB</t>
  </si>
  <si>
    <t>JИБ</t>
  </si>
  <si>
    <t>Tax Number</t>
  </si>
  <si>
    <t>Единый идентификационный номер:</t>
  </si>
  <si>
    <t>Ziro_racun</t>
  </si>
  <si>
    <t>Račun kod ovlašćene organizacije za platni promet:</t>
  </si>
  <si>
    <t>Рачун код овлашћене организациоје за платни промет:</t>
  </si>
  <si>
    <t>Операционные счета:</t>
  </si>
  <si>
    <t>Konsolidovani</t>
  </si>
  <si>
    <t>Konsolidavani Izvjestaj</t>
  </si>
  <si>
    <t>Konsolidovan izvještaj:</t>
  </si>
  <si>
    <t>Кoнсoлидoвaн извjeштaj:</t>
  </si>
  <si>
    <t xml:space="preserve">Report Consolidated </t>
  </si>
  <si>
    <t>Консолидированный отчет:</t>
  </si>
  <si>
    <t>Preduzeće konsolidacije</t>
  </si>
  <si>
    <t>Предузећe консолидације</t>
  </si>
  <si>
    <t>Company included in consolidation</t>
  </si>
  <si>
    <t>Предприятие консолидации</t>
  </si>
  <si>
    <t>U</t>
  </si>
  <si>
    <t>U:</t>
  </si>
  <si>
    <t>У</t>
  </si>
  <si>
    <t>In</t>
  </si>
  <si>
    <t>Место:</t>
  </si>
  <si>
    <t>Dana</t>
  </si>
  <si>
    <t>Dana:</t>
  </si>
  <si>
    <t>Дана:</t>
  </si>
  <si>
    <t>Date:</t>
  </si>
  <si>
    <t>Дата:</t>
  </si>
  <si>
    <t>Lice_sa_licencom</t>
  </si>
  <si>
    <t>Lice sa licencom:</t>
  </si>
  <si>
    <t>Лицe сa лицeнцoм:</t>
  </si>
  <si>
    <t>Authorized Accountant:</t>
  </si>
  <si>
    <t>Лицо с лицензией:</t>
  </si>
  <si>
    <t>Broj_licence</t>
  </si>
  <si>
    <t>Broj licence:</t>
  </si>
  <si>
    <t>Број лиценце:</t>
  </si>
  <si>
    <t>Licence No.:</t>
  </si>
  <si>
    <t>№ лицензии:</t>
  </si>
  <si>
    <t>Direktor</t>
  </si>
  <si>
    <t>Lice ovlašćeno za zastupanje:</t>
  </si>
  <si>
    <t>Лице овлашћено за заступање:</t>
  </si>
  <si>
    <t>CEO:</t>
  </si>
  <si>
    <t>Лицо, уполномоченное на представление:</t>
  </si>
  <si>
    <t>Napomena 1.</t>
  </si>
  <si>
    <t>Напомена 1.</t>
  </si>
  <si>
    <t>Note 1.</t>
  </si>
  <si>
    <t>Napomena 2.</t>
  </si>
  <si>
    <t>Напомена 2.</t>
  </si>
  <si>
    <t>Note 2.</t>
  </si>
  <si>
    <t>Napomena 3.</t>
  </si>
  <si>
    <t>Напомена 3.</t>
  </si>
  <si>
    <t>Note 3.</t>
  </si>
  <si>
    <t>Napomena 4.</t>
  </si>
  <si>
    <t>Напомена 4.</t>
  </si>
  <si>
    <t>Note 4.</t>
  </si>
  <si>
    <t>MP</t>
  </si>
  <si>
    <t>(M.P.)</t>
  </si>
  <si>
    <t>(M.П.)</t>
  </si>
  <si>
    <t>(Stamp)</t>
  </si>
  <si>
    <t>Nazivi bilansa</t>
  </si>
  <si>
    <t>Konsolidovani naziv</t>
  </si>
  <si>
    <t xml:space="preserve">Konsolidovani </t>
  </si>
  <si>
    <t xml:space="preserve">Кoнсoлидoвaни </t>
  </si>
  <si>
    <t xml:space="preserve">Consolidated </t>
  </si>
  <si>
    <t>Консолидированный</t>
  </si>
  <si>
    <t>BS</t>
  </si>
  <si>
    <t>Билaнс стaњa</t>
  </si>
  <si>
    <t>Balance Sheet</t>
  </si>
  <si>
    <t>Бухгалтерский баланс</t>
  </si>
  <si>
    <t>BS1</t>
  </si>
  <si>
    <t>(Izvještaj o finansijskom položaju)</t>
  </si>
  <si>
    <t>(Извjeштaj o финaнсиjскoм пoлoжajу)</t>
  </si>
  <si>
    <t>(Statement of Financial Position)</t>
  </si>
  <si>
    <t>(Отчет о финансовом положении)</t>
  </si>
  <si>
    <t>BUa</t>
  </si>
  <si>
    <t>Билaнс успjeхa</t>
  </si>
  <si>
    <t>Income Statement</t>
  </si>
  <si>
    <t>Отчет о прибылях и убытках</t>
  </si>
  <si>
    <t>BUa1</t>
  </si>
  <si>
    <t>(Izvještaj o ukupnom rezultatu u periodu)</t>
  </si>
  <si>
    <t>(Извjeштaj o укупнoм рeзултaту у пeриoду)</t>
  </si>
  <si>
    <t>(Statement of Comprehensive Income)</t>
  </si>
  <si>
    <t>(Отчет о совокупном результате  за период)</t>
  </si>
  <si>
    <t>BUb</t>
  </si>
  <si>
    <t>Izvještaj</t>
  </si>
  <si>
    <t>Извjeштaj</t>
  </si>
  <si>
    <t>Report</t>
  </si>
  <si>
    <t>Отчет</t>
  </si>
  <si>
    <t>BUb1</t>
  </si>
  <si>
    <t>o ostalom rezultatu u periodu</t>
  </si>
  <si>
    <t xml:space="preserve">o oстaлом резултату у периоду </t>
  </si>
  <si>
    <t>on other gains and losses of the period</t>
  </si>
  <si>
    <t>о прочих прибылях и убытках периода</t>
  </si>
  <si>
    <t>BTG</t>
  </si>
  <si>
    <t>Билaнс тoкoвa гoтoвинe</t>
  </si>
  <si>
    <t>Cash Flow Statement</t>
  </si>
  <si>
    <t>Отчет о движении денежных средств</t>
  </si>
  <si>
    <t>BTG1</t>
  </si>
  <si>
    <t>(Izvještaj o tokovima gotovine)</t>
  </si>
  <si>
    <t>(Извjeштaj o тoкoвимa гoтoвинe)</t>
  </si>
  <si>
    <t>(Statement of cash flows)</t>
  </si>
  <si>
    <t>(Отчет  о денежных потоках)</t>
  </si>
  <si>
    <t>Aнeкс</t>
  </si>
  <si>
    <t>Annex</t>
  </si>
  <si>
    <t>Дополнение</t>
  </si>
  <si>
    <t>Aneks1</t>
  </si>
  <si>
    <t>(Dodatni računovodstveni izvještaj)</t>
  </si>
  <si>
    <t>(Дoдaтни рaчунoвoдствeни извjeштaj)</t>
  </si>
  <si>
    <t>(Additional Financial Report)</t>
  </si>
  <si>
    <t>(Дополнительный бухгалтерский отчет)</t>
  </si>
  <si>
    <t>BPK</t>
  </si>
  <si>
    <t>IZVJEŠTAJ O PROMJENAMA NA KAPITALU</t>
  </si>
  <si>
    <t xml:space="preserve">ИЗВЈЕШТАЈ О ПРОМЈЕНАМА НА КАПИТАЛУ </t>
  </si>
  <si>
    <t>Statement on Changes in Equity</t>
  </si>
  <si>
    <t>Отчет об изменении капитала</t>
  </si>
  <si>
    <t>Datumi</t>
  </si>
  <si>
    <t>Datum_BS</t>
  </si>
  <si>
    <t>Datum_BU</t>
  </si>
  <si>
    <t>Datum_BTG</t>
  </si>
  <si>
    <t>Datum_ODGP</t>
  </si>
  <si>
    <t>Datum_Aneks</t>
  </si>
  <si>
    <t>Datum_BPK</t>
  </si>
  <si>
    <t>Linkovi</t>
  </si>
  <si>
    <t>Link_Uputstvo</t>
  </si>
  <si>
    <t>Uputstvo za popunjavanje</t>
  </si>
  <si>
    <t>Упутствo зa пoпуњaвaњe</t>
  </si>
  <si>
    <t>Instructions</t>
  </si>
  <si>
    <t xml:space="preserve">Инструкция для заполнения </t>
  </si>
  <si>
    <t>Link_Osnovni_podaci</t>
  </si>
  <si>
    <t>Osnovni podaci</t>
  </si>
  <si>
    <t>Oснoвни пoдaци</t>
  </si>
  <si>
    <t>Basic Data</t>
  </si>
  <si>
    <t>Основные сведения</t>
  </si>
  <si>
    <t>Link_BS</t>
  </si>
  <si>
    <t>01) Bilans stanja</t>
  </si>
  <si>
    <t>01) Билaнс стaњa</t>
  </si>
  <si>
    <t>01) Balance Sheet</t>
  </si>
  <si>
    <t>01) Бухгалтерский баланс</t>
  </si>
  <si>
    <t>Link_BU</t>
  </si>
  <si>
    <t>02a) Bilans uspjeha</t>
  </si>
  <si>
    <t>02a) Билaнс успjeхa</t>
  </si>
  <si>
    <t>02a) Income Statement</t>
  </si>
  <si>
    <t>02a) Отчет о прибылях и убытках</t>
  </si>
  <si>
    <t>Link_ODGP</t>
  </si>
  <si>
    <t>02b) Izvještaj o ostalim dobicima i gubicima u periodu</t>
  </si>
  <si>
    <t>02б) Извjeштaj o oстaлим дoбицимa и губицимa у пeриoду</t>
  </si>
  <si>
    <t xml:space="preserve">02b) Report on other gains and losses of the period </t>
  </si>
  <si>
    <t>02b) Отчет о прочих прибылях и убытках за период</t>
  </si>
  <si>
    <t>Link_BTG</t>
  </si>
  <si>
    <t>03) Bilans tokova gotovine</t>
  </si>
  <si>
    <t>03) Билaнс тoкoвa гoтoвинe</t>
  </si>
  <si>
    <t>03) Cash Flow Statement</t>
  </si>
  <si>
    <t>03) Отчет о движении денежных средств</t>
  </si>
  <si>
    <t>Link_Aneks</t>
  </si>
  <si>
    <t>04) Aneks</t>
  </si>
  <si>
    <t>04) Aнeкс</t>
  </si>
  <si>
    <t>04) Annex</t>
  </si>
  <si>
    <t>04) Дополнение</t>
  </si>
  <si>
    <t>Link_BPK</t>
  </si>
  <si>
    <t>05) Izvještaj o promjenama u kapitalu</t>
  </si>
  <si>
    <t>05) Извjeштaj o прoмjeнaмa у кaпитaлу</t>
  </si>
  <si>
    <t>05) Statement on Changes in Equity</t>
  </si>
  <si>
    <t>05) Отчет об изменении капитала</t>
  </si>
  <si>
    <t>Tabele zaglavlje</t>
  </si>
  <si>
    <t>Grupa_racuna</t>
  </si>
  <si>
    <t>Grupa računa, račun</t>
  </si>
  <si>
    <t>Групa рaчунa, рaчун</t>
  </si>
  <si>
    <t>Group and part of group of accounts</t>
  </si>
  <si>
    <t>Группа счетов, счет</t>
  </si>
  <si>
    <t>Pozicija</t>
  </si>
  <si>
    <t>POZICIJA</t>
  </si>
  <si>
    <t>ПОЗИЦИЈА</t>
  </si>
  <si>
    <t>ITEM</t>
  </si>
  <si>
    <t>СТАТЬЯ</t>
  </si>
  <si>
    <t>Napomena</t>
  </si>
  <si>
    <t>Напомена</t>
  </si>
  <si>
    <t>Note</t>
  </si>
  <si>
    <t xml:space="preserve">Обозначение для </t>
  </si>
  <si>
    <t>Oznaka_aop</t>
  </si>
  <si>
    <t>Oznaka za AOP</t>
  </si>
  <si>
    <t>Oзнaкa зa AOП</t>
  </si>
  <si>
    <t>AOP</t>
  </si>
  <si>
    <t>АОП</t>
  </si>
  <si>
    <t>Redni_broj</t>
  </si>
  <si>
    <t>Redni broj</t>
  </si>
  <si>
    <t>Рeдни брoj</t>
  </si>
  <si>
    <t>Number</t>
  </si>
  <si>
    <t>Порядковый номер</t>
  </si>
  <si>
    <t>BS_iznos_tekuca</t>
  </si>
  <si>
    <t>Iznos na dan bilansa tekuće godine</t>
  </si>
  <si>
    <t>Изнoс нa дaн билaнсa тeкућe гoдинe</t>
  </si>
  <si>
    <t>Current Year Amounts</t>
  </si>
  <si>
    <t>Сумма на дату баланса текущего года</t>
  </si>
  <si>
    <t>BS_bruto</t>
  </si>
  <si>
    <t>Bruto</t>
  </si>
  <si>
    <t>Брутo</t>
  </si>
  <si>
    <t>Gross</t>
  </si>
  <si>
    <t>Брутто</t>
  </si>
  <si>
    <t>BS_ispravka</t>
  </si>
  <si>
    <t>Ispravka vrijednosti</t>
  </si>
  <si>
    <t>Испрaвкa вриjeднoсти</t>
  </si>
  <si>
    <t>Allowance</t>
  </si>
  <si>
    <t>Корректировка стоимости</t>
  </si>
  <si>
    <t>BS_neto</t>
  </si>
  <si>
    <t>Neto (5-6)</t>
  </si>
  <si>
    <t>Нeтo (5-6)</t>
  </si>
  <si>
    <t>Net (5-6)</t>
  </si>
  <si>
    <t>Нетто (5-6)</t>
  </si>
  <si>
    <t>BS_iznos_prethodna</t>
  </si>
  <si>
    <t>Iznos na dan bilansa prethodne godine (PS)</t>
  </si>
  <si>
    <t>Изнoс нa дaн билaнсa прeтхoднe гoдинe (ПС)</t>
  </si>
  <si>
    <t>Previous Year (Opening Balance)</t>
  </si>
  <si>
    <t>Сумма на дату баланса предыдущего года (PS)</t>
  </si>
  <si>
    <t>Iznos</t>
  </si>
  <si>
    <t>Изнoс</t>
  </si>
  <si>
    <t>Amount</t>
  </si>
  <si>
    <t>Сумма</t>
  </si>
  <si>
    <t>Tekuca_godina</t>
  </si>
  <si>
    <t>Tekuća godina</t>
  </si>
  <si>
    <t>Teкућa гoдинa</t>
  </si>
  <si>
    <t>Current Year</t>
  </si>
  <si>
    <t>Текущий год</t>
  </si>
  <si>
    <t>Prethodna_godina</t>
  </si>
  <si>
    <t>Prethodna godina</t>
  </si>
  <si>
    <t>Прeтхoднa гoдинa</t>
  </si>
  <si>
    <t>Previous Year</t>
  </si>
  <si>
    <t>Предыдущий год</t>
  </si>
  <si>
    <t>Valuta</t>
  </si>
  <si>
    <t>- u konvertibilnim markama -</t>
  </si>
  <si>
    <t>- у кoнвeртибилним мaркaмa -</t>
  </si>
  <si>
    <t>- in BAM -</t>
  </si>
  <si>
    <t>в конвертируемых марках</t>
  </si>
  <si>
    <t>BPK0</t>
  </si>
  <si>
    <t>KAPITAL KOJI PRIPADA VLASNICIMA MATIČNOG DRUŠTVA</t>
  </si>
  <si>
    <t>КАПИТАЛ КОЈИ ПРИПАДА ВЛАСНИЦИМА МАТИЧНОГ ДРУШТВА</t>
  </si>
  <si>
    <t xml:space="preserve">Share in shareholders’ equity that belongs to owners of parent company </t>
  </si>
  <si>
    <t>Часть капитала, принадлежащая собственникам материнского хозяйственного общества</t>
  </si>
  <si>
    <t>BPK1</t>
  </si>
  <si>
    <t>VRSTA PROMJENE NA KAPITALU</t>
  </si>
  <si>
    <t>ВРСТА ПРОМЈЕНЕ НА КАПИТАЛУ</t>
  </si>
  <si>
    <t>Type of change in equity</t>
  </si>
  <si>
    <t xml:space="preserve">Вид изменения капитала </t>
  </si>
  <si>
    <t>BPK3</t>
  </si>
  <si>
    <t>Akcijski kapital - 
vlasnički udjeli</t>
  </si>
  <si>
    <t>Акцијски капитал - 
власнички удјели</t>
  </si>
  <si>
    <t>Shareholders’ equity and stakes in limited liability companies</t>
  </si>
  <si>
    <t>Акционерный капитал и доли в обществе с ограниченной ответственностью</t>
  </si>
  <si>
    <t>BPK4</t>
  </si>
  <si>
    <t>Emisiona premija</t>
  </si>
  <si>
    <t>Емисиона премија</t>
  </si>
  <si>
    <t xml:space="preserve">Issuance Premium </t>
  </si>
  <si>
    <t>Переоценочные резервы (МСБУ 16, МСБУ 21 и МСБУ 38)</t>
  </si>
  <si>
    <t>BPK5</t>
  </si>
  <si>
    <t>Rezerve</t>
  </si>
  <si>
    <t>Резерве</t>
  </si>
  <si>
    <t>Reserves</t>
  </si>
  <si>
    <t>Нереализаванные прибыли/убытки по финансовым средствам, располагаемым для продажи</t>
  </si>
  <si>
    <t>BPK6</t>
  </si>
  <si>
    <t>Revalorizacione 
rezerve za 
nekretnine, 
postrojenja i opremu</t>
  </si>
  <si>
    <t>Ревалоризационе 
резерве за 
некретнине, 
постројења и опрему</t>
  </si>
  <si>
    <t xml:space="preserve">Revaluation reserve </t>
  </si>
  <si>
    <t xml:space="preserve">Прочие резервы (эмиссионная премия, законные и уставные резервы, защита денежных потоков) </t>
  </si>
  <si>
    <t>BPK7</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</si>
  <si>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</si>
  <si>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</si>
  <si>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Unrealized gains/losses arising from financial assets available for sale</t>
  </si>
  <si>
    <t>Накопленная нераспределенная прибыль /непокрытый убыток</t>
  </si>
  <si>
    <t>BPK8</t>
  </si>
  <si>
    <t>Ostale revalorizacione rezerve</t>
  </si>
  <si>
    <t>Остале ревалоризационе резерве</t>
  </si>
  <si>
    <t>Other reserves (issuance premium, legal and statutory reserves, cash flow protection)</t>
  </si>
  <si>
    <t>Прочие  переоценочные резервы</t>
  </si>
  <si>
    <t>BPK9</t>
  </si>
  <si>
    <t>Akumulirana neraspoređena dobit/(nepokriveni gubitak)</t>
  </si>
  <si>
    <t>Акумулирана нераспоређена добит/(непокривени губитак)</t>
  </si>
  <si>
    <t xml:space="preserve">Retained earnings / uncovered loss </t>
  </si>
  <si>
    <t>Накопленная  нераспределенная прибыль / (непокрытый убыток)</t>
  </si>
  <si>
    <t>BPK10</t>
  </si>
  <si>
    <t>Ukupno 
(3+4+5+6±7± 8 ± 9)</t>
  </si>
  <si>
    <t>Укупно 
(3+4+5+6±7± 8 ± 9)</t>
  </si>
  <si>
    <t>Total 
(3+4+5+6±7± 8 ± 9)</t>
  </si>
  <si>
    <t>Всего 
(3+4+5+6±7± 8 ± 9)</t>
  </si>
  <si>
    <t>BPK11</t>
  </si>
  <si>
    <t>UDJELI KOJI NEMAJU KONTROLU (MANJINSKI INTERESI)</t>
  </si>
  <si>
    <t>УДЈЕЛИ КОЈИ НЕМАЈУ КОНТРОЛУ (МАЊИНСКИ ИНТЕРЕСИ)</t>
  </si>
  <si>
    <t>Minority interest</t>
  </si>
  <si>
    <t>Миноритарная доля</t>
  </si>
  <si>
    <t>BPK12</t>
  </si>
  <si>
    <t>UKUPNI KAPITAL
(10+11)</t>
  </si>
  <si>
    <t>УКУПНИ КАПИТАЛ
(10+11)</t>
  </si>
  <si>
    <t>TOTAL EQUITY</t>
  </si>
  <si>
    <t>СОВОКУПНЫЙ КАПИТАЛ</t>
  </si>
  <si>
    <t>Kontrola</t>
  </si>
  <si>
    <t>Obavezno</t>
  </si>
  <si>
    <t>Обавезан унос података у форми!</t>
  </si>
  <si>
    <t>Required Field!</t>
  </si>
  <si>
    <t>Обязательный ввод данных в форме!</t>
  </si>
  <si>
    <t>Neispravno</t>
  </si>
  <si>
    <t>Neispravan unos podataka!</t>
  </si>
  <si>
    <t>Неисправан унос података!</t>
  </si>
  <si>
    <t>Incorrect Data Entry!</t>
  </si>
  <si>
    <t>Неправильный ввод данных!</t>
  </si>
  <si>
    <t>Revizija</t>
  </si>
  <si>
    <t>Revidiran izvjestaj</t>
  </si>
  <si>
    <t>Revidiran izvještaj:</t>
  </si>
  <si>
    <t>Рeвидирaн извjeштaj:</t>
  </si>
  <si>
    <t>Audited Report</t>
  </si>
  <si>
    <t>Пересмотренный отчет:</t>
  </si>
  <si>
    <t>Misljenje</t>
  </si>
  <si>
    <t>Mišljenje revizora:</t>
  </si>
  <si>
    <t>Mишљeњe рeвизoрa:</t>
  </si>
  <si>
    <t>Audit Opinion:</t>
  </si>
  <si>
    <t>Заключение аудитора:</t>
  </si>
  <si>
    <t>Podaci o revizorskoj firmi</t>
  </si>
  <si>
    <t>Podaci o revizorskoj firmi:</t>
  </si>
  <si>
    <t>Пoдaци o рeвизoрскoj фирми:</t>
  </si>
  <si>
    <t>Audit Company Information:</t>
  </si>
  <si>
    <t>Сведения об аудиторской компании:</t>
  </si>
  <si>
    <t>Naziv_revizorske_firme</t>
  </si>
  <si>
    <t>Naziv revizorske firme:</t>
  </si>
  <si>
    <t>Назив ревизорске фирме:</t>
  </si>
  <si>
    <t>Audit Company Name</t>
  </si>
  <si>
    <t>Название аудиторской компании:</t>
  </si>
  <si>
    <t>Pozitivno</t>
  </si>
  <si>
    <t>Pozitivno mišljenje</t>
  </si>
  <si>
    <t>Пoзитивнo мишљeњe</t>
  </si>
  <si>
    <t xml:space="preserve">Unqualified Opinion </t>
  </si>
  <si>
    <t>Положительное мнение</t>
  </si>
  <si>
    <t>Sa_rezervom</t>
  </si>
  <si>
    <t>Mišljenje sa rezervom</t>
  </si>
  <si>
    <t>Mишљeњe сa рeзeрвoм</t>
  </si>
  <si>
    <t>Qualified Opinion</t>
  </si>
  <si>
    <t xml:space="preserve">Мнение с оговоркой </t>
  </si>
  <si>
    <t>Negativno</t>
  </si>
  <si>
    <t>Negativno mišljenje</t>
  </si>
  <si>
    <t>Нeгaтивнo мишљeњe</t>
  </si>
  <si>
    <t>Adverse Opinion</t>
  </si>
  <si>
    <t xml:space="preserve">Отрицательное мнение </t>
  </si>
  <si>
    <t>Uzdrzavanje</t>
  </si>
  <si>
    <t>Uzdržavanje od mišljenja</t>
  </si>
  <si>
    <t>Уздржaвaњe oд мишљeњa</t>
  </si>
  <si>
    <t>Disclaimer of Opinion</t>
  </si>
  <si>
    <t>Отказ от выражения мнения</t>
  </si>
  <si>
    <t>Napomene</t>
  </si>
  <si>
    <t>Nota_1</t>
  </si>
  <si>
    <r>
      <rPr>
        <rFont val="Calibri"/>
        <charset val="0"/>
        <family val="2"/>
        <sz val="10"/>
        <b val="0"/>
        <i val="0"/>
        <vertAlign val="superscript"/>
        <extLst>
          <ext uri="smNativeData">
            <pm:charSpec xmlns:pm="smNativeData" id="1714042646" ssSize="66" ssDistance="15">
              <pm:latin face="Calibri" sz="200" weight="normal" i="0"/>
              <pm:cs/>
              <pm:ea/>
            </pm:charSpec>
          </ext>
        </extLst>
      </rPr>
      <t>1</t>
    </r>
    <r>
      <rPr>
        <rFont val="Calibri"/>
        <charset val="0"/>
        <family val="2"/>
        <sz val="10"/>
        <b val="0"/>
        <i val="0"/>
        <extLst>
          <ext uri="smNativeData">
            <pm:charSpec xmlns:pm="smNativeData" id="1714042646">
              <pm:latin face="Calibri" sz="200" weight="normal" i="0"/>
              <pm:cs/>
              <pm:ea/>
            </pm:charSpec>
          </ext>
        </extLst>
      </rPr>
      <t xml:space="preserve"> Subvencije na proizvode obuhvataju subvencije koje se mogu iskazati po jedinici proizvoda, tj. iznos ovih subvencija zavisi od obima proizvodnje (npr. vozna karta, brašno, hljeb, mlijeko i sl.).</t>
    </r>
  </si>
  <si>
    <r>
      <rPr>
        <rFont val="Calibri"/>
        <charset val="0"/>
        <family val="2"/>
        <sz val="10"/>
        <b val="0"/>
        <i val="0"/>
        <vertAlign val="superscript"/>
        <extLst>
          <ext uri="smNativeData">
            <pm:charSpec xmlns:pm="smNativeData" id="1714042646" ssSize="66" ssDistance="15">
              <pm:latin face="Calibri" sz="200" weight="normal" i="0"/>
              <pm:cs/>
              <pm:ea/>
            </pm:charSpec>
          </ext>
        </extLst>
      </rPr>
      <t>1</t>
    </r>
    <r>
      <rPr>
        <rFont val="Calibri"/>
        <charset val="0"/>
        <family val="2"/>
        <sz val="10"/>
        <b val="0"/>
        <i val="0"/>
        <extLst>
          <ext uri="smNativeData">
            <pm:charSpec xmlns:pm="smNativeData" id="1714042646">
              <pm:latin face="Calibri" sz="200" weight="normal" i="0"/>
              <pm:cs/>
              <pm:ea/>
            </pm:charSpec>
          </ext>
        </extLst>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</si>
  <si>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rFont val="Calibri"/>
        <charset val="0"/>
        <family val="2"/>
        <sz val="10"/>
        <b val="0"/>
        <i val="0"/>
        <vertAlign val="superscript"/>
        <extLst>
          <ext uri="smNativeData">
            <pm:charSpec xmlns:pm="smNativeData" id="1714042646" ssSize="66" ssDistance="15">
              <pm:latin face="Calibri" sz="200" weight="normal" i="0"/>
              <pm:cs/>
              <pm:ea/>
            </pm:charSpec>
          </ext>
        </extLst>
      </rPr>
      <t>1</t>
    </r>
    <r>
      <rPr>
        <rFont val="Calibri"/>
        <charset val="0"/>
        <family val="2"/>
        <sz val="10"/>
        <b val="0"/>
        <i val="0"/>
        <extLst>
          <ext uri="smNativeData">
            <pm:charSpec xmlns:pm="smNativeData" id="1714042646">
              <pm:latin face="Calibri" sz="200" weight="normal" i="0"/>
              <pm:cs/>
              <pm:ea/>
            </pm:charSpec>
          </ext>
        </extLst>
      </rPr>
      <t xml:space="preserve"> Product subsidies include subsidies that can be shown per product unit, i.e. The amount of these subsidies depends on the volume of production (e.g. train ticket, flour, bread, milk, etc.).</t>
    </r>
  </si>
  <si>
    <r>
      <rPr>
        <rFont val="Calibri"/>
        <charset val="0"/>
        <family val="2"/>
        <sz val="10"/>
        <b val="0"/>
        <i val="0"/>
        <vertAlign val="superscript"/>
        <extLst>
          <ext uri="smNativeData">
            <pm:charSpec xmlns:pm="smNativeData" id="1714042646" ssSize="66" ssDistance="15">
              <pm:latin face="Calibri" sz="200" weight="normal" i="0"/>
              <pm:cs/>
              <pm:ea/>
            </pm:charSpec>
          </ext>
        </extLst>
      </rPr>
      <t xml:space="preserve">1 </t>
    </r>
    <r>
      <rPr>
        <rFont val="Calibri"/>
        <charset val="0"/>
        <family val="2"/>
        <sz val="10"/>
        <b val="0"/>
        <i val="0"/>
        <extLst>
          <ext uri="smNativeData">
            <pm:charSpec xmlns:pm="smNativeData" id="1714042646">
              <pm:latin face="Calibri" sz="200" weight="normal" i="0"/>
              <pm:cs/>
              <pm:ea/>
            </pm:charSpec>
          </ext>
        </extLst>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</si>
  <si>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t>Nota_2</t>
  </si>
  <si>
    <r>
      <rPr>
        <rFont val="Calibri"/>
        <charset val="0"/>
        <family val="2"/>
        <sz val="10"/>
        <b val="0"/>
        <i val="0"/>
        <vertAlign val="superscript"/>
        <extLst>
          <ext uri="smNativeData">
            <pm:charSpec xmlns:pm="smNativeData" id="1714042646" ssSize="66" ssDistance="15">
              <pm:latin face="Calibri" sz="200" weight="normal" i="0"/>
              <pm:cs/>
              <pm:ea/>
            </pm:charSpec>
          </ext>
        </extLst>
      </rPr>
      <t xml:space="preserve">2 </t>
    </r>
    <r>
      <rPr>
        <rFont val="Calibri"/>
        <charset val="0"/>
        <family val="2"/>
        <sz val="10"/>
        <b val="0"/>
        <i val="0"/>
        <extLst>
          <ext uri="smNativeData">
            <pm:charSpec xmlns:pm="smNativeData" id="1714042646">
              <pm:latin face="Calibri" sz="200" weight="normal" i="0"/>
              <pm:cs/>
              <pm:ea/>
            </pm:charSpec>
          </ext>
        </extLst>
      </rPr>
      <t>Subvencije na proizvodnju obuhvataju subvencije koje se ne mogu iskazati po jedinici proizvoda ili usluge  (npr. zapošljavanje, platu, kamatnu stopu, za smanjenje zagađenja i sl.).</t>
    </r>
  </si>
  <si>
    <r>
      <rPr>
        <rFont val="Calibri"/>
        <charset val="0"/>
        <family val="2"/>
        <sz val="10"/>
        <b val="0"/>
        <i val="0"/>
        <vertAlign val="superscript"/>
        <extLst>
          <ext uri="smNativeData">
            <pm:charSpec xmlns:pm="smNativeData" id="1714042646" ssSize="66" ssDistance="15">
              <pm:latin face="Calibri" sz="200" weight="normal" i="0"/>
              <pm:cs/>
              <pm:ea/>
            </pm:charSpec>
          </ext>
        </extLst>
      </rPr>
      <t xml:space="preserve">2 </t>
    </r>
    <r>
      <rPr>
        <rFont val="Calibri"/>
        <charset val="0"/>
        <family val="2"/>
        <sz val="10"/>
        <b val="0"/>
        <i val="0"/>
        <extLst>
          <ext uri="smNativeData">
            <pm:charSpec xmlns:pm="smNativeData" id="1714042646">
              <pm:latin face="Calibri" sz="200" weight="normal" i="0"/>
              <pm:cs/>
              <pm:ea/>
            </pm:charSpec>
          </ext>
        </extLst>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</si>
  <si>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rFont val="Calibri"/>
        <charset val="0"/>
        <family val="2"/>
        <sz val="10"/>
        <b val="0"/>
        <i val="0"/>
        <vertAlign val="superscript"/>
        <extLst>
          <ext uri="smNativeData">
            <pm:charSpec xmlns:pm="smNativeData" id="1714042646" ssSize="66" ssDistance="15">
              <pm:latin face="Calibri" sz="200" weight="normal" i="0"/>
              <pm:cs/>
              <pm:ea/>
            </pm:charSpec>
          </ext>
        </extLst>
      </rPr>
      <t xml:space="preserve">2 </t>
    </r>
    <r>
      <rPr>
        <rFont val="Calibri"/>
        <charset val="0"/>
        <family val="2"/>
        <sz val="10"/>
        <b val="0"/>
        <i val="0"/>
        <extLst>
          <ext uri="smNativeData">
            <pm:charSpec xmlns:pm="smNativeData" id="1714042646">
              <pm:latin face="Calibri" sz="200" weight="normal" i="0"/>
              <pm:cs/>
              <pm:ea/>
            </pm:charSpec>
          </ext>
        </extLst>
      </rPr>
      <t>Production subsidies include subsidies that cannot be shown per unit of product or service (e.g. employment, salary, interest rate, for reducing pollution, etc.).</t>
    </r>
  </si>
  <si>
    <r>
      <rPr>
        <rFont val="Calibri"/>
        <charset val="0"/>
        <family val="2"/>
        <sz val="11"/>
        <b val="0"/>
        <i val="0"/>
        <vertAlign val="superscript"/>
        <extLst>
          <ext uri="smNativeData">
            <pm:charSpec xmlns:pm="smNativeData" id="1714042646" ssSize="66" ssDistance="15">
              <pm:latin face="Calibri" sz="220" weight="normal" i="0"/>
              <pm:cs/>
              <pm:ea/>
            </pm:charSpec>
          </ext>
        </extLst>
      </rPr>
      <t>2</t>
    </r>
    <r>
      <rPr>
        <rFont val="Calibri"/>
        <charset val="0"/>
        <family val="2"/>
        <sz val="10"/>
        <b val="0"/>
        <i val="0"/>
        <extLst>
          <ext uri="smNativeData">
            <pm:charSpec xmlns:pm="smNativeData" id="1714042646">
              <pm:latin face="Calibri" sz="200" weight="normal" i="0"/>
              <pm:cs/>
              <pm:ea/>
            </pm:charSpec>
          </ext>
        </extLst>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</si>
  <si>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t>Nota_3</t>
  </si>
  <si>
    <r>
      <rPr>
        <rFont val="Calibri"/>
        <charset val="0"/>
        <family val="2"/>
        <sz val="10"/>
        <b val="0"/>
        <i val="0"/>
        <vertAlign val="superscript"/>
        <extLst>
          <ext uri="smNativeData">
            <pm:charSpec xmlns:pm="smNativeData" id="1714042646" ssSize="66" ssDistance="15">
              <pm:latin face="Calibri" sz="200" weight="normal" i="0"/>
              <pm:cs/>
              <pm:ea/>
            </pm:charSpec>
          </ext>
        </extLst>
      </rPr>
      <t>3</t>
    </r>
    <r>
      <rPr>
        <rFont val="Calibri"/>
        <charset val="0"/>
        <family val="2"/>
        <sz val="10"/>
        <b val="0"/>
        <i val="0"/>
        <extLst>
          <ext uri="smNativeData">
            <pm:charSpec xmlns:pm="smNativeData" id="1714042646">
              <pm:latin face="Calibri" sz="200" weight="normal" i="0"/>
              <pm:cs/>
              <pm:ea/>
            </pm:charSpec>
          </ext>
        </extLst>
      </rPr>
      <t xml:space="preserve"> Porezi na proizvode zavise od količine ili vrijednosti proizvedenih dobara i usluga (npr. carine, boravišne takse, porez na igre na sreću i sl.).</t>
    </r>
  </si>
  <si>
    <r>
      <rPr>
        <rFont val="Calibri"/>
        <charset val="0"/>
        <family val="2"/>
        <sz val="10"/>
        <b val="0"/>
        <i val="0"/>
        <vertAlign val="superscript"/>
        <extLst>
          <ext uri="smNativeData">
            <pm:charSpec xmlns:pm="smNativeData" id="1714042646" ssSize="66" ssDistance="15">
              <pm:latin face="Calibri" sz="200" weight="normal" i="0"/>
              <pm:cs/>
              <pm:ea/>
            </pm:charSpec>
          </ext>
        </extLst>
      </rPr>
      <t>3</t>
    </r>
    <r>
      <rPr>
        <rFont val="Calibri"/>
        <charset val="0"/>
        <family val="2"/>
        <sz val="10"/>
        <b val="0"/>
        <i val="0"/>
        <extLst>
          <ext uri="smNativeData">
            <pm:charSpec xmlns:pm="smNativeData" id="1714042646">
              <pm:latin face="Calibri" sz="200" weight="normal" i="0"/>
              <pm:cs/>
              <pm:ea/>
            </pm:charSpec>
          </ext>
        </extLst>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</si>
  <si>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rFont val="Calibri"/>
        <charset val="0"/>
        <family val="2"/>
        <sz val="10"/>
        <b val="0"/>
        <i val="0"/>
        <vertAlign val="superscript"/>
        <extLst>
          <ext uri="smNativeData">
            <pm:charSpec xmlns:pm="smNativeData" id="1714042646" ssSize="66" ssDistance="15">
              <pm:latin face="Calibri" sz="200" weight="normal" i="0"/>
              <pm:cs/>
              <pm:ea/>
            </pm:charSpec>
          </ext>
        </extLst>
      </rPr>
      <t>3</t>
    </r>
    <r>
      <rPr>
        <rFont val="Calibri"/>
        <charset val="0"/>
        <family val="2"/>
        <sz val="10"/>
        <b val="0"/>
        <i val="0"/>
        <extLst>
          <ext uri="smNativeData">
            <pm:charSpec xmlns:pm="smNativeData" id="1714042646">
              <pm:latin face="Calibri" sz="200" weight="normal" i="0"/>
              <pm:cs/>
              <pm:ea/>
            </pm:charSpec>
          </ext>
        </extLst>
      </rPr>
      <t xml:space="preserve"> Taxes on products depend on the quantity or value of goods and services produced (e.g. customs duties, residence taxes, tax on games of chance, etc.).</t>
    </r>
  </si>
  <si>
    <r>
      <rPr>
        <rFont val="Calibri"/>
        <charset val="0"/>
        <family val="2"/>
        <sz val="10"/>
        <b val="0"/>
        <i val="0"/>
        <vertAlign val="superscript"/>
        <extLst>
          <ext uri="smNativeData">
            <pm:charSpec xmlns:pm="smNativeData" id="1714042646" ssSize="66" ssDistance="15">
              <pm:latin face="Calibri" sz="200" weight="normal" i="0"/>
              <pm:cs/>
              <pm:ea/>
            </pm:charSpec>
          </ext>
        </extLst>
      </rPr>
      <t xml:space="preserve">3 </t>
    </r>
    <r>
      <rPr>
        <rFont val="Calibri"/>
        <charset val="0"/>
        <family val="2"/>
        <sz val="10"/>
        <b val="0"/>
        <i val="0"/>
        <extLst>
          <ext uri="smNativeData">
            <pm:charSpec xmlns:pm="smNativeData" id="1714042646">
              <pm:latin face="Calibri" sz="200" weight="normal" i="0"/>
              <pm:cs/>
              <pm:ea/>
            </pm:charSpec>
          </ext>
        </extLst>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</si>
  <si>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Nota_4</t>
  </si>
  <si>
    <r>
      <rPr>
        <rFont val="Calibri"/>
        <charset val="0"/>
        <family val="2"/>
        <sz val="10"/>
        <b val="0"/>
        <i val="0"/>
        <vertAlign val="superscript"/>
        <extLst>
          <ext uri="smNativeData">
            <pm:charSpec xmlns:pm="smNativeData" id="1714042646" ssSize="66" ssDistance="15">
              <pm:latin face="Calibri" sz="200" weight="normal" i="0"/>
              <pm:cs/>
              <pm:ea/>
            </pm:charSpec>
          </ext>
        </extLst>
      </rPr>
      <t>4</t>
    </r>
    <r>
      <rPr>
        <rFont val="Calibri"/>
        <charset val="0"/>
        <family val="2"/>
        <sz val="10"/>
        <b val="0"/>
        <i val="0"/>
        <extLst>
          <ext uri="smNativeData">
            <pm:charSpec xmlns:pm="smNativeData" id="1714042646">
              <pm:latin face="Calibri" sz="200" weight="normal" i="0"/>
              <pm:cs/>
              <pm:ea/>
            </pm:charSpec>
          </ext>
        </extLst>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</si>
  <si>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rFont val="Calibri"/>
        <charset val="0"/>
        <family val="2"/>
        <sz val="10"/>
        <b val="0"/>
        <i val="0"/>
        <vertAlign val="superscript"/>
        <extLst>
          <ext uri="smNativeData">
            <pm:charSpec xmlns:pm="smNativeData" id="1714042646" ssSize="66" ssDistance="15">
              <pm:latin face="Calibri" sz="200" weight="normal" i="0"/>
              <pm:cs/>
              <pm:ea/>
            </pm:charSpec>
          </ext>
        </extLst>
      </rPr>
      <t>4</t>
    </r>
    <r>
      <rPr>
        <rFont val="Calibri"/>
        <charset val="0"/>
        <family val="2"/>
        <sz val="10"/>
        <b val="0"/>
        <i val="0"/>
        <extLst>
          <ext uri="smNativeData">
            <pm:charSpec xmlns:pm="smNativeData" id="1714042646">
              <pm:latin face="Calibri" sz="200" weight="normal" i="0"/>
              <pm:cs/>
              <pm:ea/>
            </pm:charSpec>
          </ext>
        </extLst>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</si>
  <si>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rFont val="Calibri"/>
        <charset val="0"/>
        <family val="2"/>
        <sz val="10"/>
        <b val="0"/>
        <i val="0"/>
        <vertAlign val="superscript"/>
        <extLst>
          <ext uri="smNativeData">
            <pm:charSpec xmlns:pm="smNativeData" id="1714042646" ssSize="66" ssDistance="15">
              <pm:latin face="Calibri" sz="200" weight="normal" i="0"/>
              <pm:cs/>
              <pm:ea/>
            </pm:charSpec>
          </ext>
        </extLst>
      </rPr>
      <t xml:space="preserve">4 </t>
    </r>
    <r>
      <rPr>
        <rFont val="Calibri"/>
        <charset val="0"/>
        <family val="2"/>
        <sz val="10"/>
        <b val="0"/>
        <i val="0"/>
        <extLst>
          <ext uri="smNativeData">
            <pm:charSpec xmlns:pm="smNativeData" id="1714042646">
              <pm:latin face="Calibri" sz="200" weight="normal" i="0"/>
              <pm:cs/>
              <pm:ea/>
            </pm:charSpec>
          </ext>
        </extLst>
      </rPr>
      <t>Taxes on production include all taxes charged by the reporting entity due to engagement in production, regardless of the quantity or value of derived goods and services (e.g. on property, on land, for the use of water and forests, for fire protection, etc.).</t>
    </r>
  </si>
  <si>
    <r>
      <rPr>
        <rFont val="Calibri"/>
        <charset val="0"/>
        <family val="2"/>
        <sz val="10"/>
        <b val="0"/>
        <i val="0"/>
        <vertAlign val="superscript"/>
        <extLst>
          <ext uri="smNativeData">
            <pm:charSpec xmlns:pm="smNativeData" id="1714042646" ssSize="66" ssDistance="15">
              <pm:latin face="Calibri" sz="200" weight="normal" i="0"/>
              <pm:cs/>
              <pm:ea/>
            </pm:charSpec>
          </ext>
        </extLst>
      </rPr>
      <t>4</t>
    </r>
    <r>
      <rPr>
        <rFont val="Calibri"/>
        <charset val="0"/>
        <family val="2"/>
        <sz val="10"/>
        <b val="0"/>
        <i val="0"/>
        <extLst>
          <ext uri="smNativeData">
            <pm:charSpec xmlns:pm="smNativeData" id="1714042646">
              <pm:latin face="Calibri" sz="200" weight="normal" i="0"/>
              <pm:cs/>
              <pm:ea/>
            </pm:charSpec>
          </ext>
        </extLst>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</si>
  <si>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Bilans</t>
  </si>
  <si>
    <t>Aop nivo</t>
  </si>
  <si>
    <t>Grupa Prikaz</t>
  </si>
  <si>
    <t>Pozicija Prikaz</t>
  </si>
  <si>
    <t>Pozicija Srpski - latinica</t>
  </si>
  <si>
    <t>Pozicija Srpski - cirilica</t>
  </si>
  <si>
    <t>Pozicija Engleski</t>
  </si>
  <si>
    <t>Pozicija Руски</t>
  </si>
  <si>
    <t>Grupa Sr - latinica</t>
  </si>
  <si>
    <t>Grupa Sr - cirilica</t>
  </si>
  <si>
    <t>Grupa En</t>
  </si>
  <si>
    <t>Grupa Rus</t>
  </si>
  <si>
    <t>Bold</t>
  </si>
  <si>
    <t>Visina reda</t>
  </si>
  <si>
    <t>BSa</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</si>
  <si>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</si>
  <si>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</si>
  <si>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</si>
  <si>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</si>
  <si>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I  NEMATERIJALNA SREDSTVA  (003 do 007)</t>
  </si>
  <si>
    <t xml:space="preserve"> I  НЕМАТЕРИЈАЛНА СРЕДСТВА  (003 до 007)</t>
  </si>
  <si>
    <t>I INTANGIBLE ASSETS (003 to 007)</t>
  </si>
  <si>
    <t>I  НЕМАТЕРИАЛЬНЫЕ СРЕДСТВА  (003 до 007)</t>
  </si>
  <si>
    <t>01</t>
  </si>
  <si>
    <t>1. Ulaganja u razvoj</t>
  </si>
  <si>
    <t xml:space="preserve">  1. Улагања у развој</t>
  </si>
  <si>
    <t>1. Research and development investments</t>
  </si>
  <si>
    <t>1. Вложения в развитие</t>
  </si>
  <si>
    <t>010, dio 019</t>
  </si>
  <si>
    <t>010, дио 019</t>
  </si>
  <si>
    <t>010, part 019</t>
  </si>
  <si>
    <t>010, часть 019</t>
  </si>
  <si>
    <t>2. Koncesije, patenti, licence, softver i ostala prava</t>
  </si>
  <si>
    <t xml:space="preserve">  2. Концесије, патенти, лиценце, софтвер и остала права</t>
  </si>
  <si>
    <t>2. Concessions, patents, licenses, software and similar rights</t>
  </si>
  <si>
    <t>2. Концессии, патенты, лицензии, программное обеспечение и прочие права</t>
  </si>
  <si>
    <t>011, 013 dio 019</t>
  </si>
  <si>
    <t>011,013 дио 019</t>
  </si>
  <si>
    <t>011, 013 part 019</t>
  </si>
  <si>
    <t>011, 013 и часть 019</t>
  </si>
  <si>
    <t>3. Goodwill</t>
  </si>
  <si>
    <t xml:space="preserve">  3. Goodwill</t>
  </si>
  <si>
    <t>012, dio 019</t>
  </si>
  <si>
    <t>012, дио 019</t>
  </si>
  <si>
    <t>012, part 019</t>
  </si>
  <si>
    <t>012, часть 019</t>
  </si>
  <si>
    <t>4. Ostala nematerijalna sredstva</t>
  </si>
  <si>
    <t xml:space="preserve">  4. Остала нематеријална средства</t>
  </si>
  <si>
    <t>4. Other intangible assets</t>
  </si>
  <si>
    <t>4. Прочие нематериальные средства</t>
  </si>
  <si>
    <t>014, dio 019</t>
  </si>
  <si>
    <t>014, дио 019</t>
  </si>
  <si>
    <t>014, part 019</t>
  </si>
  <si>
    <t>014, часть 019</t>
  </si>
  <si>
    <t xml:space="preserve">5. Avansi i nematerijalna sredstva u pripremi </t>
  </si>
  <si>
    <t xml:space="preserve">  5. Аванси и нематеријална средства у припреми </t>
  </si>
  <si>
    <t>5. Аdvances (prepayments) and intangible assets in preparation process</t>
  </si>
  <si>
    <t>5. Авансы и нематериальные средства на стадии подготовки</t>
  </si>
  <si>
    <t>015, 016, dio 019</t>
  </si>
  <si>
    <t>015, 016 дио 019</t>
  </si>
  <si>
    <t>015, 016, part 019</t>
  </si>
  <si>
    <t>015, 016 и часть 019</t>
  </si>
  <si>
    <t xml:space="preserve">II  NEKRETNINE, POSTROJENJA I OPREMA (009 do 014) </t>
  </si>
  <si>
    <t xml:space="preserve"> II  НЕКРЕТНИНЕ, ПОСТРОЈЕЊА И ОПРЕМА (009 до 014) </t>
  </si>
  <si>
    <t>II REAL ESTATES, PLANT, EQUIPMENT AND INVESTMENT PROPERTY (009 to 014)</t>
  </si>
  <si>
    <t xml:space="preserve">II  НЕДВИЖИМОСТЬ, УСТАНОВКИ И ОБОРУДОВАНИЕ (009 до 014) </t>
  </si>
  <si>
    <t>02</t>
  </si>
  <si>
    <t>1. Zemljište</t>
  </si>
  <si>
    <t xml:space="preserve">  1. Земљиште</t>
  </si>
  <si>
    <t>1. Land</t>
  </si>
  <si>
    <t>1. Земельные участки</t>
  </si>
  <si>
    <t>020, dio 029</t>
  </si>
  <si>
    <t>020, дио 029</t>
  </si>
  <si>
    <t>020, part 029</t>
  </si>
  <si>
    <t>020, часть 029</t>
  </si>
  <si>
    <t>2. Građevinski objekti</t>
  </si>
  <si>
    <t xml:space="preserve">  2. Грађевински објекти</t>
  </si>
  <si>
    <t>2. Buildings</t>
  </si>
  <si>
    <t>2. Строительные участки</t>
  </si>
  <si>
    <t>021, dio 029</t>
  </si>
  <si>
    <t>021, дио 029</t>
  </si>
  <si>
    <t>021, part 029</t>
  </si>
  <si>
    <t>021, часть 029</t>
  </si>
  <si>
    <t>3. Postrojenja i oprema</t>
  </si>
  <si>
    <t xml:space="preserve">  3. Постројења и опрема</t>
  </si>
  <si>
    <t>3. Plant and equipment</t>
  </si>
  <si>
    <t>3. Установки и оборудование</t>
  </si>
  <si>
    <t>022, dio 029</t>
  </si>
  <si>
    <t>022, дио 029</t>
  </si>
  <si>
    <t>022, part 029</t>
  </si>
  <si>
    <t>022, часть 029</t>
  </si>
  <si>
    <t>4. Ostale nekretnine, postrojenja i oprema</t>
  </si>
  <si>
    <t xml:space="preserve">  4. Остале некретнине, постројења и опрема</t>
  </si>
  <si>
    <t>4. Other real estates, plants and equipment</t>
  </si>
  <si>
    <t>4. Прочая недвижимость, установки и оборудование</t>
  </si>
  <si>
    <t>023, dio 029</t>
  </si>
  <si>
    <t>023, дио 029</t>
  </si>
  <si>
    <t>023, part 029</t>
  </si>
  <si>
    <t>023, часть 029</t>
  </si>
  <si>
    <t>5. Ulaganje na tuđim nekretninama, postrojenjima i opremi</t>
  </si>
  <si>
    <t xml:space="preserve">  5. Улагање на туђим некретнинама, постројењима и опреми</t>
  </si>
  <si>
    <t>5. Investment in real estates, plants and equipment not owned by the company</t>
  </si>
  <si>
    <t>5. Вложения в чужую недвижимость, установки и оборудование</t>
  </si>
  <si>
    <t>024, dio 029</t>
  </si>
  <si>
    <t>024, дио 029</t>
  </si>
  <si>
    <t>024, part 029</t>
  </si>
  <si>
    <t>024, часть 029</t>
  </si>
  <si>
    <t>6. Avansi i nekretnine, postrojenja i oprema u pripremi</t>
  </si>
  <si>
    <t xml:space="preserve">  6. Аванси и некретнине, постројења и опрема у припреми</t>
  </si>
  <si>
    <t>6. Advances (prepayments) and real estates, plant, equipment and investment property in preparation process</t>
  </si>
  <si>
    <t>6. Авансы и недвижимость, установки и оборудование на стадии подготовки</t>
  </si>
  <si>
    <t>025, 026, dio 029</t>
  </si>
  <si>
    <t>025, 026, дио 029</t>
  </si>
  <si>
    <t>025, 026, part 029</t>
  </si>
  <si>
    <t>025, 026, часть 029</t>
  </si>
  <si>
    <t>III INVESTICIONE NEKRETNINE</t>
  </si>
  <si>
    <t xml:space="preserve"> III ИНВЕСТИЦИОНЕ НЕКРЕТНИНЕ</t>
  </si>
  <si>
    <t>III REAL ESTATES INVESTMENT</t>
  </si>
  <si>
    <t>III ИНВЕСТИЦИОННАЯ НЕДВИЖИМОСТЬ</t>
  </si>
  <si>
    <t>03</t>
  </si>
  <si>
    <t xml:space="preserve">IV SREDSTVA UZETA U ZAKUP </t>
  </si>
  <si>
    <t xml:space="preserve"> IV СРЕДСТВА УЗЕТА У ЗАКУП </t>
  </si>
  <si>
    <t>IV LEASED ASSETS</t>
  </si>
  <si>
    <t>IV СРЕДСТВА, ВЗЯТЫЕ В АРЕНДУ</t>
  </si>
  <si>
    <t>04</t>
  </si>
  <si>
    <t>V BIOLOŠKA SREDSTVA   (018 do 021)</t>
  </si>
  <si>
    <t xml:space="preserve"> V БИОЛОШКА СРЕДСТВА   (018 до 021)</t>
  </si>
  <si>
    <t>V BIOLOGICAL ASSETS (018 to 021)</t>
  </si>
  <si>
    <t>V БИОЛОГИЧЕСКИЕ СРЕДСТВА   (018 до 021)</t>
  </si>
  <si>
    <t>05</t>
  </si>
  <si>
    <t>1. Šume</t>
  </si>
  <si>
    <t xml:space="preserve">  1. Шуме</t>
  </si>
  <si>
    <t>1. Forest</t>
  </si>
  <si>
    <t xml:space="preserve">1. Леса </t>
  </si>
  <si>
    <t>050, dio 059</t>
  </si>
  <si>
    <t>050, дио 059</t>
  </si>
  <si>
    <t>050, part 059</t>
  </si>
  <si>
    <t>050, часть 059</t>
  </si>
  <si>
    <t>2. Višegodišnji zasadi</t>
  </si>
  <si>
    <t xml:space="preserve">  2. Вишегодишњи засади</t>
  </si>
  <si>
    <t>2. Growing crops</t>
  </si>
  <si>
    <t>2. Многолетние насаждения</t>
  </si>
  <si>
    <t>051, dio 059</t>
  </si>
  <si>
    <t>051, дио 059</t>
  </si>
  <si>
    <t>051, part 059</t>
  </si>
  <si>
    <t>051, часть 059</t>
  </si>
  <si>
    <t>3. Osnovno stado i ostala biološka sredstva</t>
  </si>
  <si>
    <t xml:space="preserve">  3. Основно стадо и остала биолошка средства</t>
  </si>
  <si>
    <t>3. Live stock and other biological assets</t>
  </si>
  <si>
    <t>3. Основное стадо и прочие биологические  средства</t>
  </si>
  <si>
    <t>052, 053 dio 059</t>
  </si>
  <si>
    <t>052, 053, дио 059</t>
  </si>
  <si>
    <t>052, 053 part 059</t>
  </si>
  <si>
    <t>052, 053, часть 059</t>
  </si>
  <si>
    <t xml:space="preserve">4. Avansi i biološka sredstva u pripremi </t>
  </si>
  <si>
    <t xml:space="preserve">  4. Аванси и биолошка средства у припреми </t>
  </si>
  <si>
    <t>4. Advances (prepayments) and biological assets in preparation process</t>
  </si>
  <si>
    <t>4. Авансы и биологические средства на стадии подготовки</t>
  </si>
  <si>
    <t>055, 056 i dio 059</t>
  </si>
  <si>
    <t>055, 056 и дио 059</t>
  </si>
  <si>
    <t>055, 056 and part 059</t>
  </si>
  <si>
    <t>055, 056 и часть 059</t>
  </si>
  <si>
    <t>VI  DUGOROČNI FINANSIJSKI PLASMANI (023+024+025+030+033)</t>
  </si>
  <si>
    <t xml:space="preserve"> VI  ДУГОРОЧНИ ФИНАНСИЈСКИ ПЛАСМАНИ (023 + 024 + 025 + 030 + 033)</t>
  </si>
  <si>
    <t>VI LONG TERM FINANCIAL INVESTMENTS (023 + 024 + 025 + 030 +033)</t>
  </si>
  <si>
    <t>VI  ДОЛГОСРОЧНЫЕ ФИНАНСОВЫЕ РАЗМЕЩЕНИЯ (023 + 024 + 025 + 030 + 033)</t>
  </si>
  <si>
    <t>06</t>
  </si>
  <si>
    <t>1. Učešće u kapitalu zavisnih subjekata</t>
  </si>
  <si>
    <t xml:space="preserve">  1. Учешће у капиталу зависних субјеката</t>
  </si>
  <si>
    <t>1. Shares in related legal entities</t>
  </si>
  <si>
    <t>1. Участие в капитале зависимых субъектов</t>
  </si>
  <si>
    <t>060, dio 069</t>
  </si>
  <si>
    <t>060, дио 069</t>
  </si>
  <si>
    <t>060, part 069</t>
  </si>
  <si>
    <t>060, часть 069</t>
  </si>
  <si>
    <t>2. Učešće u kapitalu pridruženih subjekata i zajedničkih poduhvata</t>
  </si>
  <si>
    <t xml:space="preserve">  2. Учешће у капиталу придружених субјеката и заједничких подухвата</t>
  </si>
  <si>
    <t>2. Shares in associated entities and joint ventures</t>
  </si>
  <si>
    <t>2. Участие в капитале ассоциированных субъектов и совместных предприятий</t>
  </si>
  <si>
    <t>061, dio 069</t>
  </si>
  <si>
    <t>061, дио 069</t>
  </si>
  <si>
    <t>061, part 069</t>
  </si>
  <si>
    <t>061, часть 069</t>
  </si>
  <si>
    <t>3. Finansijska sredstva po amortizovanoj vrijednosti (026 do 029)</t>
  </si>
  <si>
    <t xml:space="preserve">  3. Финансијска средства по амортизованој вриједности (026 до 029)</t>
  </si>
  <si>
    <t>3. Financial assets at amortised value (026 to 029)</t>
  </si>
  <si>
    <t>3. Финансовые средства по амортизированной стоимости (026 до 029)</t>
  </si>
  <si>
    <t>dio 06</t>
  </si>
  <si>
    <t>дио 06</t>
  </si>
  <si>
    <t>part 06</t>
  </si>
  <si>
    <t>часть 06</t>
  </si>
  <si>
    <t>3.1. Dugoročni krediti povezanim pravnim licima</t>
  </si>
  <si>
    <t xml:space="preserve">   3.1. Дугорочни кредити повезаним правним лицима</t>
  </si>
  <si>
    <t>3.1. Long-term loans to related legal entities</t>
  </si>
  <si>
    <t>3.1. Долгосрочные кредиты аффилированным юридическим лицам</t>
  </si>
  <si>
    <t>062, dio 069</t>
  </si>
  <si>
    <t>062, дио 069</t>
  </si>
  <si>
    <t>062, part 069</t>
  </si>
  <si>
    <t>062, часть 069</t>
  </si>
  <si>
    <t>3.2. Dugoročni krediti u zemlji</t>
  </si>
  <si>
    <t xml:space="preserve">   3.2. Дугорочни кредити у земљи</t>
  </si>
  <si>
    <t>3.2. Domestic long-term loans</t>
  </si>
  <si>
    <t>3.2. Долгосрочные кредиты в стране</t>
  </si>
  <si>
    <t>063, dio 069</t>
  </si>
  <si>
    <t xml:space="preserve">063, дио 069 </t>
  </si>
  <si>
    <t>063, part 069</t>
  </si>
  <si>
    <t xml:space="preserve">063, часть 069 </t>
  </si>
  <si>
    <t>3.3. Dugoročni krediti u inostranstvu</t>
  </si>
  <si>
    <t xml:space="preserve">   3.3. Дугорочни кредити у иностранству</t>
  </si>
  <si>
    <t>3.3. Long-term loans abroad</t>
  </si>
  <si>
    <t>3.3. Долгосрочные кредиты за рубежом</t>
  </si>
  <si>
    <t>064, dio 069</t>
  </si>
  <si>
    <t>064, дио 069</t>
  </si>
  <si>
    <t>064, part 069</t>
  </si>
  <si>
    <t>064, часть 069</t>
  </si>
  <si>
    <t>3.4. Ostala finansijska sredstva po amortizovanoj vrijednosti</t>
  </si>
  <si>
    <t xml:space="preserve">   3.4. Остала финансијска средства по амортизованој вриједности</t>
  </si>
  <si>
    <t>3.4. Other financial assets at amortised value</t>
  </si>
  <si>
    <t>3.4. Прочие финансовые средства по амортизированной стоимости</t>
  </si>
  <si>
    <t>065, dio 069</t>
  </si>
  <si>
    <t>065, дио 069</t>
  </si>
  <si>
    <t>065, part 069</t>
  </si>
  <si>
    <t>065, часть 069</t>
  </si>
  <si>
    <t>4. Finansijska sredstva po fer vrijednosti kroz ostali ukupan rezultat (031+032)</t>
  </si>
  <si>
    <t xml:space="preserve">  4. Финансијска средства по фер вриједности кроз остали укупан резултат (031 + 032)</t>
  </si>
  <si>
    <t>4. Financial assets at fair value through other comprehensive income (031 + 032)</t>
  </si>
  <si>
    <t>4. Финансовые средства по справедливой стоимости через прочий совокупный результат (031 + 032)</t>
  </si>
  <si>
    <t>4.1. Vlasnički instrumenti</t>
  </si>
  <si>
    <t xml:space="preserve">   4.1. Власнички инструменти</t>
  </si>
  <si>
    <t>4.1. Equity instruments</t>
  </si>
  <si>
    <t>4.1. Долевые инструменты</t>
  </si>
  <si>
    <t>066, dio 069</t>
  </si>
  <si>
    <t>066, дио 069</t>
  </si>
  <si>
    <t>066, part 069</t>
  </si>
  <si>
    <t>066, часть 069</t>
  </si>
  <si>
    <t>4.2. Dužnički instrumenti</t>
  </si>
  <si>
    <t xml:space="preserve">   4.2. Дужнички инструменти</t>
  </si>
  <si>
    <t>4.2. Debt instruments</t>
  </si>
  <si>
    <t>4.2. Долговые инструменты</t>
  </si>
  <si>
    <t>067, dio 069</t>
  </si>
  <si>
    <t>067, дио 069</t>
  </si>
  <si>
    <t>067, part 069</t>
  </si>
  <si>
    <t>067, часть 069</t>
  </si>
  <si>
    <t>5. Potraživanja po finansijskom lizingu</t>
  </si>
  <si>
    <t xml:space="preserve">  5. Потраживања по финансијском лизингу</t>
  </si>
  <si>
    <t>5. Financial leasing receivables</t>
  </si>
  <si>
    <t>5. Дебиторская задолженность по финансовому лизингу</t>
  </si>
  <si>
    <t>068, dio 069</t>
  </si>
  <si>
    <t>068, дио 069</t>
  </si>
  <si>
    <t>068, part 069</t>
  </si>
  <si>
    <t>068, часть 069</t>
  </si>
  <si>
    <t>VII OSTALA DUGOROČNA SREDSTVA I RAZGRANIČENJA</t>
  </si>
  <si>
    <t>VII ОСТАЛА ДУГОРОЧНА СРЕДСТВА И РАЗГРАНИЧЕЊА</t>
  </si>
  <si>
    <t>VII OTHER LONG-TERM ASSETS AND DEFERRED INCOME</t>
  </si>
  <si>
    <t>VII ПРОЧИЕ ДОЛГОСРОЧНЫЕ СРЕДСТВА И РАЗГРАНИЧЕНИЯ</t>
  </si>
  <si>
    <t>07 i 08</t>
  </si>
  <si>
    <t>07 и 08</t>
  </si>
  <si>
    <t>07 and 08</t>
  </si>
  <si>
    <t>B. ODLOŽENA PORESKA SREDSTVA</t>
  </si>
  <si>
    <t>Б. ОДЛОЖЕНА ПОРЕСКА СРЕДСТВА</t>
  </si>
  <si>
    <t>B  POSTPONED TAX FUNDS</t>
  </si>
  <si>
    <t>Б. ОТЛОЖЕННЫЕ НАЛОГОВЫЕ  СРЕДСТВА</t>
  </si>
  <si>
    <t>090</t>
  </si>
  <si>
    <t>V. TEKUĆA SREDSTVA (037+044)</t>
  </si>
  <si>
    <t>В. ТЕКУЋА СРЕДСТВА (037 + 044)</t>
  </si>
  <si>
    <t>C. CURRENT ASSETS (037 + 044)</t>
  </si>
  <si>
    <t>В. ТЕКУЩИЕ СРЕДСТВА (037 + 044)</t>
  </si>
  <si>
    <t>I   ZALIHE, STALNA SREDSTVA NAMIJENJENA PRODAJI I SREDSTVA POSLOVANJA KOJE SE OBUSTAVLJA (038 do 043)</t>
  </si>
  <si>
    <t xml:space="preserve"> I   ЗАЛИХЕ, СТАЛНА СРЕДСТВА НАМИЈЕЊЕНА ПРОДАЈИ И СРЕДСТВА ПОСЛОВАЊА КОЈЕ СЕ ОБУСТАВЉА (038 до 043)</t>
  </si>
  <si>
    <t>I INVENTORIES, FIXED ASSETS AVAILABLE FOR SALE AND ASSETS OF DISCONTINUED OPERATIONS (038 to 043)</t>
  </si>
  <si>
    <t>I   ЗАПАСЫ, ВНЕОБОРОТНЫЕ СРЕДСТВА, ПРЕДНАЗНАЧЕННЫЕ ДЛЯ ПРОДАЖИ, И СРЕДСТВА ПРЕКРАЩАЕМОЙ ДЕЯТЕЛЬНОСТИ (038 до 043)</t>
  </si>
  <si>
    <t>10 do 15</t>
  </si>
  <si>
    <t>10 до 15</t>
  </si>
  <si>
    <t>10 to 15</t>
  </si>
  <si>
    <t>1. Zalihe materijala</t>
  </si>
  <si>
    <t xml:space="preserve">  1. Залихе материјала</t>
  </si>
  <si>
    <t>1. Inventory of materials</t>
  </si>
  <si>
    <t>1. Запасы материалов</t>
  </si>
  <si>
    <t>100 do 109</t>
  </si>
  <si>
    <t>100 до 109</t>
  </si>
  <si>
    <t>100 to 109</t>
  </si>
  <si>
    <t>2. Zalihe nedovršene proizvodnje, poluproizvoda i nedovršenih usluga</t>
  </si>
  <si>
    <t xml:space="preserve">  2. Залихе недовршене производње, полупроизвода и недовршених услуга</t>
  </si>
  <si>
    <t>2. Inventories of work in progress, unfinished products and services</t>
  </si>
  <si>
    <t>2. Запасы незавершенного производства, полуфабрикатов и незавершенных услуг</t>
  </si>
  <si>
    <t>110 do 119</t>
  </si>
  <si>
    <t>110 до 119</t>
  </si>
  <si>
    <t>110 to 119</t>
  </si>
  <si>
    <t>3. Zalihe gotovih proizvoda</t>
  </si>
  <si>
    <t xml:space="preserve">  3. Залихе готових производа</t>
  </si>
  <si>
    <t>3. Inventory of finished products</t>
  </si>
  <si>
    <t>3. Запасы готовой продукции</t>
  </si>
  <si>
    <t>120 do 129</t>
  </si>
  <si>
    <t>120 до 129</t>
  </si>
  <si>
    <t>120 to 129</t>
  </si>
  <si>
    <t>4. Zalihe robe</t>
  </si>
  <si>
    <t xml:space="preserve">  4. Залихе робе</t>
  </si>
  <si>
    <t>4. Inventory of merchandise goods</t>
  </si>
  <si>
    <t>4. Запасы товаров</t>
  </si>
  <si>
    <t>130 do 139</t>
  </si>
  <si>
    <t>130 до 139</t>
  </si>
  <si>
    <t>130 to 139</t>
  </si>
  <si>
    <t>5. Stalna sredstva namijenjena prodaji i sredstva poslovanja koje se obustavlja</t>
  </si>
  <si>
    <t xml:space="preserve">  5. Стална средства намијењена продаји и средства пословања које се обуставља </t>
  </si>
  <si>
    <t>5. Fixed assets and assests of discontinued operations available for sale</t>
  </si>
  <si>
    <t>5. Внеоборотные средства, предназначенные для продажи, и средства прекращаемой деятельности</t>
  </si>
  <si>
    <t>140 do 149</t>
  </si>
  <si>
    <t>140 до 149</t>
  </si>
  <si>
    <t>140 to 149</t>
  </si>
  <si>
    <t>6. Dati avansi</t>
  </si>
  <si>
    <t xml:space="preserve">  6. Дати аванси</t>
  </si>
  <si>
    <t>6. Advances paid (prepayments)</t>
  </si>
  <si>
    <t>6. Выданные авансы</t>
  </si>
  <si>
    <t>150 do 159</t>
  </si>
  <si>
    <t>150 до 159</t>
  </si>
  <si>
    <t>150 to 159</t>
  </si>
  <si>
    <t>II  KRATKOROČNA SREDSTVA IZUZEV ZALIHA I STALNIH SREDSTAVA NAMIJENJENIH PRODAJI (045+052+061+064+065)</t>
  </si>
  <si>
    <t xml:space="preserve"> II  КРАТКОРОЧНА СРЕДСТВА ИЗУЗЕВ ЗАЛИХА И СТАЛНИХ СРЕДСТАВА НАМИЈЕЊЕНИХ ПРОДАЈИ (045 + 052 + 061 + 064 + 065)</t>
  </si>
  <si>
    <t>II CURRENT ASSETS EXCLUDING INVENTORIES AND FIXED ASSETS FOR SALE (045 + 052 + 061 + 064 + 065)</t>
  </si>
  <si>
    <t>II  КРАТКОСРОЧНЫЕ СРЕДСТВА, КРОМЕ ЗАПАСОВ И ВНЕОБОРОТНЫХ  СРЕДСТВ, ПРЕДНАЗНАЧЕННЫХ ДЛЯ ПРОДАЖИ (045 + 052 + 061 + 064 + 065)</t>
  </si>
  <si>
    <t>1. Kratkoročna potraživanja (046 do 051)</t>
  </si>
  <si>
    <t xml:space="preserve">  1. Краткорочна потраживања  (046 до 051)</t>
  </si>
  <si>
    <t>1. Short-term receivables (046 to 051)</t>
  </si>
  <si>
    <t>1. Краткосрочная дебиторская задолженность  (046 до 051)</t>
  </si>
  <si>
    <t>1.1. Kupci - povezana pravna lica</t>
  </si>
  <si>
    <t>1.1. Купци – повезана правна лица</t>
  </si>
  <si>
    <t>1.1. Customers - related legal entities</t>
  </si>
  <si>
    <t>1.1. Покупатели – аффилированные юридические лица</t>
  </si>
  <si>
    <t>200, dio 209</t>
  </si>
  <si>
    <t>200, дио 209</t>
  </si>
  <si>
    <t>200, part 209</t>
  </si>
  <si>
    <t>200, часть 209</t>
  </si>
  <si>
    <t>1.2. Kupci u zemlji</t>
  </si>
  <si>
    <t>1.2. Купци у земљи</t>
  </si>
  <si>
    <t>1.2. Domestic customers</t>
  </si>
  <si>
    <t>1.2. Покупатели в стране</t>
  </si>
  <si>
    <t>201, 202, 203, dio 209</t>
  </si>
  <si>
    <t>201,202, 203, дио 209</t>
  </si>
  <si>
    <t>201, 202, 203, part 209</t>
  </si>
  <si>
    <t>201,202, 203, часть 209</t>
  </si>
  <si>
    <t>1.3. Kupci iz inostranstva</t>
  </si>
  <si>
    <t>1.3. Купци из иностранства</t>
  </si>
  <si>
    <t>1.3. Foreign customers</t>
  </si>
  <si>
    <t>1.3. Покупатели за рубежом</t>
  </si>
  <si>
    <t>204, dio 209</t>
  </si>
  <si>
    <t>204, дио 209</t>
  </si>
  <si>
    <t>204, part 209</t>
  </si>
  <si>
    <t>204, часть 209</t>
  </si>
  <si>
    <t>1.4.Potraživanja iz specifičnih poslova</t>
  </si>
  <si>
    <t>1.4. Потраживања из специфичних послова</t>
  </si>
  <si>
    <t>1.4. Receivables from specific operations</t>
  </si>
  <si>
    <t>1.4. Дебиторская задолженность в рамках  специфической деятельности</t>
  </si>
  <si>
    <t>grupa 21, osim 214</t>
  </si>
  <si>
    <t>група 21 осим 214</t>
  </si>
  <si>
    <t>group 21, except 214</t>
  </si>
  <si>
    <t>группа 21, кроме 214</t>
  </si>
  <si>
    <t>1.5. Ostala kratkoročna potraživanja</t>
  </si>
  <si>
    <t>1.5. Остала краткорочна потраживања</t>
  </si>
  <si>
    <t>1.5. Other short-term receivables</t>
  </si>
  <si>
    <t>1.5.Прочая краткосрочная дебиторская задолженность</t>
  </si>
  <si>
    <t>grupa 22, osim 224</t>
  </si>
  <si>
    <t>група 22, осим 224</t>
  </si>
  <si>
    <t>group 22, except 224</t>
  </si>
  <si>
    <t>группа 22, кроме 224</t>
  </si>
  <si>
    <t>1.6. Potraživanja za više plaćen porez na dobit</t>
  </si>
  <si>
    <t>1.6. Потраживања за више плаћен порез на добит</t>
  </si>
  <si>
    <t>1.6. Receivables for overpaid income tax</t>
  </si>
  <si>
    <t>1.6. Дебиторская задолженность по излишне уплаченному налогу на прибыль</t>
  </si>
  <si>
    <t>2. Kratkoročni finansijski plasmani ( 053 + 058 + 059 + 060)</t>
  </si>
  <si>
    <t>2. Краткорочни финансијски пласмани  (053 + 058 + 059 + 060)</t>
  </si>
  <si>
    <t>2. Short-term financial investments ( 053 + 058 + 059 + 060)</t>
  </si>
  <si>
    <t>2. Краткосрочные финансовые размещения  (053 + 058 + 059 + 060)</t>
  </si>
  <si>
    <t>2.1. Finansijska sredstva po amortizovanoj vrijednosti (054 do 057)</t>
  </si>
  <si>
    <t>2.1  Финансијска средства по амортизованој вриједности (054 до 057)</t>
  </si>
  <si>
    <t>2.1. Financial assets at amortised value (054 to 057)</t>
  </si>
  <si>
    <t>2.1 Финансовые средства по амортизированной стоимости (054 до 057)</t>
  </si>
  <si>
    <t>a) Kratkoročni krediti povezanim pravnim licima</t>
  </si>
  <si>
    <t>а) Краткорочни кредити повезаним правним лицима</t>
  </si>
  <si>
    <t>a) Short-term loans to related legal entities</t>
  </si>
  <si>
    <t>а) Краткосрочные кредиты аффилированным юридическим лицам</t>
  </si>
  <si>
    <t>230, dio 238</t>
  </si>
  <si>
    <t>230, дио 238</t>
  </si>
  <si>
    <t>230, part 238</t>
  </si>
  <si>
    <t>230, часть 238</t>
  </si>
  <si>
    <t>b) Kratkoročni krediti u zemlji</t>
  </si>
  <si>
    <t>б) Краткорочни кредити у земљи</t>
  </si>
  <si>
    <t>b) Domestic short-term loans</t>
  </si>
  <si>
    <t>б) Краткосрочные кредиты в стране</t>
  </si>
  <si>
    <t>231, dio 238</t>
  </si>
  <si>
    <t>231, дио 238</t>
  </si>
  <si>
    <t>231, part 238</t>
  </si>
  <si>
    <t>231, часть 238</t>
  </si>
  <si>
    <t>c) Kratkoročni krediti u inostranstvu</t>
  </si>
  <si>
    <t>в) Краткорочни кредити у иностранству</t>
  </si>
  <si>
    <t>c) Short-term loans abroad</t>
  </si>
  <si>
    <t>в) Краткосрочные кредиты за рубежом</t>
  </si>
  <si>
    <t>232, dio 238</t>
  </si>
  <si>
    <t>232, дио 238</t>
  </si>
  <si>
    <t>232, part 238</t>
  </si>
  <si>
    <t>232, часть 238</t>
  </si>
  <si>
    <t>d) Ostala finansijska sredstva po amortizovanoj vrijednosti</t>
  </si>
  <si>
    <t>г) Остала финансијска средства по амортизованој вриједности</t>
  </si>
  <si>
    <t>d) Other financial assets at amortised value</t>
  </si>
  <si>
    <t>г) Прочие финансовые средства по амортизированной стоимости</t>
  </si>
  <si>
    <t>233, dio 238</t>
  </si>
  <si>
    <t>233, дио 238</t>
  </si>
  <si>
    <t>233, part 238</t>
  </si>
  <si>
    <t>233, часть 238</t>
  </si>
  <si>
    <t>2.2. Finansijska sredstva po fer vrijednosti kroz bilans uspjeha</t>
  </si>
  <si>
    <t xml:space="preserve">2.2. Финансијска средства по фер вриједности кроз биланс успјеха </t>
  </si>
  <si>
    <t>2.2. Financial assets at fair value through profit and loss</t>
  </si>
  <si>
    <t>2.2. Финансовые средства по справедливой стоимости через отчет о прибылях и убытках</t>
  </si>
  <si>
    <t>235 i 236</t>
  </si>
  <si>
    <t>235 и 236</t>
  </si>
  <si>
    <t>235 and 236</t>
  </si>
  <si>
    <t>2.3. Potraživanje po finansijskom lizingu</t>
  </si>
  <si>
    <t>2.3 Потраживања по финансијском лизингу</t>
  </si>
  <si>
    <t>2.3. Financial leasing receivables</t>
  </si>
  <si>
    <t>2.3  Дебиторская задолженность по финансовому лизингу</t>
  </si>
  <si>
    <t>234, 239</t>
  </si>
  <si>
    <t>2.4. Derivatna finansijska sredstva</t>
  </si>
  <si>
    <t>2.4  Дериватна финансијска средства</t>
  </si>
  <si>
    <t>2.4. Derivative financial assets</t>
  </si>
  <si>
    <t>2.4 Производные финансовые средства</t>
  </si>
  <si>
    <t>3. Gotovinski ekvivalenti i gotovina (062 + 063)</t>
  </si>
  <si>
    <t>3. Готовински еквиваленти и готовина (062 + 063)</t>
  </si>
  <si>
    <t>3. Cash equivalents and cash (062 + 063)</t>
  </si>
  <si>
    <t>3. Денежные средства и их эквиваленты (062 + 063)</t>
  </si>
  <si>
    <t xml:space="preserve">3.1. Gotovinski ekvivalenti </t>
  </si>
  <si>
    <t xml:space="preserve">3.1 Готовински еквиваленти </t>
  </si>
  <si>
    <t>3.1. Cash equivalents</t>
  </si>
  <si>
    <t>3.1 Эквиваленты денежных средств</t>
  </si>
  <si>
    <t>240, dio 249</t>
  </si>
  <si>
    <t>240, дио 249</t>
  </si>
  <si>
    <t>240, part 249</t>
  </si>
  <si>
    <t>240, часть 249</t>
  </si>
  <si>
    <t>3.2. Gotovina</t>
  </si>
  <si>
    <t>3.2 Готовина</t>
  </si>
  <si>
    <t>3.2. Cash</t>
  </si>
  <si>
    <t>3.2  Денежные средства</t>
  </si>
  <si>
    <t>241 do 249</t>
  </si>
  <si>
    <t>241 до 249</t>
  </si>
  <si>
    <t>241 to 249</t>
  </si>
  <si>
    <t>4. Porez na dodatu vrijednost</t>
  </si>
  <si>
    <t xml:space="preserve"> 4. Порез на додату вриједност</t>
  </si>
  <si>
    <t>4. Value added tax</t>
  </si>
  <si>
    <t>4. Налог на добавленную стоимость</t>
  </si>
  <si>
    <t>270 do 279</t>
  </si>
  <si>
    <t>270 од 279</t>
  </si>
  <si>
    <t>270 to 279</t>
  </si>
  <si>
    <t>270 до 279</t>
  </si>
  <si>
    <t>5. Kratkoročna  razgraničenja</t>
  </si>
  <si>
    <t>5. Краткорочна разграничења</t>
  </si>
  <si>
    <t>5. Short-term accruals</t>
  </si>
  <si>
    <t>5. Краткосрочные разграничения</t>
  </si>
  <si>
    <t>280 do 289</t>
  </si>
  <si>
    <t>280 до 289</t>
  </si>
  <si>
    <t>280 to 289</t>
  </si>
  <si>
    <t>G. BILANSNA AKTIVA (001 + 035 + 036)</t>
  </si>
  <si>
    <t xml:space="preserve"> Г. БИЛАНСНА АКТИВА  (001 + 035 + 036)</t>
  </si>
  <si>
    <t>G. BALANCE SHEET ASSETS (001 + 035+ 036)</t>
  </si>
  <si>
    <t>Г. БАЛАНСОВЫЕ АКТИВЫ  (001 + 035 + 036)</t>
  </si>
  <si>
    <t>D. VANBILANSNA AKTIVA</t>
  </si>
  <si>
    <t xml:space="preserve"> Д. ВАНБИЛАНСНА АКТИВА</t>
  </si>
  <si>
    <t>D. OFF BALANCE SHEET ASSETS</t>
  </si>
  <si>
    <t>Д. ЗАБАЛАНСОВЫЕ АКТИВЫ</t>
  </si>
  <si>
    <t>880 do 888</t>
  </si>
  <si>
    <t>880 до 888</t>
  </si>
  <si>
    <t>880 to 888</t>
  </si>
  <si>
    <t>BSp</t>
  </si>
  <si>
    <t>BILANSNA PASIVA
A. KAPITAL  (102 -110 + 113 - 114 + 115 + 119 + 122 - 123 + 124 - 128 + 131)</t>
  </si>
  <si>
    <t>БИЛАНСНА ПАСИВА
А. КАПИТАЛ  (102 -110 + 113 - 114 + 115 + 119 + 122 - 123 + 124 - 128 + 131)</t>
  </si>
  <si>
    <t>EQUITY AND LIABILITIES
A. CAPITAL (102 - 109 + 110 - 111 + 112 + 116 + 117 - 118 + 119 - 123)</t>
  </si>
  <si>
    <t>БАЛАНСОВЫЕ ПАССИВЫ   
А. КАПИТАЛ (102 – 110 + 113 – 114 + 115 + 119 + 122 – 123 + 124 – 128 + 131)</t>
  </si>
  <si>
    <t>I OSNOVNI KAPITAL (103 + 106 + 107 + 108 + 109)</t>
  </si>
  <si>
    <t>I ОСНОВНИ КАПИТАЛ (103 + 106 + 107 + 108 + 109)</t>
  </si>
  <si>
    <t>I SHARE CAPITAL (103 + 106 + 107 + 108 + 109)</t>
  </si>
  <si>
    <t>I  ОСНОВНОЙ КАПИТАЛ (103+106+107+108+109)</t>
  </si>
  <si>
    <t>30</t>
  </si>
  <si>
    <t>1. Akcijski kapital (104 + 105)</t>
  </si>
  <si>
    <t>1. Акцијски капитал (104 + 105)</t>
  </si>
  <si>
    <t>1. Share capital (104+105)</t>
  </si>
  <si>
    <t>1. Акционерный капитал (104+105)</t>
  </si>
  <si>
    <t xml:space="preserve">1.1. Akcijski kapital - obične akcije </t>
  </si>
  <si>
    <t xml:space="preserve">1.1. Акцијски капитал - обичне акције </t>
  </si>
  <si>
    <t>1.1. Share capital - common shares</t>
  </si>
  <si>
    <t>1.1 Акционерный капитал-обыкновенные акции</t>
  </si>
  <si>
    <t>1.2. Akcijski kapital – povlašćene (prioritetne) akcije</t>
  </si>
  <si>
    <t>1.2. Акцијски капитал – повлашћене (приоритетне) акције</t>
  </si>
  <si>
    <t>1.2. Share capital - preferred shares</t>
  </si>
  <si>
    <t>1.2 Акционерный капитал –привилегированные (приоритетные) акции</t>
  </si>
  <si>
    <t>2. Udjeli društva sa ograničenom odgovornošću</t>
  </si>
  <si>
    <t>2. Удјели друштва са ограниченом одговорношћу</t>
  </si>
  <si>
    <t>2. Shares in limited liability company</t>
  </si>
  <si>
    <t>2. Доли общества с ограниченной ответственностью</t>
  </si>
  <si>
    <t>3. Ulozi</t>
  </si>
  <si>
    <t>3. Улози</t>
  </si>
  <si>
    <t>3. Stakes</t>
  </si>
  <si>
    <t>3. Доли</t>
  </si>
  <si>
    <t>4. Državni kapital</t>
  </si>
  <si>
    <t>4. Државни капитал</t>
  </si>
  <si>
    <t>4. State-owned capital</t>
  </si>
  <si>
    <t>4. Государственный капитал</t>
  </si>
  <si>
    <t>5. Ostali osnovni kapital</t>
  </si>
  <si>
    <t>5. Остали основни капитал</t>
  </si>
  <si>
    <t>5. Other share capital</t>
  </si>
  <si>
    <t>5. Прочий основной капитал</t>
  </si>
  <si>
    <t>309</t>
  </si>
  <si>
    <t>II OTKUPLJENE SOPSTVENE AKCIJE I UPISANI NEUPLAĆENI KAPITAL (111 + 112)</t>
  </si>
  <si>
    <t>II ОТКУПЉЕНЕ СОПСТВЕНЕ АКЦИЈЕ И УПИСАНИ НЕУПЛАЋЕНИ КАПИТАЛ (111 + 112)</t>
  </si>
  <si>
    <t>II OWNED SHARES AND SUBSCRIBED CAPITAL UNPAID (111 + 112)</t>
  </si>
  <si>
    <t>II  ВЫКУПЛЕННЫЕ СОБСТВЕННЫЕ АКЦИИ И ЗАРЕГИСТРИРОВАННЫЙ НЕОПЛАЧЕННЫЙ КАПИТАЛ (111+112)</t>
  </si>
  <si>
    <t xml:space="preserve">1. Otkupljene sopstvene akcije i udjeli </t>
  </si>
  <si>
    <t xml:space="preserve">1. Откупљене сопствене акције и удјели </t>
  </si>
  <si>
    <t>1. Repurchased owned shares</t>
  </si>
  <si>
    <t>1. Выкупленные собственные акции и доли</t>
  </si>
  <si>
    <t>2. Upisani neuplaćeni kapital</t>
  </si>
  <si>
    <t>2. Уписани неуплаћени капитал</t>
  </si>
  <si>
    <t>2. Subscribed capital unpaid</t>
  </si>
  <si>
    <t>2. Зарегистрированный неоплаченный  капитал</t>
  </si>
  <si>
    <t>III EMISIONA PREMIJA</t>
  </si>
  <si>
    <t>III ЕМИСИОНА ПРЕМИЈА</t>
  </si>
  <si>
    <t xml:space="preserve">III  ISSUANCE PREMIUM </t>
  </si>
  <si>
    <t>III  ЭМИССИОННАЯ ПРЕМИЯ</t>
  </si>
  <si>
    <t>IV EMISIONI GUBITAK</t>
  </si>
  <si>
    <t>IV ЕМИСИОНИ ГУБИТАК</t>
  </si>
  <si>
    <t>IV  ISSUANCE LOSS</t>
  </si>
  <si>
    <t>IV ЭМИССИОННЫЙ УБЫТОК</t>
  </si>
  <si>
    <t>V REZERVE (116 do 118)</t>
  </si>
  <si>
    <t>V РЕЗЕРВЕ (116 do 118)</t>
  </si>
  <si>
    <t>V RESERVES (116 to 118)</t>
  </si>
  <si>
    <t xml:space="preserve">V  РЕЗЕРВЫ (116 до 118) </t>
  </si>
  <si>
    <t>dio 32</t>
  </si>
  <si>
    <t>дио 32</t>
  </si>
  <si>
    <t>part 32</t>
  </si>
  <si>
    <t>часть 32</t>
  </si>
  <si>
    <t>1. Zakonske rezerve</t>
  </si>
  <si>
    <t>1. Законске резерве</t>
  </si>
  <si>
    <t>1. Legal reserves</t>
  </si>
  <si>
    <t>1. Законные резервы</t>
  </si>
  <si>
    <t>2. Statutarne rezerve</t>
  </si>
  <si>
    <t>2. Статутарне резерве</t>
  </si>
  <si>
    <t>2. Statutory reserves</t>
  </si>
  <si>
    <t>2. Уставные резервы</t>
  </si>
  <si>
    <t>3. Ostale rezerve</t>
  </si>
  <si>
    <t>3. Остале резерве</t>
  </si>
  <si>
    <t>3. Other reserves</t>
  </si>
  <si>
    <t>3. Прочие резервы</t>
  </si>
  <si>
    <t xml:space="preserve"> VI REVALORIZACIONE REZERVE (120 + 121)</t>
  </si>
  <si>
    <t xml:space="preserve"> VI РЕВАЛОРИЗАЦИОНЕ РЕЗЕРВЕ (120 + 121)</t>
  </si>
  <si>
    <t>VI REVALUATION RESERVES (120 + 121)</t>
  </si>
  <si>
    <t>VI РЕЗЕРВЫ ПЕРЕОЦЕНКИ (120 + 121)</t>
  </si>
  <si>
    <t>dio 33</t>
  </si>
  <si>
    <t>дио 33</t>
  </si>
  <si>
    <t>part 33</t>
  </si>
  <si>
    <t>часть 33</t>
  </si>
  <si>
    <t>1. Revalorizacione rezerve za nekretnine, postrojenja, opremu i nematerijalna sredstva</t>
  </si>
  <si>
    <t>1. Ревалоризационе резерве за некретнине, постројења, опрему и нематеријална средства</t>
  </si>
  <si>
    <t>1. Revaluation reserves for real estates, plant, equipment and intangible assets</t>
  </si>
  <si>
    <t>1. Переоценочные резервы на недвижимость, установки, оборудование и нематериальные средства</t>
  </si>
  <si>
    <t>2. Ostale revalorizacione rezerve</t>
  </si>
  <si>
    <t>2. Остале ревалоризационе резерве</t>
  </si>
  <si>
    <t>2. Other revaluation reserves</t>
  </si>
  <si>
    <t>2. Прочие переоценочные резервы</t>
  </si>
  <si>
    <t>331 i 334</t>
  </si>
  <si>
    <t>331 и 334</t>
  </si>
  <si>
    <t>331 and 334</t>
  </si>
  <si>
    <t>VII POZITIVNI EFEKTI VREDNOVANJA FINANSIJSKIH SREDSTAVA KOJA SE VREDNUJU PO FER VRIJEDNOSTI KROZ OSTALI UKUPNI REZULTAT</t>
  </si>
  <si>
    <t>VII ПОЗИТИВНИ ЕФЕКТИ ВРЕДНОВАЊА ФИНАНСИЈСКИХ СРЕДСТАВА КОЈА СЕ ВРЕДНУЈУ ПО ФЕР ВРИЈЕДНОСТИ КРОЗ ОСТАЛИ УКУПНИ РЕЗУЛТАТ</t>
  </si>
  <si>
    <t>VII POSITIVE EFFECTS OF FINANCIAL ASSETS HELD AT THE FAIR VALUE THROUGH OTHER COMPREHENSIVE INCOME</t>
  </si>
  <si>
    <t>VII  ПОЛОЖИТЕЛЬНЫЕ ЭФФЕКТЫ ОЦЕНКИ ФИНАНСОВЫХ СРЕДСТВ, ОЦЕНИВАЕМЫХ ПО СПРАВЕДЛИВОЙ СТОИМОСТИ ЧЕРЕЗ ПРОЧИЙ СОВОКУПНЫЙ РЕЗУЛЬТАТ</t>
  </si>
  <si>
    <t>VIII NEGATIVNI EFEKTI VREDNOVANJA FINANSIJSKIH SREDSTAVA KOJA SE VREDNUJU PO FER VRIJEDNOSTI KROZ OSTALI UKUPNI REZULTAT</t>
  </si>
  <si>
    <t>VIII НЕГАТИВНИ ЕФЕКТИ ВРЕДНОВАЊА ФИНАНСИЈСКИХ СРЕДСТАВА КОЈА СЕ ВРЕДНУЈУ ПО ФЕР ВРИЈЕДНОСТИ КРОЗ ОСТАЛИ УКУПНИ РЕЗУЛТАТ</t>
  </si>
  <si>
    <t>VIII NEGATIVE EFFECTS OF FINANCIAL ASSETS HELD AT THE FAIR VALUE THROUGH OTHER COMPREHENSIVE INCOME</t>
  </si>
  <si>
    <t>VIII ОТРИЦАТЕЛЬНЫЕ ЭФФЕКТЫ ОЦЕНКИ ФИНАНСОВЫХ СРЕДСТВ, ОЦЕНИВАЕМЫХ ПО СПРАВЕДЛИВОЙ СТОИМОСТИ ЧЕРЕЗ ПРОЧИЙ СОВОКУПНЫЙ РЕЗУЛЬТАТ</t>
  </si>
  <si>
    <t>IX  NERASPOREĐENA DOBIT (125 do 127)</t>
  </si>
  <si>
    <t>IX НЕРАСПОРЕЂЕНА ДОБИТ (125 до 127)</t>
  </si>
  <si>
    <t>IX RETAINED EARNINGS (125 to 127)</t>
  </si>
  <si>
    <t>IX  НЕРАСПРЕДЕЛЕННАЯ ПРИБЫЛЬ (125 до 127)</t>
  </si>
  <si>
    <t>1. Neraspoređena dobit ranijih godina / Neraspoređeni višak prihoda nad rashodima ranijih godina</t>
  </si>
  <si>
    <t>1. Нераспоређена добит ранијих година / Нераспоређени вишак прихода над расходима ранијих година</t>
  </si>
  <si>
    <t>1. Profit from previous years</t>
  </si>
  <si>
    <t>1. Нераспределенная прибыль прошлых лет / Нераспределенная сумма превышения доходов над расходами прошлых лет</t>
  </si>
  <si>
    <t>340 ili 342</t>
  </si>
  <si>
    <t>340 или 342</t>
  </si>
  <si>
    <t>340 or 342</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</si>
  <si>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</si>
  <si>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</si>
  <si>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2.  Profit for the financial year</t>
  </si>
  <si>
    <t>2. Нераспределенная прибыль текущего года/ Нераспределенная сумма превышения доходов над расходами текущего года</t>
  </si>
  <si>
    <t>341 ili 343</t>
  </si>
  <si>
    <t>341 или 343</t>
  </si>
  <si>
    <t>341 or 343</t>
  </si>
  <si>
    <t>3. Neto prihod od samostalne djelatnosti</t>
  </si>
  <si>
    <t>3. Нето приход од самосталне дјелатности</t>
  </si>
  <si>
    <t>3.  Net income of enterpreneurs</t>
  </si>
  <si>
    <t>3. Нетто доход от самостоятельной деятельности</t>
  </si>
  <si>
    <t xml:space="preserve">X GUBITAK (129 + 130)  </t>
  </si>
  <si>
    <t xml:space="preserve">X ГУБИТАК (129 + 130)  </t>
  </si>
  <si>
    <t>X LOSS (129 + 130)</t>
  </si>
  <si>
    <t>X УБЫТОК (129 + 130)</t>
  </si>
  <si>
    <t>35</t>
  </si>
  <si>
    <t>1. Gubitak ranijih godina / Višak rashoda nad prihodima ranijih godina</t>
  </si>
  <si>
    <t>1. Губитак ранијих година / Вишак расхода над приходима ранијих година</t>
  </si>
  <si>
    <t>1. Loss of previous year</t>
  </si>
  <si>
    <t>1. Убыток прошлых лет / Превышение  расходов над доходами прошлых лет</t>
  </si>
  <si>
    <t>350 ili 352</t>
  </si>
  <si>
    <t>350 или 352</t>
  </si>
  <si>
    <t>350 or 352</t>
  </si>
  <si>
    <t>2. Gubitak tekuće godine / Višak rashoda nad prihodima tekuće godine</t>
  </si>
  <si>
    <t>2. Губитак текуће године / Вишак расхода над приходима текуће године</t>
  </si>
  <si>
    <t>1. Loss of current year</t>
  </si>
  <si>
    <t>2. Убыток текущего года /Превышение расходов над доходами текущего года</t>
  </si>
  <si>
    <t>351 ili 353</t>
  </si>
  <si>
    <t>351 или 353</t>
  </si>
  <si>
    <t>351 or 353</t>
  </si>
  <si>
    <t>XI UČEŠĆA BEZ PRAVA KONTROLE</t>
  </si>
  <si>
    <t>XI УЧЕШЋА БЕЗ ПРАВА КОНТРОЛЕ</t>
  </si>
  <si>
    <t>XI STAKES WITHOUT THE CONTROL RIGHT</t>
  </si>
  <si>
    <t>XI УЧАСТИЯ БЕЗ ПРАВА КОНТРОЛЯ</t>
  </si>
  <si>
    <t>B. DUGOROČNA REZERVISANJA I DUGOROČNE OBAVEZE (133 + 137 + 145)</t>
  </si>
  <si>
    <t>Б. ДУГОРОЧНА РЕЗЕРВИСАЊА И ДУГОРОЧНЕ ОБАВЕЗЕ (133 + 137 + 145)</t>
  </si>
  <si>
    <t>B. LONG-TERM PROVISIONS AND LIABILITIES (133 + 137 + 145)</t>
  </si>
  <si>
    <t>Б. ДОЛГОСРОЧНЫЕ РЕЗЕРВЫ И ДОЛГОСРОЧНЫЕ ОБЯЗАТЕЛЬСТВА (133 + 137 + 145)</t>
  </si>
  <si>
    <t>I DUGOROČNA REZERVISANJA (134 do 136)</t>
  </si>
  <si>
    <t>I ДУГОРОЧНА РЕЗЕРВИСАЊА (134 до 136)</t>
  </si>
  <si>
    <t>I LONG-TERM PROVISIONS (134 to 136)</t>
  </si>
  <si>
    <t>I ДОЛГОСРОЧНЫЕ РЕЗЕРВЫ (134 до 136)</t>
  </si>
  <si>
    <t>dio 40</t>
  </si>
  <si>
    <t>дио 40</t>
  </si>
  <si>
    <t>part 40</t>
  </si>
  <si>
    <t>часть 40</t>
  </si>
  <si>
    <t>1. Rezervisanja za troškove u garantnom roku</t>
  </si>
  <si>
    <t>1. Резервисања за трошкове у гарантном року</t>
  </si>
  <si>
    <t>1. For expenses in warranty period</t>
  </si>
  <si>
    <t>1. Резервы на расходы в гарантийный период</t>
  </si>
  <si>
    <t>2. Rezervisanja za naknade i beneficije zaposlenih</t>
  </si>
  <si>
    <t>2. Резервисања за накнаде и бенефиције запослених</t>
  </si>
  <si>
    <t>2. For employees wages and benefits</t>
  </si>
  <si>
    <t>2. Резервы на компенсации и льготы работников</t>
  </si>
  <si>
    <t>3. Ostala dugoročna rezervisanja</t>
  </si>
  <si>
    <t>3. Остала дугорочна резервисања</t>
  </si>
  <si>
    <t>3. Other long-term provisions</t>
  </si>
  <si>
    <t>3. Прочие долгосрочные резервы</t>
  </si>
  <si>
    <t>401, 402, 403, dio 409</t>
  </si>
  <si>
    <t>401, 402, 403, дио 409</t>
  </si>
  <si>
    <t>401, 402, 403, part 409</t>
  </si>
  <si>
    <t>401, 402, 403, часть 409</t>
  </si>
  <si>
    <t>II DUGOROČNE OBAVEZE (138 do 144)</t>
  </si>
  <si>
    <t>II ДУГОРОЧНЕ ОБАВЕЗЕ (138 до 144)</t>
  </si>
  <si>
    <t>II LONG-TERM LIABILITIES (138 to 144)</t>
  </si>
  <si>
    <t>II ДОЛГОСРОЧНЫЕ ОБЯЗАТЕЛЬСТВА (138 до 144)</t>
  </si>
  <si>
    <t>1. Obaveze prema povezanim pravnim licima</t>
  </si>
  <si>
    <t>1. Обавезе према повезаним правним лицима</t>
  </si>
  <si>
    <t>1. Liabilities toward related legal entities</t>
  </si>
  <si>
    <t>1.  Обязательства перед аффилированными юридическими лицами</t>
  </si>
  <si>
    <t>2. Dugoročni krediti u zemlji</t>
  </si>
  <si>
    <t>2. Дугорочни кредити у земљи</t>
  </si>
  <si>
    <t>2. Domestic long-term debt (borrowings)</t>
  </si>
  <si>
    <t>2.  Долгосрочные кредиты в стране</t>
  </si>
  <si>
    <t>3. Dugoročni krediti u inostranstvu</t>
  </si>
  <si>
    <t>3. Дугорочни кредити у иностранству</t>
  </si>
  <si>
    <t>3. Long-term debt (borrowings) abroad</t>
  </si>
  <si>
    <t>3.  Долгосрочные кредиты за рубежом</t>
  </si>
  <si>
    <t>4. Obaveze po emitovanim dužničkim instrumentima</t>
  </si>
  <si>
    <t>4. Обавезе по емитованим дужничким инструментима</t>
  </si>
  <si>
    <t>4. Long- term securities payable</t>
  </si>
  <si>
    <t>4. Обязательства по выпущенным долговым инструментам</t>
  </si>
  <si>
    <t>5. Dugoročne obaveze po lizingu</t>
  </si>
  <si>
    <t>5. Дугорочне обавезе по лизингу</t>
  </si>
  <si>
    <t>5. Long-term liabilities from financial leasing</t>
  </si>
  <si>
    <t>5. Долгосрочные обязательства по лизингу</t>
  </si>
  <si>
    <t>415, 416</t>
  </si>
  <si>
    <t>6. Ostale dugoročne finansijske obaveze po amortizovanoj vrijednosti</t>
  </si>
  <si>
    <t>6. Остале дугорочне финансијске обавезе по амортизованој вриједности</t>
  </si>
  <si>
    <t>6. Other long-term liabilities at amortised value</t>
  </si>
  <si>
    <t>6. Прочие долгосрочные финансовые обязательства по амортизированной стоимости</t>
  </si>
  <si>
    <t>418</t>
  </si>
  <si>
    <t>7. Ostale dugoročne obaveze, uključujući razgraničenja</t>
  </si>
  <si>
    <t>7. Остале дугорочне обавезе, укључујући разграничења</t>
  </si>
  <si>
    <t>7. Other long-term liabilities, including accruals</t>
  </si>
  <si>
    <t>7.  Прочие долгосрочные обязательства, включая разграничения</t>
  </si>
  <si>
    <t>dio 409, 410, 419</t>
  </si>
  <si>
    <t>дио 409, 410, 419</t>
  </si>
  <si>
    <t>part 409, 410, 419</t>
  </si>
  <si>
    <t>часть 409, 410, 419</t>
  </si>
  <si>
    <t>III RAZGRANIČENI PRIHODI I PRIMLJENE DONACIJE</t>
  </si>
  <si>
    <t>III РАЗГРАНИЧЕНИ ПРИХОДИ И ПРИМЉЕНЕ ДОНАЦИЈЕ</t>
  </si>
  <si>
    <t>III ACCURED REVENUES AND RECEIVED DONATIONS</t>
  </si>
  <si>
    <t>III. РАЗГРАНИЧЕННЫЕ ДОХОДЫ И  ПОЛУЧЕННЫЕ ДОТАЦИИ</t>
  </si>
  <si>
    <t xml:space="preserve">V. ODLOŽENE PORESKE OBAVEZE </t>
  </si>
  <si>
    <t xml:space="preserve">В. ОДЛОЖЕНЕ ПОРЕСКЕ ОБАВЕЗЕ </t>
  </si>
  <si>
    <t>C. DEFERRED TAX LIABILITIES</t>
  </si>
  <si>
    <t>В. ОТЛОЖЕННЫЕ НАЛОГОВЫЕ ОБЯЗАТЕЛЬСТВА</t>
  </si>
  <si>
    <t xml:space="preserve"> G. KRATKOROČNE OBAVEZE I KRATKOROČNA REZERVISANJA(148 + 155 + 161 + 162 + 163 + 164 + 165 + 166 + 167 + 168)</t>
  </si>
  <si>
    <t xml:space="preserve"> Г. КРАТКОРОЧНE ОБАВЕЗЕ И КРАТКОРОЧНА РЕЗЕРВИСАЊА(148 + 155 + 161 + 162 + 163 + 164 + 165 + 166 + 167 + 168)</t>
  </si>
  <si>
    <t>II - SHORT-TERM LIABILITIES AND PROVISIONS (148 + 155 + 161 + 162 + 163 + 164 + 165 + 166 + 167 + 168)</t>
  </si>
  <si>
    <t>Г. КРАТКОСРОЧНЫE ОБЯЗАТЕЛЬСТВА И КРАТКОСРОЧНЫЕ РЕЗЕРВЫ (148 + 155 + 161 + 162 + 163 + 164 + 165 + 166 + 167 + 168)</t>
  </si>
  <si>
    <t>42 do 49</t>
  </si>
  <si>
    <t>42 до 49</t>
  </si>
  <si>
    <t>42 to 49</t>
  </si>
  <si>
    <t>1. Kratkoročne finansijske obaveze (149 do 154)</t>
  </si>
  <si>
    <t>1. Краткорочне финансијске обавезе (149 до 154)</t>
  </si>
  <si>
    <t>1. Short-term financial liabilities (149 to 154)</t>
  </si>
  <si>
    <t>1. Краткосрочные финансовые обязательства (149 до 154)</t>
  </si>
  <si>
    <t>1.1. Kratkoročne finansijske obaveze prema povezanim pravnim licima</t>
  </si>
  <si>
    <t>1.1. Краткорочне финансијске обавезе према повезаним правним лицима</t>
  </si>
  <si>
    <t>1.1. Short-term liabilities toward related legal entities</t>
  </si>
  <si>
    <t>1.1. Краткосрочные финансовые обязательства перед аффилированными  юридическими лицами</t>
  </si>
  <si>
    <t>1.2. Kratkoročni krediti i obaveze po emitovanim kratkoročnim hartijama od vrijednosti</t>
  </si>
  <si>
    <t>1.2. Краткорочни кредити и обавезе по емитованим краткорочним хартијама од вриједности</t>
  </si>
  <si>
    <t>1.2. Short-term borrowings and liabilities from short-term securities</t>
  </si>
  <si>
    <t>1.2. Краткосрочные кредиты и обязательства по выпущенным краткосрочным ценным бумагам</t>
  </si>
  <si>
    <t>421 do 424</t>
  </si>
  <si>
    <t>421 до 424</t>
  </si>
  <si>
    <t>421 to 424</t>
  </si>
  <si>
    <t>1.3. Kratkoročne obaveze po lizingu</t>
  </si>
  <si>
    <t>1.3. Краткорочне обавезе по лизингу</t>
  </si>
  <si>
    <t>1.3. Short-term liabilities from financial leasing</t>
  </si>
  <si>
    <t xml:space="preserve">1.3. Краткосрочные обязательтва по лизингу </t>
  </si>
  <si>
    <t>425 i 426</t>
  </si>
  <si>
    <t>425 и 426</t>
  </si>
  <si>
    <t>425 and 426</t>
  </si>
  <si>
    <t>1.4. Kratkoročne obaveze po fer vrijednosti kroz bilans uspjeha</t>
  </si>
  <si>
    <t>1.4. Краткорочне обавезе по фер вриједности кроз биланс успјеха</t>
  </si>
  <si>
    <t>1.4. Short-term liabilities at fair value through profit and loss</t>
  </si>
  <si>
    <t>1.4. Краткосрочные обязательства по справедливой стоимости через отчет о прибылях и убытках</t>
  </si>
  <si>
    <t>1.5. Derivatne finansijske obaveze</t>
  </si>
  <si>
    <t>1.5. Дериватне финансијске обавезе</t>
  </si>
  <si>
    <t>1.5. Derivative financial liabilities</t>
  </si>
  <si>
    <t>1.5. Производные финансовые обязательства</t>
  </si>
  <si>
    <t>1.6. Ostale obaveze po amortizovanoj vrijednosti</t>
  </si>
  <si>
    <t>1.6. Остале обавезе по амортизованој вриједности</t>
  </si>
  <si>
    <t>1.6. Other short-term financial liabilities at amortised value</t>
  </si>
  <si>
    <t>1.6. Прочие обязательства по амортизированной стоимости</t>
  </si>
  <si>
    <t>2. Obaveze iz poslovanja (156 do 160)</t>
  </si>
  <si>
    <t>2. Обавезе из пословања (156 до 160)</t>
  </si>
  <si>
    <t>2. Operating liabilities (156 to 160)</t>
  </si>
  <si>
    <t>2. Обязательства в рамках деятельности (156 до 160)</t>
  </si>
  <si>
    <t>2.1. Primljeni avansi, depoziti i kaucije</t>
  </si>
  <si>
    <t>2.1. Примљени аванси, депозити и кауције</t>
  </si>
  <si>
    <t>2.1. Prepayments, deposits and bails received</t>
  </si>
  <si>
    <t>2.1.  Полученные авансы, депозиты и залоги</t>
  </si>
  <si>
    <t>430 i 436</t>
  </si>
  <si>
    <t>430 и 436</t>
  </si>
  <si>
    <t>430 and 436</t>
  </si>
  <si>
    <t>2.2. Dobavljači – povezana pravna lica</t>
  </si>
  <si>
    <t>2.2. Добављачи – повезана правна лица</t>
  </si>
  <si>
    <t>2.2. Suppliers-related legal entities</t>
  </si>
  <si>
    <t>2.2.  Поставщики – аффилированные юридические лица</t>
  </si>
  <si>
    <t>2.3. Dobavljači u zemlji</t>
  </si>
  <si>
    <t>2.3. Добављачи у земљи</t>
  </si>
  <si>
    <t>2.3. Domestic suppliers</t>
  </si>
  <si>
    <t>2.3.   Поставщики в стране</t>
  </si>
  <si>
    <t>432, 433, 434</t>
  </si>
  <si>
    <t>2.4. Dobavljači iz inostranstva</t>
  </si>
  <si>
    <t>2.4. Добављачи из иностранства</t>
  </si>
  <si>
    <t>2.4. Foreign suppliers</t>
  </si>
  <si>
    <t>2.4. Поставщики за рубежом</t>
  </si>
  <si>
    <t>2.5. Ostale obaveze iz poslovanja</t>
  </si>
  <si>
    <t>2.5. Остале обавезе из пословања</t>
  </si>
  <si>
    <t>2.5. Other operating liabilities</t>
  </si>
  <si>
    <t>2.5. Прочие обязательства в рамках деятельности</t>
  </si>
  <si>
    <t>437, 439</t>
  </si>
  <si>
    <t xml:space="preserve">437, 439 </t>
  </si>
  <si>
    <t>3. Obaveze iz specifičnih poslova</t>
  </si>
  <si>
    <t>3. Обавезе из специфичних послова</t>
  </si>
  <si>
    <t>3. Liabilities from specific operations</t>
  </si>
  <si>
    <t>3. Обязательства в рамках специфической деятельности</t>
  </si>
  <si>
    <t>440 do 449</t>
  </si>
  <si>
    <t>440 до 449</t>
  </si>
  <si>
    <t>440 to 449</t>
  </si>
  <si>
    <t>4. Obaveze za plate i naknade plata</t>
  </si>
  <si>
    <t>4. Обавезе за плате и накнаде плата</t>
  </si>
  <si>
    <t>4. Wages (salaries) and salaries (salaries compensations) payable</t>
  </si>
  <si>
    <t>4. Обязательства по заработным платам и компенсациям заработных плат</t>
  </si>
  <si>
    <t>450 do 458</t>
  </si>
  <si>
    <t>450 до 458</t>
  </si>
  <si>
    <t>450 to 458</t>
  </si>
  <si>
    <t>5. Ostale obaveze</t>
  </si>
  <si>
    <t>5. Остале обавезе</t>
  </si>
  <si>
    <t>5. Other liabilities</t>
  </si>
  <si>
    <t>5. Прочие обязательства</t>
  </si>
  <si>
    <t>460 do 469</t>
  </si>
  <si>
    <t>460 до 469</t>
  </si>
  <si>
    <t>460 to 469</t>
  </si>
  <si>
    <t>6. Porez na dodatu vrijednost</t>
  </si>
  <si>
    <t>6. Порез на додату вриједност</t>
  </si>
  <si>
    <t>6. Value added tax</t>
  </si>
  <si>
    <t>6. Налог на добавленную стоимость</t>
  </si>
  <si>
    <t>470 do 479</t>
  </si>
  <si>
    <t>470 до 479</t>
  </si>
  <si>
    <t>470 to 479</t>
  </si>
  <si>
    <t>7. Obaveze za ostale poreze, doprinose i druge dažbine</t>
  </si>
  <si>
    <t>7. Обавезе за остале порезе, доприносе и друге дажбине</t>
  </si>
  <si>
    <t>7. Other taxes, contributions and other fees payable</t>
  </si>
  <si>
    <t>7. Обязательства по прочим налогам, взносам и иным платежам</t>
  </si>
  <si>
    <t>48, osim 481</t>
  </si>
  <si>
    <t>48, осим 481</t>
  </si>
  <si>
    <t>48, except 481</t>
  </si>
  <si>
    <t>48, кроме 481</t>
  </si>
  <si>
    <t>8. Obaveze za porez na dobit</t>
  </si>
  <si>
    <t>8. Обавезе за порез на добит</t>
  </si>
  <si>
    <t>8. Profit tax liabilities</t>
  </si>
  <si>
    <t>8. Обязательства по налогу на прибыль</t>
  </si>
  <si>
    <t>9. Kratkoročna razgraničenja</t>
  </si>
  <si>
    <t>9. Краткорочна разграничења</t>
  </si>
  <si>
    <t>9. Short-term accruals</t>
  </si>
  <si>
    <t>9. Краткосрочные разграничения</t>
  </si>
  <si>
    <t>49, osim 496</t>
  </si>
  <si>
    <t>49, осим 496</t>
  </si>
  <si>
    <t>49, except 496</t>
  </si>
  <si>
    <t>49, кроме 496</t>
  </si>
  <si>
    <t>10. Kratkoročna rezervisanja</t>
  </si>
  <si>
    <t>10. Краткорочна резервисања</t>
  </si>
  <si>
    <t>10. Short-term provisions</t>
  </si>
  <si>
    <t>10. Краткосрочные резервы</t>
  </si>
  <si>
    <t>D. BILANSNA PASIVA (101 + 132 + 146 + 147)</t>
  </si>
  <si>
    <t>Д. БИЛАНСНА ПАСИВА (101 + 132 + 146 + 147)</t>
  </si>
  <si>
    <t>D. BALANCE SHEET EQUITY AND LIABILITIES(101 + 132 + 146 + 147)</t>
  </si>
  <si>
    <t>Д. БАЛАНСОВЫЕ ПАССИВЫ (101 + 132 + 146 + 147)</t>
  </si>
  <si>
    <t>Đ. VANBILANSNA PASIVA</t>
  </si>
  <si>
    <t>Ђ. ВАНБИЛАНСНА ПАСИВА</t>
  </si>
  <si>
    <t>E. OFF BALANCE SHEET EQUITY AND LIABILITIES</t>
  </si>
  <si>
    <t>Ђ. ЗАБАЛАНСОВЫЕ ПАССИВЫ</t>
  </si>
  <si>
    <t>890 do 898</t>
  </si>
  <si>
    <t>890 до 898</t>
  </si>
  <si>
    <t>890 to 898</t>
  </si>
  <si>
    <t>A. POSLOVNI PRIHODI I RASHODI
I POSLOVNI PRIHODI 
(202 + 206 + 210 + 214 – 215 + 216 – 217 + 218)</t>
  </si>
  <si>
    <t>А. ПОСЛОВНИ ПРИХОДИ И РАСХОДИ
I ПОСЛОВНИ ПРИХОДИ
(202 + 206 + 210 + 214 – 215 + 216 – 217 + 218)</t>
  </si>
  <si>
    <t>A. OPERATING INCOME AND EXPENSES I OPERATING INCOME (202 + 206 + 210 + 214 - 215 + 216 - 217 + 218)</t>
  </si>
  <si>
    <t>А. ДОХОДЫ И РАСХОДЫ В РАМКАХ ДЕЯТЕЛЬНОСТИ                                            
I   ДОХОДЫ ОТ ДЕЯТЕЛЬНОСТИ  (202 + 206 + 210 + 214 – 215 + 216 – 217 + 218)</t>
  </si>
  <si>
    <t>1. Prihodi od prodaje robe (203 do 205)</t>
  </si>
  <si>
    <t>1. Приходи од продаје робе (203 до 205)</t>
  </si>
  <si>
    <t>1. Income from sales of merchandise goods (203 to 205)</t>
  </si>
  <si>
    <t>1. Доходы от продажи товаров (203 до 205)</t>
  </si>
  <si>
    <t>a) Prihodi od prodaje robe povezanim pravnim licima</t>
  </si>
  <si>
    <t>а) Приходи од продаје робе повезаним правним лицима</t>
  </si>
  <si>
    <t>a) Income from sale of merchandise goods to related legal entities</t>
  </si>
  <si>
    <t>а) Доходы от продажи товаров аффилированным юридическим лицам</t>
  </si>
  <si>
    <t>600, dio 605</t>
  </si>
  <si>
    <t>600, дио 605</t>
  </si>
  <si>
    <t>600, part 605</t>
  </si>
  <si>
    <t>600, часть 605</t>
  </si>
  <si>
    <t>b) Prihodi od prodaje robe na domaćem tržištu</t>
  </si>
  <si>
    <t>б) Приходи од продаје робе на домаћем тржишту</t>
  </si>
  <si>
    <t>b) Income from sale of merchandise goods on domestic market</t>
  </si>
  <si>
    <t>б) Доходы от продажи товаров на внутреннем рынке</t>
  </si>
  <si>
    <t>601, 602, 603,dio 605</t>
  </si>
  <si>
    <t>601, 602, 603,дио 605</t>
  </si>
  <si>
    <t>601, 602, 603, part 605</t>
  </si>
  <si>
    <t>601, 602, 603, часть 605</t>
  </si>
  <si>
    <t>c) Prihodi od prodaje robe na inostranom tržištu</t>
  </si>
  <si>
    <t>в) Приходи од продаје робе на иностраном тржишту</t>
  </si>
  <si>
    <t>c) Income from sale of merchandise goods on foreign market</t>
  </si>
  <si>
    <t>в) Доходы от продажи товаров на иностранном рынке</t>
  </si>
  <si>
    <t>604, dio 605</t>
  </si>
  <si>
    <t>604, дио 605</t>
  </si>
  <si>
    <t>604, part 605</t>
  </si>
  <si>
    <t>604, часть 605</t>
  </si>
  <si>
    <t>2. Prihodi od prodaje proizvoda (207 do 209)</t>
  </si>
  <si>
    <t>2. Приходи од продаје производа (207 до 209)</t>
  </si>
  <si>
    <t>2. Income from sale of products (207 to 209)</t>
  </si>
  <si>
    <t>2.  Доходы от продажи продукции (207 до 209)</t>
  </si>
  <si>
    <t>61</t>
  </si>
  <si>
    <t>a) Prihodi od prodaje proizvoda povezanim pravnim licima</t>
  </si>
  <si>
    <t>а) Приходи од продаје производа повезаним правним лицима</t>
  </si>
  <si>
    <t>a) Income from sale of products to related legal entities</t>
  </si>
  <si>
    <t>а) Доходы от продажи продукции аффилированным юридическим лицам</t>
  </si>
  <si>
    <t>610, dio 615</t>
  </si>
  <si>
    <t>610, дио 615</t>
  </si>
  <si>
    <t>610, partо 615</t>
  </si>
  <si>
    <t>610, часть 615</t>
  </si>
  <si>
    <t>b) Prihodi od prodaje proizvoda na domaćem tržištu</t>
  </si>
  <si>
    <t>б) Приходи од продаје производа на домаћем тржишту</t>
  </si>
  <si>
    <t>b) Income from sale of products on domestic market</t>
  </si>
  <si>
    <t>б) Доходы от продажи продукции на внутреннем рынке</t>
  </si>
  <si>
    <t>611, 612, 613, dio 615</t>
  </si>
  <si>
    <t>611, 612, 613, дио 615</t>
  </si>
  <si>
    <t>611, 612, 613, part 615</t>
  </si>
  <si>
    <t>611, 612, 613, часть 615</t>
  </si>
  <si>
    <t>c) Prihodi od prodaje proizvoda na inostranom tržištu</t>
  </si>
  <si>
    <t>в) Приходи од продаје производа на иностраном тржишту</t>
  </si>
  <si>
    <t>c) Income from sale of products on foreign market</t>
  </si>
  <si>
    <t>в) Доходы от продажи продукции на иностранном рынке</t>
  </si>
  <si>
    <t>614, dio 615</t>
  </si>
  <si>
    <t>614, дио 615</t>
  </si>
  <si>
    <t>614, part 615</t>
  </si>
  <si>
    <t>614, часть 615</t>
  </si>
  <si>
    <t xml:space="preserve"> 3. Prihodi od pruženih usluga (211 do 213)</t>
  </si>
  <si>
    <t xml:space="preserve"> 3. Приходи од пружених услуга (211 до 213)</t>
  </si>
  <si>
    <t>3. Income from services (2011 to 213)</t>
  </si>
  <si>
    <t>3.   Доходы от оказанных услуг (211 до 213)</t>
  </si>
  <si>
    <t>62</t>
  </si>
  <si>
    <t>a) Prihodi od pruženih usluga povezanim licima</t>
  </si>
  <si>
    <t>а) Приходи од пружених услуга повезаним лицима</t>
  </si>
  <si>
    <t>a) Income from services to related entities</t>
  </si>
  <si>
    <t>а) Доходы от услуг, оказанных аффилированным юридическим лицам</t>
  </si>
  <si>
    <t>620, dio 625</t>
  </si>
  <si>
    <t>620, дио 625</t>
  </si>
  <si>
    <t>620, part 625</t>
  </si>
  <si>
    <t>620, часть 625</t>
  </si>
  <si>
    <t>b) Prihodi od pruženih usluga na domaćem tržištu</t>
  </si>
  <si>
    <t>б) Приходи од пружених услуга на домаћем тржишту</t>
  </si>
  <si>
    <t>b) Income from services on domestic market</t>
  </si>
  <si>
    <t>б) Доходы от услуг, оказанных на внутреннем рынке</t>
  </si>
  <si>
    <t>621, 622, 623, dio 625</t>
  </si>
  <si>
    <t>621, 622, 623, дио 625</t>
  </si>
  <si>
    <t>621, 622, 623, part 625</t>
  </si>
  <si>
    <t>621, 622, 623, часть 625</t>
  </si>
  <si>
    <t>c) Prihodi od pruženih usluga na inostranom tržištu</t>
  </si>
  <si>
    <t>в) Приходи од пружених услуга на иностраном тржишту</t>
  </si>
  <si>
    <t>c) Income from services on foreign market</t>
  </si>
  <si>
    <t>в) Доходы от услуг, оказанных на иностранном рынке</t>
  </si>
  <si>
    <t>624, dio 625</t>
  </si>
  <si>
    <t>624, дио 625</t>
  </si>
  <si>
    <t>624, part 625</t>
  </si>
  <si>
    <t>624, часть 625</t>
  </si>
  <si>
    <t>4. Povećanje vrijednosti zaliha učinaka</t>
  </si>
  <si>
    <t>4. Повећање вриједности залиха учинака</t>
  </si>
  <si>
    <t>4. Increase of value of products in stock</t>
  </si>
  <si>
    <t>4. Увеличение стоимости запасов готовой продукции</t>
  </si>
  <si>
    <t>630</t>
  </si>
  <si>
    <t>5. Smanjenje vrijednosti zaliha učinaka</t>
  </si>
  <si>
    <t>5. Смањење вриједности залиха учинака</t>
  </si>
  <si>
    <t>5. Decrease of value of products in stock</t>
  </si>
  <si>
    <t>5. Уменьшение стоимости запасов готовой продукции</t>
  </si>
  <si>
    <t>631</t>
  </si>
  <si>
    <t>6. Povećanje vrijednosti investicionih nekretnina i bioloških sredstava koja se ne amortizuju</t>
  </si>
  <si>
    <t>6. Повећање вриједности инвестиционих некретнина и биолошких средстава која се не амортизују</t>
  </si>
  <si>
    <t>6. Increase of the value of investment real estates and biological assets that are not subject to depreciation</t>
  </si>
  <si>
    <t>6. Увеличение стоимости  инвестиционной недвижимости и биологических средств, которые не амортизируются</t>
  </si>
  <si>
    <t>640 i 641</t>
  </si>
  <si>
    <t>640 и 641</t>
  </si>
  <si>
    <t>640 and 641</t>
  </si>
  <si>
    <t>7.  Smanjenje vrijednosti investicionih nekretnina i bioloških sredstava koja se ne amortizuju</t>
  </si>
  <si>
    <t>7. Смањење вриједности инвестиционих некретнина и биолошких средстава која се не амортизују</t>
  </si>
  <si>
    <t>7. Decrease of the value of investment real estates and biological assets that are not subject to depreciation</t>
  </si>
  <si>
    <t>7. Уменьшение стоимости  инвестиционной недвижимости и биологических средств, которые не амортизируются</t>
  </si>
  <si>
    <t>642 i 643</t>
  </si>
  <si>
    <t>642 и 643</t>
  </si>
  <si>
    <t>642 and 643</t>
  </si>
  <si>
    <t>8. Ostali poslovni prihodi</t>
  </si>
  <si>
    <t>8. Остали пословни приходи</t>
  </si>
  <si>
    <t>8. Other operating income</t>
  </si>
  <si>
    <t>8. Прочие доходы от деятельности</t>
  </si>
  <si>
    <t>650 do 659</t>
  </si>
  <si>
    <t>650 до 659</t>
  </si>
  <si>
    <t>650 to 659</t>
  </si>
  <si>
    <t>II  POSLOVNI RASHODI  (220 + 221 + 222 + 223 + 226 + 227 + 234 + 235 + 236)</t>
  </si>
  <si>
    <t>II  ПОСЛОВНИ РАСХОДИ  (220 + 221 + 222 + 223 + 226 + 227 + 234 + 235 + 236)</t>
  </si>
  <si>
    <t>II OPERATING EXPENSES (220 + 221 + 222 + 223 + 226 + 227 + 234 + 235 + 236)</t>
  </si>
  <si>
    <t>II  РАСХОДЫ В РАМКАХ ДЕЯТЕЛЬНОСТИ  (220 + 221 + 222 + 223 + 226 + 227 + 234 + 235 + 236)</t>
  </si>
  <si>
    <t>1. Nabavna vrijednost prodate robe</t>
  </si>
  <si>
    <t>1. Набавна вриједност продате робе</t>
  </si>
  <si>
    <t>1. Merchandise goods sold at cost</t>
  </si>
  <si>
    <t>1.  Закупочная стоимость проданных товаров</t>
  </si>
  <si>
    <t>500 do 502</t>
  </si>
  <si>
    <t>500 до 502</t>
  </si>
  <si>
    <t>500 to 502</t>
  </si>
  <si>
    <t>2. Troškovi materijala</t>
  </si>
  <si>
    <t>2. Трошкови материјала</t>
  </si>
  <si>
    <t>2. Materials expenses</t>
  </si>
  <si>
    <t>2.  Расходы на материалы</t>
  </si>
  <si>
    <t>510 do 512</t>
  </si>
  <si>
    <t>510 до 512</t>
  </si>
  <si>
    <t>510 to 512</t>
  </si>
  <si>
    <t>3. Troškovi goriva i energije</t>
  </si>
  <si>
    <t>3. Трошкови горива и енергије</t>
  </si>
  <si>
    <t>3. Fuel and energy expenses</t>
  </si>
  <si>
    <t>3.  Расходы на топливо и энергию</t>
  </si>
  <si>
    <t>513</t>
  </si>
  <si>
    <t>4. Troškovi plata, naknada plata i ostalih ličnih primanja (224 + 225)</t>
  </si>
  <si>
    <t>4. Трошкови плата, накнада плата и осталих личних примања (224 + 225)</t>
  </si>
  <si>
    <t>4. Wages, salaries and other employee benefits expenses (224 + 225)</t>
  </si>
  <si>
    <t>4.  Расходы на заработные платы, компенсации заработных плат и прочие личные доходы (224 + 225)</t>
  </si>
  <si>
    <t>52</t>
  </si>
  <si>
    <t>a) Troškovi bruto plata i bruto naknada plata</t>
  </si>
  <si>
    <t>а) Трошкови бруто плата и бруто накнада плата</t>
  </si>
  <si>
    <t>a) Gross wages and gross salaries</t>
  </si>
  <si>
    <t>а) Расходы на брутто заработные платы и брутто компенсации заработных плат</t>
  </si>
  <si>
    <t>520 i 523</t>
  </si>
  <si>
    <t>520 и 523</t>
  </si>
  <si>
    <t>520 and 523</t>
  </si>
  <si>
    <t>b) Troškovi ostalih ličnih primanja</t>
  </si>
  <si>
    <t>б) Трошкови осталих личних примања</t>
  </si>
  <si>
    <t>b) Other employee expenses</t>
  </si>
  <si>
    <t>б) Расходы на прочие личные доходы</t>
  </si>
  <si>
    <t>524 do 529</t>
  </si>
  <si>
    <t>524 до 529</t>
  </si>
  <si>
    <t>524 to 529</t>
  </si>
  <si>
    <t>5. Troškovi proizvodnih usluga</t>
  </si>
  <si>
    <t>5. Трошкови производних услуга</t>
  </si>
  <si>
    <t>5. Services expense</t>
  </si>
  <si>
    <t>5.  Расходы производственных услуг</t>
  </si>
  <si>
    <t>530 do 539</t>
  </si>
  <si>
    <t>530 до 539</t>
  </si>
  <si>
    <t>530 to 539</t>
  </si>
  <si>
    <t>6. Troškovi amortizacije i rezervisanja (228 + 233)</t>
  </si>
  <si>
    <t>6. Трошкови амортизације и резервисања (228 + 233)</t>
  </si>
  <si>
    <t>6. Depreciation and provisions expenses (224 + 225)</t>
  </si>
  <si>
    <t>6.  Расходы по амортизации и резервам (228 + 233)</t>
  </si>
  <si>
    <t>54</t>
  </si>
  <si>
    <t>6.1 Troškovi amortizacije (229 do 232)</t>
  </si>
  <si>
    <t>6.1 Трошкови амортизације (229 до 232)</t>
  </si>
  <si>
    <t>6.1 Depreciation (229 to 232)</t>
  </si>
  <si>
    <t>6.1 Расходы по амортизации (229 до 232)</t>
  </si>
  <si>
    <t>540</t>
  </si>
  <si>
    <t>a) Amortizacija nekretnina, postrojenja i opreme</t>
  </si>
  <si>
    <t>а) Амортизација некретнина, постројења и опреме</t>
  </si>
  <si>
    <t>a) Depreciation of real estates, plants and equipment</t>
  </si>
  <si>
    <t>а) Амортизация недвижимости, установок и оборудования</t>
  </si>
  <si>
    <t>dio 540</t>
  </si>
  <si>
    <t>дио 540</t>
  </si>
  <si>
    <t>part 540</t>
  </si>
  <si>
    <t>часть 540</t>
  </si>
  <si>
    <t>b) Amortizacija investicionih nekretnina</t>
  </si>
  <si>
    <t>б) Амортизација инвестиционих некретнина</t>
  </si>
  <si>
    <t>b) Depreciation of investment real estates</t>
  </si>
  <si>
    <t>б) Амортизация инвестиционной недвижимости</t>
  </si>
  <si>
    <t>c) Amortizacija sredstava uzetih u zakup</t>
  </si>
  <si>
    <t>в) Амортизација средстава узетих у закуп</t>
  </si>
  <si>
    <t>c) Depreciation of leased assets</t>
  </si>
  <si>
    <t>в) Амортизация средств, взятых в аренду</t>
  </si>
  <si>
    <t>d) Amortizacija ostalih sredstava</t>
  </si>
  <si>
    <t>г) Амортизација осталих средстава</t>
  </si>
  <si>
    <t>d) Depreciation of other assets</t>
  </si>
  <si>
    <t>г) Амортизация прочих средств</t>
  </si>
  <si>
    <t>6.2 Troškovi rezervisanja</t>
  </si>
  <si>
    <t>6.2 Трошкови резервисања</t>
  </si>
  <si>
    <t>6.2 Provisions expenses</t>
  </si>
  <si>
    <t>6.2 Расходы по резервам</t>
  </si>
  <si>
    <t>541</t>
  </si>
  <si>
    <t>7. Nematerijalni troškovi (bez poreza i doprinosa)</t>
  </si>
  <si>
    <t>7. Нематеријални трошкови (без пореза и доприноса)</t>
  </si>
  <si>
    <t>7. Immaterial expense (excluding taxes and contribution)</t>
  </si>
  <si>
    <t>7.  Нематериальные расходы  (без налогов и взносов)</t>
  </si>
  <si>
    <t>55 osim 555 i 556</t>
  </si>
  <si>
    <t>55 осим 555 и 556</t>
  </si>
  <si>
    <t>56 except 555 и 556</t>
  </si>
  <si>
    <t>55, кроме 555 и 556</t>
  </si>
  <si>
    <t>8. Troškovi poreza</t>
  </si>
  <si>
    <t>8. Трошкови пореза</t>
  </si>
  <si>
    <t>8. Tax expense</t>
  </si>
  <si>
    <t>8.  Расходы по налогу</t>
  </si>
  <si>
    <t>555</t>
  </si>
  <si>
    <t>9. Troškovi doprinosa</t>
  </si>
  <si>
    <t>9. Трошкови доприноса</t>
  </si>
  <si>
    <t>9. Contribution expense</t>
  </si>
  <si>
    <t>9.  Расходы на взносы</t>
  </si>
  <si>
    <t>556</t>
  </si>
  <si>
    <t>B.  POSLOVNI DOBITAK (201 – 219)</t>
  </si>
  <si>
    <t>Б.  ПОСЛОВНИ ДОБИТАК (201 – 219)</t>
  </si>
  <si>
    <t>B. OPERATING INCOME (201 - 219)</t>
  </si>
  <si>
    <t>Б.  ПРИБЫЛЬ ОТ ДЕЯТЕЛЬНОСТИ (201 – 219)</t>
  </si>
  <si>
    <t>V.  POSLOVNI GUBITAK (219 – 201)</t>
  </si>
  <si>
    <t>В.  ПОСЛОВНИ ГУБИТАК (219 – 201)</t>
  </si>
  <si>
    <t>C. OPERATING LOSS (219 - 201)</t>
  </si>
  <si>
    <t>В.  УБЫТОК ОТ ДЕЯТЕЛЬНОСТИ (219 – 201)</t>
  </si>
  <si>
    <t>G. FINANSIJSKI PRIHODI I RASHODI 
I  FINANSIJSKI PRIHODI (240 do 243)</t>
  </si>
  <si>
    <t>Г. ФИНАНСИЈСКИ ПРИХОДИ И РАСХОДИ 
I  ФИНАНСИЈСКИ ПРИХОДИ (240 до 243)</t>
  </si>
  <si>
    <t>D. FINANCE INCOME AND EXPENSES  I FINANCE INCOME (240 to 243)</t>
  </si>
  <si>
    <t>Г. ФИНАНСОВЫЕ ДОХОДЫ И РАСХОДЫ                                                      
 I  ФИНАНСОВЫЕ ДОХОДЫ (240 до 243)</t>
  </si>
  <si>
    <t>66</t>
  </si>
  <si>
    <t>1.   Prihodi od kamata</t>
  </si>
  <si>
    <t>1.   Приходи од камата</t>
  </si>
  <si>
    <t>1. Interest income</t>
  </si>
  <si>
    <t>1.  Доходы от процентов</t>
  </si>
  <si>
    <t>660, 661</t>
  </si>
  <si>
    <t>2.   Pozitivne kursne razlike</t>
  </si>
  <si>
    <t>2.   Позитивне курсне разлике</t>
  </si>
  <si>
    <t>2. Foreign exchange gains</t>
  </si>
  <si>
    <t>2.  Положительные курсовые разницы</t>
  </si>
  <si>
    <t>662</t>
  </si>
  <si>
    <t>3.   Prihodi od efekata valutne klauzule</t>
  </si>
  <si>
    <t>3.   Приходи од ефеката валутне клаузуле</t>
  </si>
  <si>
    <t>3. Incomes from currency clause</t>
  </si>
  <si>
    <t>3.  Доходы от эффектов валютной оговорки</t>
  </si>
  <si>
    <t>663</t>
  </si>
  <si>
    <t>4.   Ostali finansijski prihodi</t>
  </si>
  <si>
    <t>4.   Остали финансијски приходи</t>
  </si>
  <si>
    <t>4. Other finance income</t>
  </si>
  <si>
    <t>4.  Прочие финансовые доходы</t>
  </si>
  <si>
    <t>669</t>
  </si>
  <si>
    <t>II  FINANSIJSKI RASHODI (245 do 248)</t>
  </si>
  <si>
    <t>II  ФИНАНСИЈСКИ РАСХОДИ (245 до 248)</t>
  </si>
  <si>
    <t>II FINANCE EXPENSES (245 to 248)</t>
  </si>
  <si>
    <t>II  ФИНАНСОВЫЕ РАСХОДЫ (245 до 248)</t>
  </si>
  <si>
    <t>56</t>
  </si>
  <si>
    <t>1. Rashodi kamata</t>
  </si>
  <si>
    <t>1. Расходи камата</t>
  </si>
  <si>
    <t>1. Interests expense</t>
  </si>
  <si>
    <t>1. Расходы по процентам</t>
  </si>
  <si>
    <t>560, 561</t>
  </si>
  <si>
    <t>2. Negativne kursne razlike</t>
  </si>
  <si>
    <t>2. Негативне курсне разлике</t>
  </si>
  <si>
    <t>2. Foreign exchange losses</t>
  </si>
  <si>
    <t>2. Негативные курсовые разницы</t>
  </si>
  <si>
    <t>562</t>
  </si>
  <si>
    <t>3. Rashodi po osnovu valutne klauzule</t>
  </si>
  <si>
    <t>3. Расходи по основу валутне клаузуле</t>
  </si>
  <si>
    <t>3. Currency clause expenses</t>
  </si>
  <si>
    <t>3. Расходы на основании валютной оговорки</t>
  </si>
  <si>
    <t>563</t>
  </si>
  <si>
    <t>4. Ostali finansijski rashodi</t>
  </si>
  <si>
    <t>4. Остали финансијски расходи</t>
  </si>
  <si>
    <t>4. Other finance expense</t>
  </si>
  <si>
    <t>4.   Прочие финансовые расходы</t>
  </si>
  <si>
    <t>569</t>
  </si>
  <si>
    <t xml:space="preserve">D. DOBITAK REDOVNE AKTIVNOSTI  (237 + 239 – 244) ili (239-244-238)     </t>
  </si>
  <si>
    <t xml:space="preserve">Д. ДОБИТАК РЕДОВНЕ АКТИВНОСТИ      
(237 + 239 – 244) или (239-244-238)     </t>
  </si>
  <si>
    <t xml:space="preserve">E. OPERATING INCOME (237 + 239 - 244) or (239 - 244 - 238)  </t>
  </si>
  <si>
    <t xml:space="preserve">Д. ПРИБЫЛЬ ОТ РЕГУЛЯРНОЙ ДЕЯТЕЛЬНОСТИ   (237 + 239 – 244) или (239-244-238) </t>
  </si>
  <si>
    <t>Đ. GUBITAK REDOVNE AKTIVNOSTI (238 + 244 -239) ili (244-239-237)</t>
  </si>
  <si>
    <t>Ђ. ГУБИТАК РЕДОВНЕ АКТИВНОСТИ 
(238 + 244 -239) или (244-239-237)</t>
  </si>
  <si>
    <t xml:space="preserve">F. OPERATING LOSS  (238 + 244 -239) or (244-239-237)  </t>
  </si>
  <si>
    <t xml:space="preserve">Ђ. УБЫТОК ОТ РЕГУЛЯРНОЙ ДЕЯТЕЛЬНОСТИ  (238 + 244 -239) или (244-239-237) </t>
  </si>
  <si>
    <t>E. OSTALI DOBICI I GUBICI 
I OSTALI PRIHODI I DOBICI (252 do 260)</t>
  </si>
  <si>
    <t>Е. ОСТАЛИ ДОБИЦИ И ГУБИЦИ I ОСТАЛИ ПРИХОДИ И ДОБИЦИ (252 до 260)</t>
  </si>
  <si>
    <t>G. OTHER INCOME AND EXPENSES I OTHER INCOME AND GAINS (252 to 260)</t>
  </si>
  <si>
    <t>Е. ПРОЧАЯ ПРИБЫЛЬ И УБЫТКИ            
I   ПРОЧИЕ ДОХОДЫ И ПРИБЫЛЬ (252 до 260)</t>
  </si>
  <si>
    <t>67</t>
  </si>
  <si>
    <t>1. Neto dobici po osnovu prodaje nematerijalnih sredstava, nekretnina, postrojenja i opreme</t>
  </si>
  <si>
    <t>1.  Нето добици по основу продаје нематеријалних средстава, некретнина, постројења и опреме</t>
  </si>
  <si>
    <t>1. Net income from sale of intangible investments, real estates, plant and equipment</t>
  </si>
  <si>
    <t>1. Нетто прибыль от продажи  нематериальных средств, недвижимости, установок и оборудования</t>
  </si>
  <si>
    <t>670, 570 neto prikaz</t>
  </si>
  <si>
    <t>670, 570 нето приказ</t>
  </si>
  <si>
    <t>670, 570 Net amount</t>
  </si>
  <si>
    <t>670, 570 представлено в нетто</t>
  </si>
  <si>
    <t>2. Neto dobici po osnovu prodaje investicionih nekretnina</t>
  </si>
  <si>
    <t>2. Нето добици по основу продаје инвестиционих некретнина</t>
  </si>
  <si>
    <t>2. Net income from sale of investment real estates</t>
  </si>
  <si>
    <t>2. Нетто прибыль от продажи  инвестиционной недвижимости</t>
  </si>
  <si>
    <t>671, 571 neto prikaz</t>
  </si>
  <si>
    <t>671, 571 нето приказ</t>
  </si>
  <si>
    <t>671, 571 Net amount</t>
  </si>
  <si>
    <t>671, 571  представлено в нетто</t>
  </si>
  <si>
    <t>3. Neto dobici po osnovu prodaje bioloških sredstava</t>
  </si>
  <si>
    <t>3. Нето добици по основу продаје биолошких средстава</t>
  </si>
  <si>
    <t>3. Net income from sale of biological assets</t>
  </si>
  <si>
    <t>3. Нетто прибыль от продажи  биологических средств</t>
  </si>
  <si>
    <t>672, 572 neto prikaz</t>
  </si>
  <si>
    <t>672, 572 нето приказ</t>
  </si>
  <si>
    <t>672, 572 Net amount</t>
  </si>
  <si>
    <t>672, 572 представлено в нетто</t>
  </si>
  <si>
    <t>4. Neto dobici po osnovu prodaje stalnih sredstava namijenjenih prodaji i sredstava poslovanja koje se obustavlja</t>
  </si>
  <si>
    <t>4. Нето добици по основу продаје сталних средстава намијењених продаји и средстава пословања које се обуставља</t>
  </si>
  <si>
    <t>4. Net income from sale of fixed assets for sale and discontinued operations assets</t>
  </si>
  <si>
    <t>4. Нетто прибыль от продажи внеоборотных средств, прдназначенных для продажи, и средств прекращаемой деятельности</t>
  </si>
  <si>
    <t>673, 573, neto prikaz</t>
  </si>
  <si>
    <t>673, 573, нето приказ</t>
  </si>
  <si>
    <t>673, 573, Net amount</t>
  </si>
  <si>
    <t>673, 573, представлено в нетто</t>
  </si>
  <si>
    <t>5. Neto dobici po osnovu prodaje finansijskih sredstava i ulaganja u povezana lica</t>
  </si>
  <si>
    <t>5. Нето добици по основу продаје финансијских средстава и улагања у повезана лица</t>
  </si>
  <si>
    <t>5. Net income from sale of financial assets and investments in related legal entities</t>
  </si>
  <si>
    <t>5. Нетто прибыль от продажи  финансовых средств и вложений в связанные лица</t>
  </si>
  <si>
    <t>674, 574 neto prikaz</t>
  </si>
  <si>
    <t>674, 574 нето приказ</t>
  </si>
  <si>
    <t>674, 574 Net amount</t>
  </si>
  <si>
    <t>674, 574 представлено в нетто</t>
  </si>
  <si>
    <t>6. Neto dobici po osnovu prodaje materijala</t>
  </si>
  <si>
    <t>6. Нето добици по основу продаје материјала</t>
  </si>
  <si>
    <t>6. Net income from sale of materials</t>
  </si>
  <si>
    <t>6. Нетто прибыль от продажи материалов</t>
  </si>
  <si>
    <t>675, 575 neto prikaz</t>
  </si>
  <si>
    <t>675, 575 нето приказ</t>
  </si>
  <si>
    <t>675, 575 Net amount</t>
  </si>
  <si>
    <t>675, 575 представлено в нетто</t>
  </si>
  <si>
    <t>7. Viškovi</t>
  </si>
  <si>
    <t>7. Вишкови</t>
  </si>
  <si>
    <t>7. Surpluses</t>
  </si>
  <si>
    <t xml:space="preserve">7. Излишки </t>
  </si>
  <si>
    <t>676</t>
  </si>
  <si>
    <t xml:space="preserve">8. Ostali prihodi i dobici </t>
  </si>
  <si>
    <t xml:space="preserve">8. Остали приходи и добици </t>
  </si>
  <si>
    <t>8. Other incomes and gains</t>
  </si>
  <si>
    <t>8. Прочие доходы и прибыль</t>
  </si>
  <si>
    <t>677, 679</t>
  </si>
  <si>
    <t xml:space="preserve">9.  Neto dobici od derivatnih finansijskih instrumenata </t>
  </si>
  <si>
    <t xml:space="preserve">9. Нето добици од дериватних финансијских инструмената </t>
  </si>
  <si>
    <t>9. Net income form derivative financial instruments</t>
  </si>
  <si>
    <t xml:space="preserve">9. Нетто прибыль от производных  финансовых инструментов </t>
  </si>
  <si>
    <t>678, 577</t>
  </si>
  <si>
    <t>II  OSTALI RASHODI I GUBICI (262 do 270)</t>
  </si>
  <si>
    <t>II  ОСТАЛИ РАСХОДИ И ГУБИЦИ (262 до 270)</t>
  </si>
  <si>
    <t>II OTHER EXPENSES AND LOSSES (262 to 270)</t>
  </si>
  <si>
    <t>II  ПРОЧИЕ РАСХОДЫ И УБЫТКИ (262 до 270)</t>
  </si>
  <si>
    <t>57</t>
  </si>
  <si>
    <t>1. Neto gubici po osnovu otuđenja nematerijalnih sredstava, nekretnina, postrojenja i opreme</t>
  </si>
  <si>
    <t>1. Нето губици по основу отуђења нематеријалних средстава, некретнина, постројења и опреме</t>
  </si>
  <si>
    <t>1. Net losses arising from disposal of intangible assets, real estates, plants and equipment</t>
  </si>
  <si>
    <t>1. Нетто убытки от отчуждения  нематериальных средств, недвижимости, установок и оборудования</t>
  </si>
  <si>
    <t>570, 670 neto prikaz</t>
  </si>
  <si>
    <t>570, 670 нето приказ</t>
  </si>
  <si>
    <t>570, 670 Net amount</t>
  </si>
  <si>
    <t xml:space="preserve">570, 670 представлено в нетто </t>
  </si>
  <si>
    <t>2. Neto gubici po osnovu otuđenja investicionih nekretnina</t>
  </si>
  <si>
    <t>2. Нето губици по основу отуђења инвестиционих некретнина</t>
  </si>
  <si>
    <t>2. Net losses arising from disposal of investment property</t>
  </si>
  <si>
    <t>2. Нетто убытки от отчуждения  инвестиционной недвижимости</t>
  </si>
  <si>
    <t>571, 671 neto prikaz</t>
  </si>
  <si>
    <t>571, 671 нето приказ</t>
  </si>
  <si>
    <t>571, 671 Net amount</t>
  </si>
  <si>
    <t>571, 671 представлено в нетто</t>
  </si>
  <si>
    <t>3. Neto gubici po osnovu otuđenja bioloških sredstava</t>
  </si>
  <si>
    <t>3.  Нето губици по основу отуђења биолошких средстава</t>
  </si>
  <si>
    <t>3. Net losses arising from disposal of biological assets</t>
  </si>
  <si>
    <t>3. Нетто убытки от отчуждения  биологических средств</t>
  </si>
  <si>
    <t>572, 672 neto prikaz</t>
  </si>
  <si>
    <t>572, 672 нето приказ</t>
  </si>
  <si>
    <t>572, 672 Net amount</t>
  </si>
  <si>
    <t>572, 672 представлено в нетто</t>
  </si>
  <si>
    <t>4. Neto gubici po osnovu otuđenja stalnih sredstava namijenjenih prodaji i sredstava poslovanja koje se obustavlja</t>
  </si>
  <si>
    <t>4. Нето губици по основу отуђења сталних средстава намијењених продаји и средстава пословања које се обуставља</t>
  </si>
  <si>
    <t>4. Net losses arising from disposal of fixed assets for sale and discontinued operations assets</t>
  </si>
  <si>
    <t>4. Нетто убытки от отчуждения внеоборотных средств, предназначенных для продажи, и средств прекращаемой деятельности</t>
  </si>
  <si>
    <t>573, 673, neto prikaz</t>
  </si>
  <si>
    <t>573, 673, нето приказ</t>
  </si>
  <si>
    <t>573, 673, Net amount</t>
  </si>
  <si>
    <t>573, 673, представлено в нетто</t>
  </si>
  <si>
    <t>5. Neto gubici od otuđenja finansijskih sredstava i ulaganja u povezana lica</t>
  </si>
  <si>
    <t>5.  Нето губици од отуђења финансијских средстава и улагања у повезана лица</t>
  </si>
  <si>
    <t>5. Net losses from disposal of financial assets and investments in releted legal entities</t>
  </si>
  <si>
    <t>5. Нетто убытки от отчуждения финансовых средств и вложения в связанные лица</t>
  </si>
  <si>
    <t>574, 674 neto prikaz</t>
  </si>
  <si>
    <t>574, 674 нето приказ</t>
  </si>
  <si>
    <t>574, 674 Net amount</t>
  </si>
  <si>
    <t>574, 674 представлено в нетто</t>
  </si>
  <si>
    <t>6. Neto gubici po osnovu prodaje materijala</t>
  </si>
  <si>
    <t>6.  Нето губици по основу продаје материјала</t>
  </si>
  <si>
    <t>6. Net losses from sale of materials</t>
  </si>
  <si>
    <t>6. Нетто убытки от продажи материалов</t>
  </si>
  <si>
    <t xml:space="preserve">575, 675 neto prikaz </t>
  </si>
  <si>
    <t xml:space="preserve">575, 675 нето приказ </t>
  </si>
  <si>
    <t>575, 675 Net amount</t>
  </si>
  <si>
    <t>575, 675 представлено в нетто</t>
  </si>
  <si>
    <t>7.  Manjkovi</t>
  </si>
  <si>
    <t>7.  Мањкови</t>
  </si>
  <si>
    <t>7. Deficits</t>
  </si>
  <si>
    <t>7. Недостачи</t>
  </si>
  <si>
    <t>576</t>
  </si>
  <si>
    <t>8. Neto gubici od derivatnih finansijskih instrumenata</t>
  </si>
  <si>
    <t>8.  Нето губици од дериватних финансијских инструмената</t>
  </si>
  <si>
    <t>8. Net lossed from derivative financial instruments</t>
  </si>
  <si>
    <t>8. Нетто убытки от производных  финансовых инструментов</t>
  </si>
  <si>
    <t>577, 678 neto prikaz</t>
  </si>
  <si>
    <t>577, 678 нето приказ</t>
  </si>
  <si>
    <t>577, 678 Net amount</t>
  </si>
  <si>
    <t>577, 678 представлено в нетто</t>
  </si>
  <si>
    <t>9. Ostali rashodi i gubici</t>
  </si>
  <si>
    <t>9. Остали расходи и губици</t>
  </si>
  <si>
    <t>9. Other expenses and losses</t>
  </si>
  <si>
    <t>9. Прочие расходы и убытки</t>
  </si>
  <si>
    <t>578, 579</t>
  </si>
  <si>
    <t>Ž. DOBITAK PO OSNOVU OSTALIH PRIHODA I RASHODA (251 – 261)</t>
  </si>
  <si>
    <t>Ж. ДОБИТАК ПО ОСНОВУ ОСТАЛИХ ПРИХОДА И РАСХОДА (251 – 261)</t>
  </si>
  <si>
    <t>H. GAIN FROM OTHER INCOMES AND EXPENSES (251 - 261)</t>
  </si>
  <si>
    <t>Ж. ПРИБЫЛЬ ОТ ПРОЧИХ ДОХОДОВ И РАСХОДОВ (251 – 261)</t>
  </si>
  <si>
    <t>Z. GUBITAK PO OSNOVU OSTALIH PRIHODA I RASHODA (261 – 251)</t>
  </si>
  <si>
    <t>З. ГУБИТАК ПО ОСНОВУ ОСТАЛИХ ПРИХОДА И РАСХОДА (261 – 251)</t>
  </si>
  <si>
    <t>I. LOSS FROM OTHER INCOMES AND EXPENSES (261 - 251)</t>
  </si>
  <si>
    <t>З. УБЫТОК ОТ ПРОЧИХ ДОХОДОВ И РАСХОДОВ (261 – 251)</t>
  </si>
  <si>
    <t>I. PRIHODI I RASHODI OD USKLAĐIVANJA VRIJEDNOSTI IMOVINE 
I   PRIHODI OD USKLAĐIVANJA VRIJEDNOSTI IMOVINE (274 + 281)</t>
  </si>
  <si>
    <t>И. ПРИХОДИ И РАСХОДИ ОД УСКЛАЂИВАЊА ВРИЈЕДНОСТИ ИМОВИНЕ
 I   ПРИХОДИ ОД УСКЛАЂИВАЊА ВРИЈЕДНОСТИ ИМОВИНЕ (274 + 281)</t>
  </si>
  <si>
    <t>J. INCOME AND LOSSES FROM REVALUATION OF PROPERTY VALUE 
I INCOME FROM REVALUATION OF PROPERTY VALUE (274+281)</t>
  </si>
  <si>
    <t>И. ДОХОДЫ И РАСХОДЫ ОТ СОГЛАСОВАНИЯ СТОИМОСТИ 
 I   ДОХОДЫ ОТ СОГЛАСОВАНИЯ СТОИМОСТИ АКТИВОВ (274 + 281)</t>
  </si>
  <si>
    <t>68</t>
  </si>
  <si>
    <t>1. Neto dobici od usklađivanja imovine (osim finansijske)  (275 do 280)</t>
  </si>
  <si>
    <t>1. Нето добици од усклађивања имовине (осим финансијске)  (275 до 280)</t>
  </si>
  <si>
    <t>1. Net income from revaluation of assets (except financial) (275 to 280)</t>
  </si>
  <si>
    <t>1.      Нетто прибыль от согласования активов (кроме финансовых)  (275 до 280)</t>
  </si>
  <si>
    <t>dio 68</t>
  </si>
  <si>
    <t>дио 68</t>
  </si>
  <si>
    <t>part 68</t>
  </si>
  <si>
    <t>часть 68</t>
  </si>
  <si>
    <t>1.1. Neto dobici od umanjenja ranije priznatih gubitaka usljed obezvređenja nematerijalnih sredstava</t>
  </si>
  <si>
    <t>1.1.    Нето добици од умањења раније признатих губитака усљед обезвређења нематеријалних средстава</t>
  </si>
  <si>
    <t>1.1. Net income from decrease of earlier recognized losses due to the impairment of intangible assets</t>
  </si>
  <si>
    <t>1.1.   Нетто прибыль от уменьшения ранее признанных убытков вследствие обесценения нематериальных средств</t>
  </si>
  <si>
    <t>680, 580 neto prikaz</t>
  </si>
  <si>
    <t>680, 580 нето приказ</t>
  </si>
  <si>
    <t>680, 580 Net amount</t>
  </si>
  <si>
    <t>680, 580 представлено в нетто</t>
  </si>
  <si>
    <t>1.2. Neto dobici od umanjenja ranije priznatih gubitaka usljed obezvređenja nekretnina, postrojenja i opreme</t>
  </si>
  <si>
    <t>1.2.  Нето добици од умањења раније признатих губитака усљед обезвређења некретнина, постројења и опреме</t>
  </si>
  <si>
    <t>1.2. Net income from decrease of earlier recognized losses due to the impairment of real estates, plant and equipment</t>
  </si>
  <si>
    <t>1.2.   Нетто прибыль от уменьшения ранее признанных убытков вследствие обесценения недвижимости, установок и оборудования</t>
  </si>
  <si>
    <t>681, 581 neto prikaz</t>
  </si>
  <si>
    <t>681, 581 нето приказ</t>
  </si>
  <si>
    <t>681, 581 Net amount</t>
  </si>
  <si>
    <t>681, 581 представлено в нетто</t>
  </si>
  <si>
    <t>1.3.  Neto dobici od umanjenja ranije priznatih gubitaka usljed obezvređenja investicionih nekretnina koje se vrednuju po nabavnoj vrijednosti</t>
  </si>
  <si>
    <t>1.3. Нето добици од умањења раније признатих губитака усљед обезвређења инвестиционих некретнина које се вреднују по набавној вриједности</t>
  </si>
  <si>
    <t>1.3. Net income from decrease of earlier recognized losses due to the impairment of investment property which are valued at cost price</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</si>
  <si>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</si>
  <si>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682, 582 neto prikaz</t>
  </si>
  <si>
    <t>682, 582 нето приказ</t>
  </si>
  <si>
    <t>682, 582 Net amount</t>
  </si>
  <si>
    <t>682, 582 представлено в нетто</t>
  </si>
  <si>
    <t>1.4.  Neto dobici od umanjenja ranije priznatih gubitaka usljed obezvređenja bioloških sredstva koja se vrednuju po nabavnoj vrijednosti</t>
  </si>
  <si>
    <t>1.4. Нето добици од умањења раније признатих губитака усљед обезвређења биолошких средства која се вреднују по набавној вриједности</t>
  </si>
  <si>
    <t>1.4. Net income from decrease of earlier recognized losses due to the impairment of biological assets which are valued at cost price</t>
  </si>
  <si>
    <t>1.4.   Нетто прибыль от уменьшения ранее признанных убытков вследствие  обесценения биологических средств, оцениваемых по закупочной стоимости</t>
  </si>
  <si>
    <t>683, 583 neto prikaz</t>
  </si>
  <si>
    <t>683, 583 нето приказ</t>
  </si>
  <si>
    <t>683, 583 Net amount</t>
  </si>
  <si>
    <t>683, 583 представлено в нетто</t>
  </si>
  <si>
    <t xml:space="preserve">1.5.  Neto dobici od usklađivanja vrijednosti zaliha materijala i robe </t>
  </si>
  <si>
    <t xml:space="preserve">1.5. Нето добици од усклађивања вриједности залиха материјала и робе </t>
  </si>
  <si>
    <t>1.5. Net income from revaluation inventories of material and goods</t>
  </si>
  <si>
    <t>1.5.   Нетто прибыль от согласования стоимости запасов материалов и товаров</t>
  </si>
  <si>
    <t>685, 585 neto prikaz</t>
  </si>
  <si>
    <t>685, 585 нето приказ</t>
  </si>
  <si>
    <t>685, 585 Net amount</t>
  </si>
  <si>
    <t>685, 585 представлено в нетто</t>
  </si>
  <si>
    <t>1.6.  Neto dobici od usklađivanja vrijednost stalnih sredstava namijenjenih prodaji, sredstava poslovanja koje se obustavlja i ostalih nefinansijskih sredstava</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</si>
  <si>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</si>
  <si>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1.6. Net income from revaluation of fixed assest for sale, discontinued operations assets and other non-financial  assets</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</si>
  <si>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</si>
  <si>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688, dio 689, 588, dio 589neto prikaz</t>
  </si>
  <si>
    <t>688, дио 689, 588, дио 589нето приказ</t>
  </si>
  <si>
    <t>688, часть 689, 588, часть 589 представлено в нетто</t>
  </si>
  <si>
    <t>2. Neto dobici od usklađivanja vrijednosti finansijskih sredstava (282 do 285)</t>
  </si>
  <si>
    <t>2. Нето добици од усклађивања вриједности финансијских средстава (282 до 285)</t>
  </si>
  <si>
    <t>2. Net income from revaluation of financial assets (282 to 285)</t>
  </si>
  <si>
    <t>2.      Нетто прибыль от согласования  стоимости финансовых средств (282 до 285)</t>
  </si>
  <si>
    <t>part 69</t>
  </si>
  <si>
    <t xml:space="preserve">2.1  Neto dobici od usklađivanja vrijednosti dugoročnih finansijskih sredstava </t>
  </si>
  <si>
    <t xml:space="preserve">2.1 Нето добици од усклађивања вриједности дугорочних финансијских средстава </t>
  </si>
  <si>
    <t>2.1 Net income from revaluation of long-term financial assets</t>
  </si>
  <si>
    <t xml:space="preserve">2.1   Нетто прибыль от согласования стоимости долгосрочных финансовых средств </t>
  </si>
  <si>
    <t>684, 584 neto prikaz</t>
  </si>
  <si>
    <t>684, 584 нето приказ</t>
  </si>
  <si>
    <t>684, 584 Net amount</t>
  </si>
  <si>
    <t>684, 584 представлено в нетто</t>
  </si>
  <si>
    <t>2.2  Neto dobici od usklađivanja vrijednosti kratkoročnih finansijskih sredstava (osim potraživanja od kupaca)</t>
  </si>
  <si>
    <t>2.2  Нето добици од усклађивања вриједности краткорочних финансијских средстава (осим потраживања од купаца)</t>
  </si>
  <si>
    <t>2.2 Net income from revaluation of short-term financial assets (except custumers receivables)</t>
  </si>
  <si>
    <t>2.2   Нетто прибыль от согласования стоимости краткосрочных финансовых средств (кроме дебиторской задолженности покупателей)</t>
  </si>
  <si>
    <t>686, 585 neto prikaz</t>
  </si>
  <si>
    <t>686, 585 нето приказ</t>
  </si>
  <si>
    <t>686, 585 Net amount</t>
  </si>
  <si>
    <t>686, 585 представлено в нетто</t>
  </si>
  <si>
    <t xml:space="preserve">2.3  Neto dobici od umanjenja ranije priznatih kreditnih gubitaka usljed obezvređenja potraživanja od kupaca </t>
  </si>
  <si>
    <t xml:space="preserve">2.3  Нето добици од умањења раније признатих кредитних губитака усљед обезвређења потраживања од купаца </t>
  </si>
  <si>
    <t>2.3 Net income form decrease of earlier recognized loans losses due to the impairment of customers receivables</t>
  </si>
  <si>
    <t xml:space="preserve">2.3   Нетто прибыль от уменьшения ранее признанных кредитных убытков вследствие обесценения дебиторской задолженности покупателей </t>
  </si>
  <si>
    <t>687, 587 neto prikaz</t>
  </si>
  <si>
    <t>687, 587 нето приказ</t>
  </si>
  <si>
    <t>687, 587 Net amount</t>
  </si>
  <si>
    <t>687, 587 представлено в нетто</t>
  </si>
  <si>
    <t>2.4  Neto dobici od usklađivanja vrijednosti ostalih finansijskih sredstava</t>
  </si>
  <si>
    <t>2.4  Нето добици од усклађивања вриједности осталих финансијских средстава</t>
  </si>
  <si>
    <t>2.4 Net income from revaluation of other financial assets</t>
  </si>
  <si>
    <t>2.4   Нетто прибыль от согласования стоимости прочих финансовых средств</t>
  </si>
  <si>
    <t>dio 689, dio 589 neto prikaz</t>
  </si>
  <si>
    <t>дио 689, дио 589 нето приказ</t>
  </si>
  <si>
    <t>part 689, part 589 Net amount</t>
  </si>
  <si>
    <t>часть 689, часть 589 представлено в нетто</t>
  </si>
  <si>
    <t>II  RASHODI OD USKLAĐIVANJA VRIJEDNOSTI IMOVINE (287 + 294)</t>
  </si>
  <si>
    <t>II  РАСХОДИ ОД УСКЛАЂИВАЊА ВРИЈЕДНОСТИ ИМОВИНЕ (287 + 294)</t>
  </si>
  <si>
    <t>II EXPENSES FROM REVALUATION OF PROPERTY VALUE (287 + 294)</t>
  </si>
  <si>
    <t>II  РАСХОДЫ ОТ СОГЛАСОВАНИЯ  СТОИМОСТИ АКТИВОВ (287 + 294)</t>
  </si>
  <si>
    <t>58</t>
  </si>
  <si>
    <t>1.  Rashodi od usklađivanja vrijednosti imovine (osim finansijske) (288 do 293)</t>
  </si>
  <si>
    <t>1.  Расходи од усклађивања вриједности имовине (осим финансијске) (288 до 293)</t>
  </si>
  <si>
    <t>1. Expenses from revaluation of assets (except financial assets) (288 to 293)</t>
  </si>
  <si>
    <t>1.      Расходы от согласования стоимости  активов (кроме финансовых) (288 до 293)</t>
  </si>
  <si>
    <t>1.1. Neto gubici po osnovu obezvređenja nematerijalnih sredstava</t>
  </si>
  <si>
    <t>1.1. Нето губици по основу обезвређења нематеријалних средстава</t>
  </si>
  <si>
    <t>1.1. Net losses due to the impairment of intangible assests</t>
  </si>
  <si>
    <t>1.1.   Нетто убытки от обесценения  нематериальных средств</t>
  </si>
  <si>
    <t>580, 680 neto prikaz</t>
  </si>
  <si>
    <t>580, 680</t>
  </si>
  <si>
    <t>580, 680 представлено в нетто</t>
  </si>
  <si>
    <t>1.2. Neto gubici po osnovu obezvređenja nekretnina, postrojenja i opreme</t>
  </si>
  <si>
    <t>1.2. Нето губици по основу обезвређења некретнина, постројења и опреме</t>
  </si>
  <si>
    <t>1.2. Net losses due to the impairment of real estates, plant and equipment</t>
  </si>
  <si>
    <t>1.2.   Нетто убытки от обесценения  недвижимости, установок и оборудования</t>
  </si>
  <si>
    <t>581, 681 neto prikaz</t>
  </si>
  <si>
    <t>581, 681 нето приказ</t>
  </si>
  <si>
    <t>581, 681 Net amount</t>
  </si>
  <si>
    <t>581, 681 представлено в нетто</t>
  </si>
  <si>
    <t>1.3. Neto gubici po osnovu obezvređenja investicionih nekretnina koje se vrednuju po nabavnoj vrijednosti</t>
  </si>
  <si>
    <t>1.3. Нето губици по основу обезвређења инвестиционих некретнина које се вреднују по набавној вриједности</t>
  </si>
  <si>
    <t>1.3. Net losses due to the impairment of investment real estates which are valued at cost price</t>
  </si>
  <si>
    <t>1.3.   Нетто убытки от обесценения  инвестиционной недвижимости, оцениваемой по закупочной стоимости</t>
  </si>
  <si>
    <t>582, 682 neto prikaz</t>
  </si>
  <si>
    <t>582, 682 нето приказ</t>
  </si>
  <si>
    <t>582, 682 Net amount</t>
  </si>
  <si>
    <t>582, 682 представлено в нетто</t>
  </si>
  <si>
    <t>1.4. Neto gubici po osnovu obezvređenja bioloških sredstva koje se vrednuju po nabavnoj vrijednosti</t>
  </si>
  <si>
    <t>1.4. Нето губици по основу обезвређења биолошких средства које се вреднују по набавној вриједности</t>
  </si>
  <si>
    <t>1.4. Net losses due to the impairment of biological assets valued which are valued at cost price</t>
  </si>
  <si>
    <t>1.4.   Нетто убытки от обесценения  биологических средств, оцениваемых по закупочной стоимости</t>
  </si>
  <si>
    <t>583, 683 neto prikaz</t>
  </si>
  <si>
    <t>583, 683 нето приказ</t>
  </si>
  <si>
    <t>583, 683 Net amount</t>
  </si>
  <si>
    <t>583, 683 представлено в нетто</t>
  </si>
  <si>
    <t xml:space="preserve">1.5. Neto gubici od usklađivanja vrijednosti zaliha materijala i robe </t>
  </si>
  <si>
    <t xml:space="preserve">1.5. Нето губици од усклађивања вриједности залиха материјала и робе </t>
  </si>
  <si>
    <t>1.5. Net losses due to the revaluation of inventories of materials and goods</t>
  </si>
  <si>
    <t>1.5.   Нетто убытки от согласования  стоимости запасов материалов и товаров</t>
  </si>
  <si>
    <t>585, 685 neto prikaz</t>
  </si>
  <si>
    <t>585, 685 нето приказ</t>
  </si>
  <si>
    <t>585, 685 Net amount</t>
  </si>
  <si>
    <t>585, 685 представлено в нетто</t>
  </si>
  <si>
    <t>1.6. Neto gubici od usklađivanja vrijednosti stalnih sredstava namijenjenih prodaji, sredstava poslovanja koje se obustavlja i ostalih nefinansijskih sredstava</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</si>
  <si>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</si>
  <si>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1.6. Net losses from revaluation of fixed assest for sale, discontinued operations assets and other non-financial  assets</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</si>
  <si>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</si>
  <si>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588, dio 589, 688, dio 689 neto prikaz</t>
  </si>
  <si>
    <t>588, дио 589, 688, дио 689</t>
  </si>
  <si>
    <t>588, part 589, 688, part 690</t>
  </si>
  <si>
    <t>588, часть 589, 688, часть 689 представлено в нетто</t>
  </si>
  <si>
    <t>2.  Gubici od usklađivanja vrijednosti finansijskih sredstava (295 do 298)</t>
  </si>
  <si>
    <t>2.  Губици од усклађивања вриједности финансијских средстава (295 до 298)</t>
  </si>
  <si>
    <t>2. Net losses from revaluation of financial assets (295 to 298)</t>
  </si>
  <si>
    <t>2.      Убытки от согласования стоимости  финансовых средств (295 до 298)</t>
  </si>
  <si>
    <t>2.1 Neto gubici od usklađivanja vrijednosti dugoročnih finansijskih sredstava</t>
  </si>
  <si>
    <t>2.1 Нето губици од усклађивања вриједности дугорочних финансијских средстава</t>
  </si>
  <si>
    <t>2.1 Net losses from revaluation of long-term financial assets</t>
  </si>
  <si>
    <t>2.1   Нетто убытки от согласования стоимости долгосрочных финансовых средств</t>
  </si>
  <si>
    <t>584, 684 neto prikaz</t>
  </si>
  <si>
    <t>584, 684</t>
  </si>
  <si>
    <t>584, 684 представлено в нетто</t>
  </si>
  <si>
    <t>2.2  Neto gubici od usklađivanja vrijednosti kratkoročnih finansijskih sredstava (osim potraživanja od kupaca)</t>
  </si>
  <si>
    <t>2.2  Нето губици од усклађивања вриједности краткорочних финансијских средстава (осим потраживања од купаца)</t>
  </si>
  <si>
    <t>2.2 Net losses from revaluation of short-term financial assets (except custumers receivables)</t>
  </si>
  <si>
    <t>2.2   Нетто убытки от согласования стоимости краткосрочных финансовых средств (кроме дебиторской задолженности  покупателей)</t>
  </si>
  <si>
    <t>586, 686 neto prikaz</t>
  </si>
  <si>
    <t>586, 686 нето приказ</t>
  </si>
  <si>
    <t>586, 686 Net amount</t>
  </si>
  <si>
    <t>586, 686 представлено в нетто</t>
  </si>
  <si>
    <t>2.3 Neto gubici od usklađivanja vrijednosti potraživanja od kupaca</t>
  </si>
  <si>
    <t>2.3 Нето губици од усклађивања вриједности потраживања од купаца</t>
  </si>
  <si>
    <t>2.3 Net losses from revaluation of customers receivables</t>
  </si>
  <si>
    <t>2.3   Нетто убытки от согласования стоимости дебиторской задолженности покупателей</t>
  </si>
  <si>
    <t>587, 687 neto prikaz</t>
  </si>
  <si>
    <t>587, 687 нето приказ</t>
  </si>
  <si>
    <t>587, 687 Net amount</t>
  </si>
  <si>
    <t>587, 687 представлено в нетто</t>
  </si>
  <si>
    <t>2.4  Neto gubici od usklađivanja vrijednosti ostalih finansijskih sredstava</t>
  </si>
  <si>
    <t>2.4 Нето губици од усклађивања вриједности осталих финансијских средстава</t>
  </si>
  <si>
    <t xml:space="preserve">2.4. Net losses from revaluation of other financial assets </t>
  </si>
  <si>
    <t>2.4   Нетто убытки от согласования стоимости прочих финансовых средств</t>
  </si>
  <si>
    <t>dio 589, dio 689neto prikaz</t>
  </si>
  <si>
    <t>дио 589, дио 689нето приказ</t>
  </si>
  <si>
    <t>part 589, part 689 Net amount</t>
  </si>
  <si>
    <t>часть 589, часть 689 представлено в нетто</t>
  </si>
  <si>
    <t xml:space="preserve">J. DOBITAK PO OSNOVU USKLAĐIVANJA VRIJEDNOSTI IMOVINE (273 – 286) </t>
  </si>
  <si>
    <t xml:space="preserve">Ј. ДОБИТАК ПО ОСНОВУ УСКЛАЂИВАЊА ВРИЈЕДНОСТИ ИМОВИНЕ (273 – 286) </t>
  </si>
  <si>
    <t>K. GAIN FROM THE REVALUATION OF PROPERTY VALUE (273 - 286)</t>
  </si>
  <si>
    <t xml:space="preserve">Ј. ПРИБЫЛЬ ОТ СОГЛАСОВАНИЯ СТОИМОСТИ АКТИВОВ (273 – 286) </t>
  </si>
  <si>
    <t>K. GUBITAK PO OSNOVU USKLAĐIVANJA VRIJEDNOSTI IMOVINE (286 – 273)</t>
  </si>
  <si>
    <t>К. ГУБИТАК ПО ОСНОВУ УСКЛАЂИВАЊА ВРИЈЕДНОСТИ ИМОВИНЕ (286 – 273)</t>
  </si>
  <si>
    <t>L. LOSS FROM THE REVALUATION OF PROPERTY VALUE (286 - 273)</t>
  </si>
  <si>
    <t>К. УБЫТОК ОТ СОГЛАСОВАНИЯ СТОИМОСТИ АКТИВОВ (286 – 273)</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</si>
  <si>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</si>
  <si>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</si>
  <si>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M. Incomes from changes in accounting policies and corrections from previous year</t>
  </si>
  <si>
    <t>Л. ДОХОДЫ ОТ ИЗМЕНЕНИЯ  УЧЕТНОЙ ПОЛИТИКИ 
И ИСПРАВЛЕНИЯ ОШИБОК ПРОШЛЫХ ЛЕТ</t>
  </si>
  <si>
    <t>690 i 691</t>
  </si>
  <si>
    <t>690 и 691</t>
  </si>
  <si>
    <t>690 and 691</t>
  </si>
  <si>
    <t>LJ. Rashodi po osnovu promjene računovodstvenih politika i ispravke grešaka iz ranijih godina</t>
  </si>
  <si>
    <t>Љ. Расходи по основу промјене рачуноводствених политика и исправке грешака из ранијих година</t>
  </si>
  <si>
    <t>N. Losses from changes in accounting policies and corrections from previous year</t>
  </si>
  <si>
    <t>Љ. РАСХОДЫ ОТ ИЗМЕНЕНИЯ УЧЕТНОЙ ПОЛИТИКИ И ИСПРАВЛЕНИЯ ОШИБОК ПРОШЛЫХ ЛЕТ</t>
  </si>
  <si>
    <t>590 i 591</t>
  </si>
  <si>
    <t>590 и 591</t>
  </si>
  <si>
    <t>590 and 591</t>
  </si>
  <si>
    <t>Udio u dobiti pridruženog društva i zajedničkog poduhvata primjenom metode udjela</t>
  </si>
  <si>
    <t>Удио у добити придруженог друштва и заједничког подухвата примјеном методе удјела</t>
  </si>
  <si>
    <t xml:space="preserve">Share in profit of associated company and joint venture using equity method </t>
  </si>
  <si>
    <t>Доля в прибыли ассоциированного общества и совместного предприятия по методу долевого участия</t>
  </si>
  <si>
    <t>Udio u gubitku pridruženog društva i zajedničkog poduhvata primjenom metode udjela</t>
  </si>
  <si>
    <t>Удио у губитку придруженог друштва и заједничког подухвата примјеном методе удјела</t>
  </si>
  <si>
    <t xml:space="preserve">Share in loss of associated company and joint venture using equity method </t>
  </si>
  <si>
    <t>Доля в убытке ассоциированного общества и совместного предприятия по методу долевого участия</t>
  </si>
  <si>
    <t>UKUPNI PRIHODI (201+239+251+273+301+303)</t>
  </si>
  <si>
    <t>УКУПНИ ПРИХОДИ (201+239+251+273+301+303)</t>
  </si>
  <si>
    <t>TOTAL INCOME (201 + 239 + 251 + 273 + 301+ 303)</t>
  </si>
  <si>
    <t>СОВОКУПНЫЕ ДОХОДЫ (201+239+251+273+301+303)</t>
  </si>
  <si>
    <t>UKUPNI RASHODI (219+244+261+286+302+304)</t>
  </si>
  <si>
    <t>УКУПНИ РАСХОДИ (219+244+261+286+302+304)</t>
  </si>
  <si>
    <t>TOTAL EXPENSES (219 + 244 + 261 + 286 + 302+ 304)</t>
  </si>
  <si>
    <t>СОВОКУПНЫЕ РАСХОДЫ (219+244+261+286+302+304)</t>
  </si>
  <si>
    <t>M. DOBIT I GUBITAK PRIJE OPOREZIVANJA
1. Dobit prije oporezivanja (305 – 306)</t>
  </si>
  <si>
    <r>
      <rPr>
        <rFont val="Calibri"/>
        <charset val="0"/>
        <family val="2"/>
        <sz val="10"/>
        <b/>
        <i val="0"/>
        <extLst>
          <ext uri="smNativeData">
            <pm:charSpec xmlns:pm="smNativeData" id="1714042646">
              <pm:latin face="Calibri" sz="200" weight="bold" i="0"/>
              <pm:cs/>
              <pm:ea/>
            </pm:charSpec>
          </ext>
        </extLst>
      </rPr>
      <t>М. ДОБИТ И ГУБИТАК ПРИЈЕ ОПОРЕЗИВАЊА</t>
    </r>
    <r>
      <rPr>
        <rFont val="Calibri"/>
        <charset val="0"/>
        <family val="2"/>
        <sz val="10"/>
        <b val="0"/>
        <i val="0"/>
        <extLst>
          <ext uri="smNativeData">
            <pm:charSpec xmlns:pm="smNativeData" id="1714042646">
              <pm:latin face="Calibri" sz="200" weight="normal" i="0"/>
              <pm:cs/>
              <pm:ea/>
            </pm:charSpec>
          </ext>
        </extLst>
      </rPr>
      <t xml:space="preserve">
1. Добит прије опорезивања (305 – 306)</t>
    </r>
  </si>
  <si>
    <t>O. INCOME AND LOSS BEFORE TAXES 
1. Income before taxes (305-306)</t>
  </si>
  <si>
    <t>М. ПРИБЫЛЬ И УБЫТОК ДО НАЛОГООБЛОЖЕНИЯ                                        
1. Прибыль до налогообложения  (305 – 306)</t>
  </si>
  <si>
    <t>2. Gubitak prije oporezivanja (306 – 305)</t>
  </si>
  <si>
    <t>2. Губитак прије опорезивања (306 – 305)</t>
  </si>
  <si>
    <t>2. Loss before taxes (306-305)</t>
  </si>
  <si>
    <t>2. Убыток до налогообложения  (306 – 305)</t>
  </si>
  <si>
    <t xml:space="preserve">N. TEKUĆI I ODLOŽENI POREZ NA DOBIT
1. Poreski rashodi perioda </t>
  </si>
  <si>
    <t xml:space="preserve">Н. ТЕКУЋИ И ОДЛОЖЕНИ ПОРЕЗ НА ДОБИТ
1. Порески расходи периода </t>
  </si>
  <si>
    <t>P. CURRENT AND DEFERRED INCOME TAX  1.Tax expenses of reporting period</t>
  </si>
  <si>
    <t xml:space="preserve">Н. ТЕКУЩИЙ И ОТЛОЖЕННЫЙ НАЛОГ НА ПРИБЫЛЬ                                               
1. Налоговые расходы периода </t>
  </si>
  <si>
    <t>721</t>
  </si>
  <si>
    <t>2. Odloženi poreski rashodi (311 + 312)</t>
  </si>
  <si>
    <t>2. Одложени порески расходи (311 + 312)</t>
  </si>
  <si>
    <t>2. Deffered tax expense of reporting period (311+312)</t>
  </si>
  <si>
    <t>2. Отложенные налоговые расходы (311 + 312)</t>
  </si>
  <si>
    <t>2.1   Efekat smanjenja odloženih poreskih sredstava</t>
  </si>
  <si>
    <t>2.1   Ефекат смањења одложених пореских средстава</t>
  </si>
  <si>
    <t>2.1.   Effect of reduction of deffered tax assets</t>
  </si>
  <si>
    <t>2.1   Эффект уменьшения отложенных налоговых средств</t>
  </si>
  <si>
    <t>722</t>
  </si>
  <si>
    <t>2.2   Efekat povećanja odloženih poreskih obaveza</t>
  </si>
  <si>
    <t>2.2   Ефекат повећања одложених пореских обавеза</t>
  </si>
  <si>
    <t>2.2.   Effect of increase of deffered tax assets</t>
  </si>
  <si>
    <t>2.2   Эффект увеличения отложенных налоговых обязательств</t>
  </si>
  <si>
    <t>724</t>
  </si>
  <si>
    <t>3. Odloženi poreski prihodi (314 + 315)</t>
  </si>
  <si>
    <t>3. Одложени порески приходи (314 + 315)</t>
  </si>
  <si>
    <t>3. Deffered income tax of reporting period (314+315)</t>
  </si>
  <si>
    <t>3. Отложенные налоговые доходы (314 + 315)</t>
  </si>
  <si>
    <t>3.1 Efekat povećanja odloženih poreskih sredstava</t>
  </si>
  <si>
    <t>3.1 Ефекат повећања одложених пореских средстава</t>
  </si>
  <si>
    <t>3.1. Effect of increase of deffered tax assets</t>
  </si>
  <si>
    <t>3.1 Эффект увеличения отложенных налоговых средств</t>
  </si>
  <si>
    <t>723</t>
  </si>
  <si>
    <t>3.2 Efekat smanjenja odloženih poreskih obaveza</t>
  </si>
  <si>
    <t>3.2 Ефекат смањења одложених пореских обавеза</t>
  </si>
  <si>
    <t>3.2. Effect of reduction of deffered tax liabilities</t>
  </si>
  <si>
    <t>3.2 Эффект уменьшения отложенных налоговых обязательств</t>
  </si>
  <si>
    <t>725</t>
  </si>
  <si>
    <t>NJ. NETO DOBIT I NETO GUBITAK PERIODA
 1. Neto dobit tekuće godine (307-309-310+313)&gt;0 i 307&gt;0 ili (313-308-309-310)&gt;0 i 308&gt;0</t>
  </si>
  <si>
    <t>Њ. НЕТО ДОБИТ И НЕТО ГУБИТАК ПЕРИОДА  
1. Нето добит текуће године (307-309-310+313)&gt;0 и 307&gt;0 или (313-308-309-310)&gt;0 и 308&gt;0</t>
  </si>
  <si>
    <t>Q. NET INCOME AND NET LOSS OF THE PERIOD 1. Net income of the current year (307-309-310+313) and 307&gt;0 or (313-308-309-310) and 308&gt;0</t>
  </si>
  <si>
    <t>Њ. НЕТТО ПРИБЫЛЬ И НЕТТО УБЫТОК ПЕРИОДА                                                    
1. Нетто прибыль текущего года (307-309-310+313)&gt;0 и 307&gt;0 или (313-308-309-310)&gt;0 и 308&gt;0</t>
  </si>
  <si>
    <t>2. Neto gubitak tekuće godine (308+309+310-313)&gt;0 i 308&gt;0 ili (309+310-307-313)&gt;0 i 307&gt;0</t>
  </si>
  <si>
    <t>2. Нето губитак текуће године (308+309+310-313)&gt;0 и 308&gt;0 или (309+310-307-313)&gt;0 и 307&gt;0</t>
  </si>
  <si>
    <t>2. Net loss of the current year (308+309+310-313)&gt;0 and 308&gt;0  or (309+310-307-313)&gt;0 and 307&gt;0</t>
  </si>
  <si>
    <t>2. Нетто убыток текущего года (308+309+310-313)&gt;0 и 308&gt;0 или (309+310-307-313)&gt;0 и 307&gt;0</t>
  </si>
  <si>
    <t>O. Međudividende i drugi vidovi raspodjele dobitka u toku perioda</t>
  </si>
  <si>
    <t>О. Међудивиденде и други видови расподјеле добитка у току периода</t>
  </si>
  <si>
    <t>R. Interim dividends and other forms of net income distribution during reporting period</t>
  </si>
  <si>
    <t>О. ПРОМЕЖУТОЧНЫЕ ДИВИДЕНДЫ И ИНЫЕ ВИДЫ РАСПРЕДЕЛЕНИЯ ПРИБЫЛИ В ТЕЧЕНИЕ ПЕРИОДА</t>
  </si>
  <si>
    <t>726</t>
  </si>
  <si>
    <t>Dio neto dobiti/gubitka koji pripada većinskim vlasnicima</t>
  </si>
  <si>
    <t>Дио нето добити/губитка који припада већинским власницима</t>
  </si>
  <si>
    <t>Share of net income/loss which belongs to majority owners</t>
  </si>
  <si>
    <t>Часть нетто прибыли/убытка,  принадлежащая мажоритарным собственникам</t>
  </si>
  <si>
    <t>Dio neto dobiti/gubitka koji pripada manjinskim vlasnicima</t>
  </si>
  <si>
    <t>Дио нето добити/губитка који припада мањинским власницима</t>
  </si>
  <si>
    <t>Share of net income/loss which belongs to minority owners</t>
  </si>
  <si>
    <t>Часть нетто прибыли/убытка,  принадлежащая миноритарным собственникам</t>
  </si>
  <si>
    <t>Obična zarada po akciji</t>
  </si>
  <si>
    <t>Обична зарада по акцији</t>
  </si>
  <si>
    <t>Basic earnings per share</t>
  </si>
  <si>
    <t>Обыкновенная прибыль на акцию</t>
  </si>
  <si>
    <t>Razrijeđena zarada po akciji</t>
  </si>
  <si>
    <t>Разријеђена зарада по акцији</t>
  </si>
  <si>
    <t>Diluted earnings per share</t>
  </si>
  <si>
    <t>Разводненная прибыль на акцию</t>
  </si>
  <si>
    <t>Prosječan broj zaposlenih po osnovu časova rada</t>
  </si>
  <si>
    <t>Просјечан број запослених по основу часова рада</t>
  </si>
  <si>
    <t>Average number of employees based on the working hour</t>
  </si>
  <si>
    <t>Средняя численность работников на основании часов работы</t>
  </si>
  <si>
    <t>Prosječan broj zaposlenih po osnovu stanja na kraju mjeseca</t>
  </si>
  <si>
    <t>Просјечан број запослених по основу стања на крају мјесеца</t>
  </si>
  <si>
    <t xml:space="preserve">Average number of employees according to month ending balance </t>
  </si>
  <si>
    <t>Средняя численность работников на основании состояния в конце месяца</t>
  </si>
  <si>
    <t>A  NETO DOBIT ILI NETO GUBITAK PERIODA</t>
  </si>
  <si>
    <t xml:space="preserve">А  НЕТО ДОБИТ ИЛИ НЕТО ГУБИТАК ПЕРИОДА </t>
  </si>
  <si>
    <t xml:space="preserve">A. NET INCOME OR NET LOSS OF PERIOD </t>
  </si>
  <si>
    <t xml:space="preserve">А  НЕТТО ПРИБЫЛЬ ИЛИ НЕТТО УБЫТОК ПЕРИОДА </t>
  </si>
  <si>
    <t>А</t>
  </si>
  <si>
    <t>1. Stavke koje mogu biti reklasifikovane u bilans uspjeha (±402+403±404±405±406±407)</t>
  </si>
  <si>
    <t>1. Ставке које могу бити рекласификоване у биланс успјеха (±402+403±404±405±406±407)</t>
  </si>
  <si>
    <t>1. Items that can be reclassified in the income statement (±402+403±404±405±406±407)</t>
  </si>
  <si>
    <t>1. Пункты, которые могут быть  переклассифицированы в отчет о прибылях и убытках (± 402 + 403 ± 404 ± 405 ± 406±407)</t>
  </si>
  <si>
    <t>1.1 Povećanje/(smanjenje) fer vrijednosti dužničkih instrumenata po fer vrijednosti kroz ostali ukupan rezultat</t>
  </si>
  <si>
    <t>1.1 Повећање/(смањење) фер вриједности дужничких инструмената по фер вриједности кроз остали укупан резултат</t>
  </si>
  <si>
    <t>1.1.  Increase/(decrease) in the fair value of debt instruments at fair value through other comprehensive income</t>
  </si>
  <si>
    <t>1.1   Увеличение/(уменьшение) справедливой стоимости долговых  инструментов по справедливой стоимости через прочий совокупный результат</t>
  </si>
  <si>
    <t>Promjena na 332 i 333</t>
  </si>
  <si>
    <t>Промјена на 332 и 333</t>
  </si>
  <si>
    <t>Change  332 i 333</t>
  </si>
  <si>
    <t>Изменения в 332 и 333</t>
  </si>
  <si>
    <t>1.2 Efekti proistekli iz transakcija zaštite ("hedging")</t>
  </si>
  <si>
    <t>1.2 Ефекти проистекли из трансакција заштите ("hedging")</t>
  </si>
  <si>
    <t>1.2. Effects resulting from hedging transactions</t>
  </si>
  <si>
    <t>1.2   Эффекты от операций хеджирования (hedging)</t>
  </si>
  <si>
    <t>Promjena na 331</t>
  </si>
  <si>
    <t>Промјена на 331</t>
  </si>
  <si>
    <t>Change 331</t>
  </si>
  <si>
    <t>Изменение в 331</t>
  </si>
  <si>
    <t>1.3 Udio u ostalom ukupnom rezultatu pridruženog društva i zajedničkog poduhvata primjenom metode udjela</t>
  </si>
  <si>
    <t>1.3 Удио у осталом укупном резултату придруженог друштва и заједничког подухвата примјеном методе удјела</t>
  </si>
  <si>
    <t>1.3. Share in the other comprehensive income of the associated company and joint venture using the equity method</t>
  </si>
  <si>
    <t>1.3   Доля в прочем общем результате ассоциированного общества и совместного предприятия с использованием метода долевого участия</t>
  </si>
  <si>
    <t>1.4 Dobici ili gubici po osnovu konverzije finansijskih izvještaja inostranog poslovanja</t>
  </si>
  <si>
    <t>1.4 Добици или губици по основу конверзије финансијских извјештаја иностраног пословања</t>
  </si>
  <si>
    <t>1.4. Gains or losses arising from translation of financial statements in foreign operations</t>
  </si>
  <si>
    <t>1.4   Прибыль или убытки на основе конвертации финансовой отчетности  операций в иностранной валюте</t>
  </si>
  <si>
    <t>1.5 Ostale stavke koje mogu biti reklasifikovane u bilans uspjeha</t>
  </si>
  <si>
    <t>1.5 Остале ставке које могу бити рекласификоване у биланс успјеха</t>
  </si>
  <si>
    <t>1.5. Other items that can be reclassified in the income statement</t>
  </si>
  <si>
    <t>1.5   Прочие пункты, которые могут быть переклассифицированы в отчет о прибылях и убытках</t>
  </si>
  <si>
    <t>Promjena na 339, dio</t>
  </si>
  <si>
    <t>Промјена на 339, дио</t>
  </si>
  <si>
    <t>Change 339, part</t>
  </si>
  <si>
    <t>Изменение в 339, часть</t>
  </si>
  <si>
    <t xml:space="preserve">1.6  Odloženi porez na dobit koji se odnosi na ove stavke </t>
  </si>
  <si>
    <t xml:space="preserve">1.6 Одложени порез на добит који се односи на ове ставке </t>
  </si>
  <si>
    <t>1.6. Deferred income tax related to these items</t>
  </si>
  <si>
    <t>1.6   Отложенный налог на прибыль, относящуюся к пунктам с 1.1. по 1.4</t>
  </si>
  <si>
    <t>2.  Stavke koje neće biti reklasifikovane u bilans uspjeha (± 409± 410 ± 411 ± 412 ± 413 ± 414)</t>
  </si>
  <si>
    <t>2.  Ставке које неће бити рекласификоване у биланс успјеха (± 409± 410 ± 411 ± 412 ± 413 ± 414)</t>
  </si>
  <si>
    <t>2. Items that will not be reclassified in the income statement (± 409± 410 ± 411 ± 412 ± 413 ± 414)</t>
  </si>
  <si>
    <t>2. Пункты, которые не будут переклассифицированы в отчет о прибылях и убытках (± 409± 410 ± 411 ± 412 ± 413 ± 414)</t>
  </si>
  <si>
    <t>2.1 Revalorizacija nekretnina, postrojenja, opreme i nematerijalne imovine</t>
  </si>
  <si>
    <t>2.1 Ревалоризација некретнина, постројења, опреме и нематеријалне имовине</t>
  </si>
  <si>
    <t>2.1. Revaluation of real estate, plant, equipment and intangible assets</t>
  </si>
  <si>
    <t>2.1   Переоценка недвижимости, установок, оборудования и нематериальных активов</t>
  </si>
  <si>
    <t>Promjena na 330</t>
  </si>
  <si>
    <t>Промјена на 330</t>
  </si>
  <si>
    <t>Change 330</t>
  </si>
  <si>
    <t>Изменение в 330</t>
  </si>
  <si>
    <t>2.2  Povećanje/(smanjenje) fer vrijednosti vlasničkih instrumenata po fer vrijednosti kroz ostali ukupan rezultat</t>
  </si>
  <si>
    <t>2.2  Повећање/(смањење) фер вриједности власничких инструмената по фер вриједности кроз остали укупан резултат</t>
  </si>
  <si>
    <t>2.2. Increase/(decrease) in the fair value of equity instruments at fair value through other comprehensive income</t>
  </si>
  <si>
    <t>2.2    Увеличение/(уменьшение) справедливой стоимости долевых инструментов по справедливой стоимости через прочий совокупный результат</t>
  </si>
  <si>
    <t>Change 332 i 333</t>
  </si>
  <si>
    <t>Изменение в 332 и 333</t>
  </si>
  <si>
    <t>2.3  Aktuarski dobici/(gubici) od planova definisanih primanja</t>
  </si>
  <si>
    <t>2.3 Актуарски добици/(губици) од планова дефинисаних примања</t>
  </si>
  <si>
    <t>2.3. Actuarial gains/(losses) from defined benefit plans</t>
  </si>
  <si>
    <t>2.3    Актуарная прибыль/(убытки) от планов с установленными выплатами</t>
  </si>
  <si>
    <t>2.4 Udio u ostalom ukupnom rezultatu pridruženog društva i zajedničkog poduhvata primjenom metode udjela</t>
  </si>
  <si>
    <t>2.4 Удио у осталом укупном резултату придруженог друштва и заједничког подухвата примјеном методе удјела</t>
  </si>
  <si>
    <t>2.4. Share in the other comprehensive income of the associated company and joint venture using the equity method</t>
  </si>
  <si>
    <t>2.4  Доля в прочем совокупном результате ассоциированного общества и совместного предприятия с использованием метода долевого участия</t>
  </si>
  <si>
    <t>2.5 Ostale stavke koje neće biti reklasifikovane u bilans uspjeha</t>
  </si>
  <si>
    <t>2.5 Остале ставке које неће бити рекласификоване у биланс успјеха</t>
  </si>
  <si>
    <t>2.5. Other items that will not be reclassified in the income statement</t>
  </si>
  <si>
    <t>2.5    Прочие пункты, которые не будут переклассифицированы в отчет о прибылях и убытках</t>
  </si>
  <si>
    <t>2.6 Odloženi porez na dobit koji se odnosi na ove stavke</t>
  </si>
  <si>
    <t>2.6 Одложени порез на добит који се односи на ове ставке</t>
  </si>
  <si>
    <t>2.6. Deferred income tax related to these items</t>
  </si>
  <si>
    <t>2.6    Отложенный налог на прибыль, относящуюся к этим пунктам</t>
  </si>
  <si>
    <t>B. OSTALA DOBIT/GUBITAK U PERIODU (± 401 ± 408)</t>
  </si>
  <si>
    <t>Б. ОСТАЛА ДОБИТ/ГУБИТАК У ПЕРИОДУ (± 401 ± 408)</t>
  </si>
  <si>
    <t>B. OTHER GAINS AND LOSSES OF THE PERIOD (± 401 ± 408)</t>
  </si>
  <si>
    <r>
      <t>Б. ПРОЧАЯ ПРИБЫЛЬ/ УБЫТОК В ПЕРИОД (</t>
    </r>
    <r>
      <rPr>
        <rFont val="Calibri"/>
        <charset val="0"/>
        <family val="2"/>
        <sz val="10"/>
        <b val="0"/>
        <i val="0"/>
        <extLst>
          <ext uri="smNativeData">
            <pm:charSpec xmlns:pm="smNativeData" id="1714042646">
              <pm:latin face="Calibri" sz="200" weight="normal" i="0"/>
              <pm:cs/>
              <pm:ea/>
            </pm:charSpec>
          </ext>
        </extLst>
      </rPr>
      <t>±</t>
    </r>
    <r>
      <rPr>
        <rFont val="Times New Roman"/>
        <charset val="0"/>
        <family val="1"/>
        <sz val="10"/>
        <b val="0"/>
        <i val="0"/>
        <extLst>
          <ext uri="smNativeData">
            <pm:charSpec xmlns:pm="smNativeData" id="1714042646">
              <pm:latin face="Times New Roman" sz="200" weight="normal" i="0"/>
              <pm:cs/>
              <pm:ea/>
            </pm:charSpec>
          </ext>
        </extLst>
      </rPr>
      <t>401±408)</t>
    </r>
  </si>
  <si>
    <t xml:space="preserve"> V. UKUPNA DOBIT / (GUBITAK) (400± 415)</t>
  </si>
  <si>
    <t xml:space="preserve"> В. УКУПНА ДОБИТ / (ГУБИТАК) (400± 415)</t>
  </si>
  <si>
    <t>C. TOTAL PROFIT / (LOSS) (400± 415)</t>
  </si>
  <si>
    <t>В. СОВОКУПНАЯ ПРИБЫЛЬ / (УБЫТОК) (400 ± 415)</t>
  </si>
  <si>
    <t>Dio ukupne dobiti/gubitka koji pripada većinskim vlasnicima</t>
  </si>
  <si>
    <t>Дио укупне добити/губитка који припада већинским власницима</t>
  </si>
  <si>
    <t>Share of the total profit/loss which belongs to the majority shareholders</t>
  </si>
  <si>
    <t>Часть совокупной прибыли/убытка, принадлежащая мажоритарным собственникам</t>
  </si>
  <si>
    <t>Dio ukupne dobiti/gubitka koji pripada manjinskim vlasnicima</t>
  </si>
  <si>
    <t>Дио укупне добити/губитка који припада мањинским власницима</t>
  </si>
  <si>
    <t>Share of the total profit/loss which belongs to the minority shareholders</t>
  </si>
  <si>
    <t>Часть совокупной прибыли/убытка, принадлежащая миноритарным собственникам</t>
  </si>
  <si>
    <t>TOKOVI GOTOVINE IZ POSLOVNIH AKTIVNOSTI 
Prilivi gotovine iz poslovne aktivnosti (502 do 505)</t>
  </si>
  <si>
    <t>ТОКОВИ ГОТОВИНЕ ИЗ ПОСЛОВНИХ АКТИВНОСТИ 
Приливи готовине из пословне активности (502 до 505)</t>
  </si>
  <si>
    <t>CASH FLOWS FROM OPERATING ACTIVITIES                                                                                                                                                 
Cash proceeds from operating activities  (502 to 505)</t>
  </si>
  <si>
    <t>ДВИЖЕНИЕ ДЕНЕЖНЫХ СРЕДСТВ В РАМКАХ ОПЕРАЦИОННОЙ ДЕЯТЕЛЬНОСТИ   
Притоки денежных средств от операционной деятельности (502 до 505)</t>
  </si>
  <si>
    <t>A
I</t>
  </si>
  <si>
    <t>A
I</t>
  </si>
  <si>
    <t>А                   
 I</t>
  </si>
  <si>
    <t>Prilivi od kupaca i primljeni avansi u zemlji</t>
  </si>
  <si>
    <t>Приливи од купаца и примљени аванси у земљи</t>
  </si>
  <si>
    <t>Proceeds from sale and advances (prepayments) on domestic market</t>
  </si>
  <si>
    <t>Притоки от покупателей и авансы, принятые в стране</t>
  </si>
  <si>
    <t>1</t>
  </si>
  <si>
    <t>Prilivi od kupaca i primljeni avansi u inostranstvu</t>
  </si>
  <si>
    <t>Приливи од купаца и примљени аванси у иностранству</t>
  </si>
  <si>
    <t>Proceeds from sale and advances (prepayments) on foreign market</t>
  </si>
  <si>
    <t>Притоки от покупателей и авансы, принятые за рубежом</t>
  </si>
  <si>
    <t>2</t>
  </si>
  <si>
    <t>Prilivi od premija, subvencija, dotacija i sl.</t>
  </si>
  <si>
    <t>Приливи од премија, субвенција, дотација и сл.</t>
  </si>
  <si>
    <t>Proceeds from premiums, subventions, grants, etc.</t>
  </si>
  <si>
    <t>Притоки от премий, субвенций, дотаций и т.п.</t>
  </si>
  <si>
    <t>3</t>
  </si>
  <si>
    <t>Ostali prilivi iz poslovnih aktivnosti</t>
  </si>
  <si>
    <t>Остали приливи из пословних активности</t>
  </si>
  <si>
    <t>Other proceeds from operating activities</t>
  </si>
  <si>
    <t>Прочие притоки в рамках операционной деятельности</t>
  </si>
  <si>
    <t>4</t>
  </si>
  <si>
    <t>Odlivi gotovine iz poslovnih aktivnosti (507 do 512)</t>
  </si>
  <si>
    <t>Одливи готовине из пословних активности (507 до 512)</t>
  </si>
  <si>
    <t>Cash outflows from operating activities (507 to 512)</t>
  </si>
  <si>
    <t>Оттоки денежных средств в рамках операционной деятельности (507 до 512)</t>
  </si>
  <si>
    <t>II</t>
  </si>
  <si>
    <t>Odlivi po osnovu isplata dobavljačima i dati avansi u zemlji</t>
  </si>
  <si>
    <t>Одливи по основу исплата добављачима и дати аванси у земљи</t>
  </si>
  <si>
    <t>Payments to suppliers and given advances (prepayments) on domestic market</t>
  </si>
  <si>
    <t>Оттоки на основании выплат поставщикам и авансы, выданные в стране</t>
  </si>
  <si>
    <t>Odlivi po osnovu isplata dobavljačima i dati avansi u inostranstvu</t>
  </si>
  <si>
    <t>Одливи по основу исплата добављачима и дати аванси у иностранству</t>
  </si>
  <si>
    <t>Payments to suppliers and given advances (prepayments) on foreign market</t>
  </si>
  <si>
    <t>Оттоки на основании выплат поставщикам и авансы, выданные за рубежом</t>
  </si>
  <si>
    <t>Odlivi po osnovu plaćenih kamata</t>
  </si>
  <si>
    <t>Одливи по основу плаћених камата</t>
  </si>
  <si>
    <t>Payment of interests</t>
  </si>
  <si>
    <t>Оттоки на основании оплаченных процентов</t>
  </si>
  <si>
    <t>Odlivi po osnovu isplata plata, naknada plata i ostalih ličnih rashoda</t>
  </si>
  <si>
    <t>Одливи по основу исплата плата, накнада плата и осталих личних расхода</t>
  </si>
  <si>
    <t>Payments for employee wages, salaries, and other employee benefits</t>
  </si>
  <si>
    <t>Оттоки на основании выплат заработных плат, компенсаций заработных плат и прочих личных расходов</t>
  </si>
  <si>
    <t>Odlivi po osnovu poreza na dobit</t>
  </si>
  <si>
    <t>Одливи по основу пореза на добит</t>
  </si>
  <si>
    <t>Payment of income taxes</t>
  </si>
  <si>
    <t>Оттоки на основании налога на прибыль</t>
  </si>
  <si>
    <t>5</t>
  </si>
  <si>
    <t>Ostali odlivi iz poslovnih aktivnosti</t>
  </si>
  <si>
    <t>Остали одливи из пословних активности</t>
  </si>
  <si>
    <t>Other payments of operating activities</t>
  </si>
  <si>
    <t>Прочие оттоки в рамках операционной деятельности</t>
  </si>
  <si>
    <t>6</t>
  </si>
  <si>
    <t>Neto priliv gotovine iz poslovnih aktivnosti (501 – 506)</t>
  </si>
  <si>
    <t>Нето прилив готовине из пословних активности (501 – 506)</t>
  </si>
  <si>
    <t>Net inflow of cash from operating activities (501 - 506)</t>
  </si>
  <si>
    <t>Нетто притоки денежных средств в рамках операционной деятельности (501 – 506)</t>
  </si>
  <si>
    <t>III</t>
  </si>
  <si>
    <t>Neto odliv gotovine iz poslovnih aktivnosti (506 – 501)</t>
  </si>
  <si>
    <t>Нето одлив готовине из пословних активности (506 – 501)</t>
  </si>
  <si>
    <t>Net outflow of cash from operating activities (506 - 501)</t>
  </si>
  <si>
    <t>Нетто оттоки денежных средств в рамках операционной деятельности (506 – 501)</t>
  </si>
  <si>
    <t>IV</t>
  </si>
  <si>
    <t>TOKOVI GOTOVINE IZ AKTIVNOSTI INVESTIRANJA
Prilivi gotovine iz aktivnosti investiranja (516 do 530)</t>
  </si>
  <si>
    <t>ТОКОВИ ГОТОВИНЕ ИЗ АКТИВНОСТИ ИНВЕСТИРАЊА
Приливи готовине из активности инвестирања (516 до 530)</t>
  </si>
  <si>
    <t>CASH FLOWS FROM INVESTING ACTIVITIES  Cash proceeds from investing activities  (516 to 530)</t>
  </si>
  <si>
    <t>ДВИЖЕНИЕ ДЕНЕЖНЫХ СРЕДСТВ В РАМКАХ ИНВЕСТИЦИОННОЙ ДЕЯТЕЛЬНОСТИ         
Притоки денежных средств в рамках   инвестиционной деятельности (516 до 530)</t>
  </si>
  <si>
    <t>B
I</t>
  </si>
  <si>
    <t>Б
I</t>
  </si>
  <si>
    <t>Б                   
 I</t>
  </si>
  <si>
    <t>Prilivi gotovine po osnovu prodaje akcija i udjela zavisnih i pridruženih društava i zajedničkih poduhvata</t>
  </si>
  <si>
    <t>Приливи готовине по основу продаје акција и удјела зависних и придружених друштава и заједничких подухвата</t>
  </si>
  <si>
    <t>Proceeds from sale of shares and capital stakes in subsidiaries, affiliates and joint ventures</t>
  </si>
  <si>
    <t>Притоки денежных средств на основании  продаж акций и долей зависимых и ассоциированных обществ и совместных предприятий</t>
  </si>
  <si>
    <t>Prilivi po osnovu prodaje nekretnina, postrojenja i opreme</t>
  </si>
  <si>
    <t>Приливи по основу продаје некретнина, постројења и опреме</t>
  </si>
  <si>
    <t>Proceeds from sale of real-estates, plant and equipment</t>
  </si>
  <si>
    <t>Притоки на основании продаж  недвижимости, установок и оборудования</t>
  </si>
  <si>
    <t>Prilivi po osnovu prodaje investicionih nekretnina</t>
  </si>
  <si>
    <t>Приливи по основу продаје инвестиционих некретнина</t>
  </si>
  <si>
    <t>Proceeds from sale of investment properties</t>
  </si>
  <si>
    <t>Притоки на основании продаж инвестиционной недвижимости</t>
  </si>
  <si>
    <t>Prilivi po osnovu prodaje bioloških sredstava</t>
  </si>
  <si>
    <t>Приливи по основу продаје биолошких средстава</t>
  </si>
  <si>
    <t>Proceeds from sale of biological assets</t>
  </si>
  <si>
    <t>Притоки на основании продаж биологических средств</t>
  </si>
  <si>
    <t>Prilivi po osnovu prodaje nematerijalnih sredstava</t>
  </si>
  <si>
    <t>Приливи по основу продаје нематеријалних средстава</t>
  </si>
  <si>
    <t>Proceeds from sale of intangible assets</t>
  </si>
  <si>
    <t>Притоки на основании продаж  нематериальных средств</t>
  </si>
  <si>
    <t>Prilivi po osnovu prodaje stalnih sredstava namijenjenih prodaji</t>
  </si>
  <si>
    <t>Приливи по основу продаје сталних средстава намијењених продаји</t>
  </si>
  <si>
    <t>Proceeds from sale of fixed assets available for sale</t>
  </si>
  <si>
    <t>Притоки на основании продаж внеоборотных средств, предназначенных для продажи</t>
  </si>
  <si>
    <t>Prilivi od finansijskih sredstava po fer vrijednosti kroz ostali ukupni rezultat</t>
  </si>
  <si>
    <t>Приливи од финансијских средстава по фер вриједности кроз остали укупни резултат</t>
  </si>
  <si>
    <t>Proceeds from financial assets held at fair value through other comprehensive income</t>
  </si>
  <si>
    <t>Притоки от финансовых средств по справедливой стоимости через прочий совокупный результат</t>
  </si>
  <si>
    <t>7</t>
  </si>
  <si>
    <t>Prilivi od finansijskih sredstva po fer vrijednosti kroz bilans uspjeha</t>
  </si>
  <si>
    <t>Приливи од финансијских средства по фер вриједности кроз биланс успјеха</t>
  </si>
  <si>
    <t>Proceeds from financial assets held at fair value through profit or loss</t>
  </si>
  <si>
    <t>Притоки от финансовых средств по справедливой стоимости через отчет о прибылях и убытках</t>
  </si>
  <si>
    <t>8</t>
  </si>
  <si>
    <t>8.</t>
  </si>
  <si>
    <t>Prilivi od ostalih finansijskih sredstava po amortizovanoj vrijednosti</t>
  </si>
  <si>
    <t>Приливи од осталих финансијских средстава по амортизованој вриједности</t>
  </si>
  <si>
    <t>Proceeds from other financial assets at amortised cost</t>
  </si>
  <si>
    <t>Притоки от прочих финансовых  средств по амортизированной стоимости</t>
  </si>
  <si>
    <t>9</t>
  </si>
  <si>
    <t>9.</t>
  </si>
  <si>
    <t>Prilivi po osnovu lizinga (glavnica)</t>
  </si>
  <si>
    <t>Приливи по основу лизинга (главница)</t>
  </si>
  <si>
    <t>Proceeds from lease (principal)</t>
  </si>
  <si>
    <t>Притоки на основании лизинга (основная сумма)</t>
  </si>
  <si>
    <t>10</t>
  </si>
  <si>
    <t>10.</t>
  </si>
  <si>
    <t>Prilivi po osnovu lizinga (kamata)</t>
  </si>
  <si>
    <t>Приливи по основу лизинга (камата)</t>
  </si>
  <si>
    <t>Proceeds from lease (interest)</t>
  </si>
  <si>
    <t>Притоки на основании лизинга (проценты)</t>
  </si>
  <si>
    <t>11</t>
  </si>
  <si>
    <t>11.</t>
  </si>
  <si>
    <t>Prilivi po osnovu kamata</t>
  </si>
  <si>
    <t>Приливи по основу камата</t>
  </si>
  <si>
    <t>Proceeds from interests</t>
  </si>
  <si>
    <t xml:space="preserve">Притоки на основании процентов </t>
  </si>
  <si>
    <t>12</t>
  </si>
  <si>
    <t>12.</t>
  </si>
  <si>
    <t>Prilivi od dividendi i učešća u dobiti</t>
  </si>
  <si>
    <t>Приливи од дивиденди и учешћа у добити</t>
  </si>
  <si>
    <t>Proceeds from dividends and participation in profit</t>
  </si>
  <si>
    <t>Притоки от дивидендов и участия в прибыли</t>
  </si>
  <si>
    <t>13</t>
  </si>
  <si>
    <t>13.</t>
  </si>
  <si>
    <t>Prilivi po osnovu derivatnih finansijskih instrumenata</t>
  </si>
  <si>
    <t>Приливи по основу дериватних финансијских инструмената</t>
  </si>
  <si>
    <t>Proceeds from financial derivatives</t>
  </si>
  <si>
    <t>Притоки на основании производных  финансовых инструментов</t>
  </si>
  <si>
    <t>14</t>
  </si>
  <si>
    <t>14.</t>
  </si>
  <si>
    <t>Ostali prilivi iz aktivnosti investiranja</t>
  </si>
  <si>
    <t>Остали приливи из активности инвестирања</t>
  </si>
  <si>
    <t>Other proceeds from investment activities</t>
  </si>
  <si>
    <t>Прочие притоки в рамках инвестиционной деятельности</t>
  </si>
  <si>
    <t>15</t>
  </si>
  <si>
    <t>15.</t>
  </si>
  <si>
    <t>Odlivi gotovine iz aktivnosti investiranja (532 do 541)</t>
  </si>
  <si>
    <t>Одливи готовине из активности инвестирања (532 до 541)</t>
  </si>
  <si>
    <t>Cash outflow from investing activities  (532 to 541)</t>
  </si>
  <si>
    <t>Оттоки денежных средств в рамках инвестиционной деятельности (532 до 541)</t>
  </si>
  <si>
    <t>Odlivi gotovine po osnovu kupovine akcija i udjela zavisnih i pridruženih društava i zajedničkih poduhvata</t>
  </si>
  <si>
    <t>Одливи готовине по основу куповине акција и удјела зависних и придружених друштава и заједничких подухвата</t>
  </si>
  <si>
    <t>Outflows from purchase of shares and capital stakes in subsidiaries, affiliates and joint ventures</t>
  </si>
  <si>
    <t>Оттоки денежных средств на основании приобретения акций и долей зависимых и ассоциированных обществ и совместных предприятий</t>
  </si>
  <si>
    <t>Odlivi po osnovu kupovine nekretnina, postrojenja i opreme</t>
  </si>
  <si>
    <t>Одливи по основу куповине некретнина, постројења и опреме</t>
  </si>
  <si>
    <t>Оutflows from purchase of real-estates, plant and equipment</t>
  </si>
  <si>
    <t>Оттоки на основании приобретения недвижимости, установок и оборудования</t>
  </si>
  <si>
    <t>Odlivi po osnovu kupovine investicionih nekretnina</t>
  </si>
  <si>
    <t>Одливи по основу куповине инвестиционих некретнина</t>
  </si>
  <si>
    <t>Outflows from purchase of investment properties</t>
  </si>
  <si>
    <t>Оттоки на основании приобретения  инвестиционной недвижимости</t>
  </si>
  <si>
    <t>Odlivi po osnovu kupovine bioloških sredstava</t>
  </si>
  <si>
    <t>Одливи по основу куповине биолошких средстава</t>
  </si>
  <si>
    <t>Outflows from purchase of biological assets</t>
  </si>
  <si>
    <t>Оттоки на основании приобретения  биологических средств</t>
  </si>
  <si>
    <t>Odlivi po osnovu kupovine nematerijalnih sredstava</t>
  </si>
  <si>
    <t>Одливи по основу куповине нематеријалних средстава</t>
  </si>
  <si>
    <t>Outflows from purchase of intangible assets</t>
  </si>
  <si>
    <t>Оттоки на основании приобретения  нематериальных средств</t>
  </si>
  <si>
    <t>Odlivi po osnovu finansijskih sredstava po fer vrijednosti kroz ostali ukupni rezultat</t>
  </si>
  <si>
    <t>Одливи по основу финансијских средстава по фер вриједности кроз остали укупни резултат</t>
  </si>
  <si>
    <t>Outflows from financial assets held at fair value through other comprehensive income</t>
  </si>
  <si>
    <t>Оттоки на основании финансовых средств по справедливой стоимости через прочий совокупный результат</t>
  </si>
  <si>
    <t>Odlivi po osnovu finansijskih sredstva po fer vrijednosti kroz bilans uspjeha</t>
  </si>
  <si>
    <t>Одливи по основу финансијских средства по фер вриједности кроз биланс успјеха</t>
  </si>
  <si>
    <t>Outflows from financial assets held at fair value through profit or loss</t>
  </si>
  <si>
    <t>Оттоки на основании финансовых  средств по справедливой стоимости через отчет о прибылях и убытках</t>
  </si>
  <si>
    <t>Odlivi po osnovu ostalih finansijskih sredstava po amortizovanoj vrijednosti</t>
  </si>
  <si>
    <t>Одливи по основу осталих финансијских средстава по амортизованој вриједности</t>
  </si>
  <si>
    <t>Outflows from other financial assets at amortised cost</t>
  </si>
  <si>
    <t>Оттоки на основании прочих финансовых средств по амортизированной стоимости</t>
  </si>
  <si>
    <t>Odlivi po osnovu derivatnih finansijskih instrumenata</t>
  </si>
  <si>
    <t>Одливи по основу дериватних финансијских инструмената</t>
  </si>
  <si>
    <t>Outflows from financial derivatives</t>
  </si>
  <si>
    <t>Оттоки на основании производных  финансовых инструментов</t>
  </si>
  <si>
    <t>Ostali odlivi iz aktivnosti investiranja</t>
  </si>
  <si>
    <t>Остали одливи из активности инвестирања</t>
  </si>
  <si>
    <t>Outflows arising from other investment activities</t>
  </si>
  <si>
    <t>Прочие оттоки в рамках инвестиционной деятельности</t>
  </si>
  <si>
    <t>Neto priliv gotovine iz aktivnosti investiranja (515-531)</t>
  </si>
  <si>
    <t>Нето прилив готовине из активности инвестирања (515-531)</t>
  </si>
  <si>
    <t>Net cash inflow from investing activities (515-531)</t>
  </si>
  <si>
    <t>Нетто приток денежных средств в рамках инвестиционной деятельности (515-531)</t>
  </si>
  <si>
    <t>Neto odliv gotovine iz aktivnosti investiranja (531 – 515)</t>
  </si>
  <si>
    <t>Нето одлив готовине из активности инвестирања (531 – 515)</t>
  </si>
  <si>
    <t>Net cash outflow from investing activities (531 – 515)</t>
  </si>
  <si>
    <t>Нетто отток денежных средств в рамках инвестиционной деятельности (531 – 515)</t>
  </si>
  <si>
    <t>TOKOVI GOTOVINE IZ AKTIVNOSTI FINANSIRANJA
Prilivi gotovine iz aktivnosti finansiranja (545 do 550)</t>
  </si>
  <si>
    <t>ТОКОВИ ГОТОВИНЕ ИЗ АКТИВНОСТИ ФИНАНСИРАЊА
Приливи готовине из активности финансирања (545 до 550)</t>
  </si>
  <si>
    <t>CASH FLOW FROM FINANCING ACTIVITIES  Cash inflow from financing activities  (545 to 550)</t>
  </si>
  <si>
    <t>ДВИЖЕНИЕ ДЕНЕЖНЫХ СРЕДСТВ В РАМКАХ ФИНАНСОВОЙ ДЕЯТЕЛЬНОСТИ                             
Притоки денежных средств в рамках финансовой деятельности (545 до 550)</t>
  </si>
  <si>
    <t>B
I</t>
  </si>
  <si>
    <t>В                   
 I</t>
  </si>
  <si>
    <t>Prilivi po osnovu povećanja osnovnog kapitala</t>
  </si>
  <si>
    <t>Приливи по основу повећања основног капитала</t>
  </si>
  <si>
    <t>Inflows from increase in share capital</t>
  </si>
  <si>
    <t>Притоки на основании увеличения основного капитала</t>
  </si>
  <si>
    <t>Prilivi od prodaje otkupljenih sopstvenih akcija</t>
  </si>
  <si>
    <t>Приливи од продаје откупљених сопствених акција</t>
  </si>
  <si>
    <t>Inflows from sale of redeemed shares</t>
  </si>
  <si>
    <t>Притоки от продаж выкупленных собственных акций</t>
  </si>
  <si>
    <t>Prilivi po osnovu dugoročnih kredita</t>
  </si>
  <si>
    <t>Приливи по основу дугорочних кредита</t>
  </si>
  <si>
    <t>Inflows from long-term loans</t>
  </si>
  <si>
    <t>Притоки на основании долгосрочных кредитов</t>
  </si>
  <si>
    <t>Prilivi po osnovu kratkoročnih kredita</t>
  </si>
  <si>
    <t>Приливи по основу краткорочних кредита</t>
  </si>
  <si>
    <t>Inflows from short-term loans</t>
  </si>
  <si>
    <t>Притоки на основании краткосрочных кредитов</t>
  </si>
  <si>
    <t>Prilivi po osnovu izdatih dužničkih instrumenta</t>
  </si>
  <si>
    <t>Приливи по основу издатих дужничких инструмента</t>
  </si>
  <si>
    <t>Inflows from issued debt instruments</t>
  </si>
  <si>
    <t>Притоки на основании выданных долговых инструментов</t>
  </si>
  <si>
    <t xml:space="preserve">Ostali prilivi iz aktivnosti finansiranja </t>
  </si>
  <si>
    <t xml:space="preserve">Остали приливи из активности финансирања </t>
  </si>
  <si>
    <t>Other inflows from financing activities</t>
  </si>
  <si>
    <t>Прочие притоки в рамках финансовой деятельности</t>
  </si>
  <si>
    <t>Odlivi gotovine iz aktivnosti finansiranja (552 do 558)</t>
  </si>
  <si>
    <t>Одливи готовине из активности финансирања (552 до 558)</t>
  </si>
  <si>
    <t>Cash outflow from financing activities (552 to 558)</t>
  </si>
  <si>
    <t>Оттоки денежных средств в рамках  финансовой деятельности (552 до 558)</t>
  </si>
  <si>
    <t>Odlivi po osnovu otkupa sopstvenih akcija i udjela</t>
  </si>
  <si>
    <t>Одливи по основу откупа сопствених акција и удјела</t>
  </si>
  <si>
    <t>Outflow from redemption of own shares and capital stakes</t>
  </si>
  <si>
    <t>Оттоки на основании выкупа собственных акций и долей</t>
  </si>
  <si>
    <t xml:space="preserve">Odlivi po osnovu dugoročnih kredita </t>
  </si>
  <si>
    <t xml:space="preserve">Одливи по основу дугорочних кредита </t>
  </si>
  <si>
    <t xml:space="preserve">Outflow from long-term loans </t>
  </si>
  <si>
    <t xml:space="preserve">Оттоки на основании долгосрочных  кредитов </t>
  </si>
  <si>
    <t xml:space="preserve">Odlivi po osnovu kratkoročnih kredita </t>
  </si>
  <si>
    <t xml:space="preserve">Одливи по основу краткорочних кредита </t>
  </si>
  <si>
    <t>Outflow from short-term loans</t>
  </si>
  <si>
    <t xml:space="preserve">Оттоки на основании краткосрочных кредитов </t>
  </si>
  <si>
    <t xml:space="preserve">Odlivi po osnovu lizinga </t>
  </si>
  <si>
    <t xml:space="preserve">Одливи по основу лизинга </t>
  </si>
  <si>
    <t>Outflow from finance lease</t>
  </si>
  <si>
    <t xml:space="preserve">Оттоки на основании лизинга </t>
  </si>
  <si>
    <t>Odlivi po osnovu dužničkih instrumenata</t>
  </si>
  <si>
    <t>Одливи по основу дужничких инструмената</t>
  </si>
  <si>
    <t>Outflow from debt instruments</t>
  </si>
  <si>
    <t>Оттоки на основании долговых  инструментов</t>
  </si>
  <si>
    <t>Odlivi po osnovu isplaćenih dividendi</t>
  </si>
  <si>
    <t>Одливи по основу исплаћених дивиденди</t>
  </si>
  <si>
    <t>Outflow arising from dividends</t>
  </si>
  <si>
    <t>Оттоки на основании выплаченных  дивидендов</t>
  </si>
  <si>
    <t>Ostali odlivi iz aktivnosti finansiranja</t>
  </si>
  <si>
    <t>Остали одливи из активности финансирања</t>
  </si>
  <si>
    <t>Other outflows from financing activities</t>
  </si>
  <si>
    <t>Прочие оттоки в рамках финансовой деятельности</t>
  </si>
  <si>
    <t>Neto priliv gotovine iz aktivnosti finansiranja (544 – 551)</t>
  </si>
  <si>
    <t>Нето прилив готовине из активности финансирања (544 – 551)</t>
  </si>
  <si>
    <t xml:space="preserve">Net inflow of cash from financing activities (544 – 551) </t>
  </si>
  <si>
    <t>Нетто притоки денежных средств в рамках финансовой деятельности (544 – 551)</t>
  </si>
  <si>
    <t xml:space="preserve">Neto odliv gotovine iz aktivnosti finansiranja (551 – 544) </t>
  </si>
  <si>
    <t xml:space="preserve">Нето одлив готовине из активности финансирања (551 – 544) </t>
  </si>
  <si>
    <t xml:space="preserve">Net outflow of cash from financing activities (551 – 544) </t>
  </si>
  <si>
    <t xml:space="preserve">Нетто отток денежных средств в рамках финансовой деятельности (551 – 544) </t>
  </si>
  <si>
    <t>UKUPNI PRILIVI GOTOVINE (501 + 515 + 544)</t>
  </si>
  <si>
    <t>УКУПНИ ПРИЛИВИ ГОТОВИНЕ (501 + 515 + 544)</t>
  </si>
  <si>
    <t>TOTAL CASH INFLOW (501 + 515 + 544)</t>
  </si>
  <si>
    <t>СОВОКУПНЫЕ ПРИТОКИ ДЕНЕЖНЫХ СРЕДСТВ (501 + 515 + 544)</t>
  </si>
  <si>
    <t>G</t>
  </si>
  <si>
    <t>Г</t>
  </si>
  <si>
    <t>UKUPNI ODLIVI GOTOVINE (506 + 531 + 551)</t>
  </si>
  <si>
    <t>УКУПНИ ОДЛИВИ ГОТОВИНЕ (506 + 531 + 551)</t>
  </si>
  <si>
    <t>TOTAL CASH OUTFLOW (506 + 531 + 551)</t>
  </si>
  <si>
    <t>СОВОКУПНЫЕ ОТТОКИ ДЕНЕЖНЫХ СРЕДСТВ (506 + 531 + 551)</t>
  </si>
  <si>
    <t>D</t>
  </si>
  <si>
    <t>Д</t>
  </si>
  <si>
    <t>NETO PRILIV GOTOVINE (561 – 562)</t>
  </si>
  <si>
    <t>НЕТО ПРИЛИВ ГОТОВИНЕ (561 – 562)</t>
  </si>
  <si>
    <t>NET CASH INFLOW (561 – 562)</t>
  </si>
  <si>
    <t>НЕТТО ПРИТОК ДЕНЕЖНЫХ СРЕДСТВ (561 – 562)</t>
  </si>
  <si>
    <t>Đ</t>
  </si>
  <si>
    <t>Ђ</t>
  </si>
  <si>
    <t>NETO ODLIV GOTOVINE (562 – 561)</t>
  </si>
  <si>
    <t>НЕТО ОДЛИВ ГОТОВИНЕ (562 – 561)</t>
  </si>
  <si>
    <t>NET CASH OUTFLOW (562 – 561)</t>
  </si>
  <si>
    <t>НЕТТО ОТТОК ДЕНЕЖНЫХ СРЕДСТВ (562 – 561)</t>
  </si>
  <si>
    <t>E</t>
  </si>
  <si>
    <t>Е</t>
  </si>
  <si>
    <t xml:space="preserve">GOTOVINA NA POČETKU OBRAČUNSKOG PERIODA </t>
  </si>
  <si>
    <t xml:space="preserve">ГОТОВИНА НА ПОЧЕТКУ ОБРАЧУНСКОГ ПЕРИОДА </t>
  </si>
  <si>
    <t>CASH AT THE BEGINNING OF REPORTING PERIOD</t>
  </si>
  <si>
    <t>ДЕНЕЖНЫЕ СРЕДСТВА В НАЧАЛЕ РАСЧЕТНОГО ПЕРИОДА</t>
  </si>
  <si>
    <t>Ž</t>
  </si>
  <si>
    <t>Ж</t>
  </si>
  <si>
    <t>POZITIVNE KURSNE RAZLIKE PO OSNOVU PRERAČUNA GOTOVINE</t>
  </si>
  <si>
    <t>ПОЗИТИВНЕ КУРСНЕ РАЗЛИКЕ ПО ОСНОВУ ПРЕРАЧУНА ГОТОВИНЕ</t>
  </si>
  <si>
    <t>FOREIGN EXCHANGE GAINS FROM TRANSLATION OF CASH</t>
  </si>
  <si>
    <t>ПОЛОЖИТЕЛЬНЫЕ КУРСОВЫЕ РАЗНИЦЫ НА ОСНОВАНИИ ПЕРЕРАСЧЕТА ДЕНЕЖНЫХ СРЕДСТВ</t>
  </si>
  <si>
    <t>Z</t>
  </si>
  <si>
    <t>З</t>
  </si>
  <si>
    <t>NEGATIVNE KURSNE RAZLIKE PO OSNOVU PRERAČUNA GOTOVINE</t>
  </si>
  <si>
    <t>НЕГАТИВНЕ КУРСНЕ РАЗЛИКЕ ПО ОСНОВУ ПРЕРАЧУНА ГОТОВИНЕ</t>
  </si>
  <si>
    <t>FOREIGN EXCHANGE LOSSES FROM TRANSLATION OF CASH</t>
  </si>
  <si>
    <t>НЕГАТИВНЫЕ КУРСОВЫЕ РАЗНИЦЫ НА ОСНОВАНИИ ПЕРЕРАСЧЕТА ДЕНЕЖНЫХ СРЕДСТВ</t>
  </si>
  <si>
    <t>I</t>
  </si>
  <si>
    <t>И</t>
  </si>
  <si>
    <t>GOTOVINA NA KRAJU OBRAČUNSKOG PERIODA (565 + 563 – 564 + 566 – 567)</t>
  </si>
  <si>
    <t>ГОТОВИНА НА КРАЈУ ОБРАЧУНСКОГ ПЕРИОДА (565 + 563 – 564 + 566 – 567)</t>
  </si>
  <si>
    <t>CASH AT THE END OF REPORTING PERIOD (565 + 563 – 564 + 566 – 567)</t>
  </si>
  <si>
    <t>ДЕНЕЖНЫЕ СРЕДСТВА В КОНЦЕ РАСЧЕТНОГО ПЕРИОДА (565 + 563 – 564 + 566 – 567)</t>
  </si>
  <si>
    <t>J</t>
  </si>
  <si>
    <t>Ј</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</si>
  <si>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</si>
  <si>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</si>
  <si>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</si>
  <si>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Инвестиции в исследования и развитие (дебиторская задолженность без первоначального состояния)</t>
  </si>
  <si>
    <t>010</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</si>
  <si>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</si>
  <si>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</si>
  <si>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</si>
  <si>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</si>
  <si>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201, dio 200</t>
  </si>
  <si>
    <t>201, дио 200</t>
  </si>
  <si>
    <t>201, part 200</t>
  </si>
  <si>
    <t>201, часть 200</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</si>
  <si>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</si>
  <si>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</si>
  <si>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</si>
  <si>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</si>
  <si>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202, dio 200</t>
  </si>
  <si>
    <t>202, дио 200</t>
  </si>
  <si>
    <t>202, part 200</t>
  </si>
  <si>
    <t>202, часть 200</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</si>
  <si>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</si>
  <si>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</si>
  <si>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</si>
  <si>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Покупатели из Округа Брчко БиГ и покупатели - аффилированные юридические лица из ОБ (дебиторская задолженность без первоначального состояния)</t>
  </si>
  <si>
    <t>203, dio 200</t>
  </si>
  <si>
    <t>203, дио 200</t>
  </si>
  <si>
    <t>203, part 200</t>
  </si>
  <si>
    <t>203, часть 200</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</si>
  <si>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</si>
  <si>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</si>
  <si>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</si>
  <si>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</si>
  <si>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432, dio 431</t>
  </si>
  <si>
    <t>432, дио 431</t>
  </si>
  <si>
    <t>432, part 431</t>
  </si>
  <si>
    <t>432, часть 431</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</si>
  <si>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</si>
  <si>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</si>
  <si>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</si>
  <si>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Поставщики из Федерации БиГ и поставщики - аффилированные юридические лица из ФБиГ (кредиторская задолженность без первоначального состояния)</t>
  </si>
  <si>
    <t>433, dio 431</t>
  </si>
  <si>
    <t>433, дио 431</t>
  </si>
  <si>
    <t>433, part 431</t>
  </si>
  <si>
    <t>433, часть 431</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</si>
  <si>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</si>
  <si>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</si>
  <si>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</si>
  <si>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Поставщики из Округа Брчко и поставщики - аффилированные юридические лица из ОБ (кредиторская задолженность без первоначального состояния)</t>
  </si>
  <si>
    <t>434, dio 431</t>
  </si>
  <si>
    <t>434, дио 431</t>
  </si>
  <si>
    <t>434, part 431</t>
  </si>
  <si>
    <t>434, часть 431</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</si>
  <si>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</si>
  <si>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</si>
  <si>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</si>
  <si>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Доходы от продажи товара в Республике Сербской и доходы от продажи товара аффилированным юридическим лицам в РС</t>
  </si>
  <si>
    <t>601, dio 600, dio 605</t>
  </si>
  <si>
    <t>601, дио 600, дио 605</t>
  </si>
  <si>
    <t>601, part 600, part 605</t>
  </si>
  <si>
    <t>601, часть 600, часть 605</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</si>
  <si>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</si>
  <si>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</si>
  <si>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</si>
  <si>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Доходы от продажи товара в Федерации БиГ и доходы от продажи товара аффилированным юридическим лицам в ФБиГ</t>
  </si>
  <si>
    <t>602, dio 600, dio 605</t>
  </si>
  <si>
    <t>602, дио 600, дио 605</t>
  </si>
  <si>
    <t>602, part 600, part 605</t>
  </si>
  <si>
    <t>602, часть 600, часть 605</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</si>
  <si>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</si>
  <si>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</si>
  <si>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</si>
  <si>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Доходы от продажи товара в Округе Брчко БиГ и доходы от продажи товара аффилированным юридическим лицам в ОБ</t>
  </si>
  <si>
    <t>603, dio 600, dio 605</t>
  </si>
  <si>
    <t>603, дио 600, дио 605</t>
  </si>
  <si>
    <t>603, part 600, part 605</t>
  </si>
  <si>
    <t>603, часть 600, часть 605</t>
  </si>
  <si>
    <t>Prihodi od prodaje proizvoda u Republici Srpskoj i prihodi od prodaje proizvoda povezanim pravnim licima u Republici Srpskoj</t>
  </si>
  <si>
    <t>Приходи од продаје производа у Републици Српској и приходи од продаје производа повезаним правним лицима у Републици Српско</t>
  </si>
  <si>
    <t>Income from sales of products in RS and income from sales of products to related legal entities in RS</t>
  </si>
  <si>
    <t>Доходы от продажи продукции</t>
  </si>
  <si>
    <t>611, dio 610, dio 615</t>
  </si>
  <si>
    <t>611, дио 610, дио 615</t>
  </si>
  <si>
    <t>611, part 610, part 615</t>
  </si>
  <si>
    <t xml:space="preserve"> 611, часть 610, часть 615</t>
  </si>
  <si>
    <t>Prihodi od prodaje proizvoda u Federaciji BiH i prihodi od prodaje proizvoda povezanim pravnim licima u Federaciji BiH</t>
  </si>
  <si>
    <t>Приходи од продаје производа у Федерацији БиХ и приходи од продаје производа повезаним правним лицима у Федерацији БиХ</t>
  </si>
  <si>
    <t>Income from sales of products in FBiH and income from sales of products to related legal entities in FBiH</t>
  </si>
  <si>
    <t>Доходы от продажи услуг</t>
  </si>
  <si>
    <t>612, dio 610, dio 615</t>
  </si>
  <si>
    <t>612, дио 610, дио 615</t>
  </si>
  <si>
    <t>612, part 610, part 615</t>
  </si>
  <si>
    <t xml:space="preserve"> 612, часть 610, часть 615</t>
  </si>
  <si>
    <t>Prihodi od prodaje proizvoda u Brčko Distriktu BiH i prihodi od prodaje učinaka povezanim pravnim licima u Brčko Distriktu BiH</t>
  </si>
  <si>
    <t>Приходи од продаје производа у Брчко Дистрикту и приходи од продаје производа повезаним правним лицима у Брчко Дистрикту</t>
  </si>
  <si>
    <t>Income from sales of products in BD and income from sales of products to related legal entities in BD</t>
  </si>
  <si>
    <t>Доходы от продажи готовой продукции в Республике Сербской и доходы от продажи готовой продукции аффилированным юридическим лицам в РС</t>
  </si>
  <si>
    <t>613, dio 610, dio 615</t>
  </si>
  <si>
    <t>613, дио 610, дио 615</t>
  </si>
  <si>
    <t>613, part 610, part 615</t>
  </si>
  <si>
    <t xml:space="preserve"> 613, часть 610, часть 615</t>
  </si>
  <si>
    <t xml:space="preserve">Prihodi od pruženih usluga u Republici Srpskoj i prihodi od pruženih usluga povezanim pravnim licima u Republici Srpskoj  </t>
  </si>
  <si>
    <t>Приходи од пружених услуга  у Републици Српској и приходи од пружених услуга повезаним правним лицима у Републици Српској</t>
  </si>
  <si>
    <t>Income from sales of services in RS and income from sales of services  to related legal entities in RS</t>
  </si>
  <si>
    <t>Доходы от продажи готовой продукции в Федерации БиГ и доходы от продажи готовой продукции аффилированным юридическим лицам в ФБиГ</t>
  </si>
  <si>
    <t>621, dio 620, dio 625</t>
  </si>
  <si>
    <t>621, дио 620, дио 625</t>
  </si>
  <si>
    <t>621, part 620, part 625</t>
  </si>
  <si>
    <t>621, часть 620, часть 625</t>
  </si>
  <si>
    <t>Prihodi od pruženih usluga u Federaciji BiH i prihodi od pruženih usluga povezanim pravnim licima u Federaciji BiH</t>
  </si>
  <si>
    <t>Приходи од пружених услуга  у Федерацији БиХ и приходи од пружених услуга повезаним правним лицима у Федерацији БиХ</t>
  </si>
  <si>
    <t>Income from sales of services in FBIH and income from sales of services  to related legal entities in FBIH</t>
  </si>
  <si>
    <t>Доходы от продажи готовой продукции в Округе Брчко БиГ и доходы от продажи готовой продукции аффилированным юридическим лицам в ОБ</t>
  </si>
  <si>
    <t>622, dio 620, dio 625</t>
  </si>
  <si>
    <t>622, дио 620, дио 625</t>
  </si>
  <si>
    <t>622, part 620, part 625</t>
  </si>
  <si>
    <t>622, часть 620, часть 625</t>
  </si>
  <si>
    <t>Prihodi od pruženih usluga u Brčko Distriktu BiH i prihodi od pruženih usluga povezanim pravnim licima u Brčko Distriktu BiH</t>
  </si>
  <si>
    <t>Приходи од пружених услуга  у Брчко Дистрикту и приходи од пружених услуга повезаним правним лицима у Брчко Дистрикту</t>
  </si>
  <si>
    <t>Income from sales of services in BD and income from sales of services  to related legal entities in BD</t>
  </si>
  <si>
    <t>Доходы от продажи услуг в Республике Сербской</t>
  </si>
  <si>
    <t>623, dio 620, dio 625</t>
  </si>
  <si>
    <t>623, дио 620, дио 625</t>
  </si>
  <si>
    <t>623, part 620, part 625</t>
  </si>
  <si>
    <t>623, часть 620, часть 625</t>
  </si>
  <si>
    <t>OSTALI POSLOVNI PRIHODI (618 + 621 + 622 + 623 + 624 + 625 + 626 + 627 + 628)</t>
  </si>
  <si>
    <t>ОСТАЛИ ПОСЛОВНИ ПРИХОДИ (618 + 621 + 622 + 623 + 624 + 625 + 626 + 627 + 628)</t>
  </si>
  <si>
    <t>OTHER OPERATING INCOME (618 + 621 + 622 + 623 + 624 + 625 + 626 + 627 + 628)</t>
  </si>
  <si>
    <t>ПРОЧИЕ ОПЕРАЦИОННЫЕ ДОХОДЫ (618 + 621 + 622 + 623 + 624 + 625 + 626 + 627 + 628)</t>
  </si>
  <si>
    <t>a) Prihodi od premija, subvencija, dotacija, regresa, podsticaja i slično</t>
  </si>
  <si>
    <t>а) Приходи од премија, субвенција, дотација, регреса, подстицаја и слично</t>
  </si>
  <si>
    <t>a) Income from premiums, subsidies, grants, vacation allowances, compensations and tax returns</t>
  </si>
  <si>
    <t>а) Доходы от премий, субсидий, дотаций, 13-ой заработной платы, стимуляций и прочего</t>
  </si>
  <si>
    <r>
      <t>Od toga: prihodi po osnovu subvencija na proizvode</t>
    </r>
    <r>
      <rPr>
        <rFont val="Calibri"/>
        <charset val="0"/>
        <family val="2"/>
        <sz val="10"/>
        <b val="0"/>
        <i val="0"/>
        <vertAlign val="superscript"/>
        <extLst>
          <ext uri="smNativeData">
            <pm:charSpec xmlns:pm="smNativeData" id="1714042646" ssSize="66" ssDistance="15">
              <pm:latin face="Calibri" sz="200" weight="normal" i="0"/>
              <pm:cs/>
              <pm:ea/>
            </pm:charSpec>
          </ext>
        </extLst>
      </rPr>
      <t>1</t>
    </r>
    <r>
      <rPr>
        <rFont val="Calibri"/>
        <charset val="0"/>
        <family val="2"/>
        <sz val="10"/>
        <b val="0"/>
        <i val="0"/>
        <extLst>
          <ext uri="smNativeData">
            <pm:charSpec xmlns:pm="smNativeData" id="1714042646">
              <pm:latin face="Calibri" sz="200" weight="normal" i="0"/>
              <pm:cs/>
              <pm:ea/>
            </pm:charSpec>
          </ext>
        </extLst>
      </rPr>
      <t xml:space="preserve"> (subvencije koje se mogu prikazati po jedinici proizvoda, npr. vozna karta, brašno, hljeb, mlijeko i dr.)</t>
    </r>
  </si>
  <si>
    <r>
      <t>Од тога: приходи по основу субвенција на производе</t>
    </r>
    <r>
      <rPr>
        <rFont val="Calibri"/>
        <charset val="0"/>
        <family val="2"/>
        <sz val="10"/>
        <b val="0"/>
        <i val="0"/>
        <vertAlign val="superscript"/>
        <extLst>
          <ext uri="smNativeData">
            <pm:charSpec xmlns:pm="smNativeData" id="1714042646" ssSize="66" ssDistance="15">
              <pm:latin face="Calibri" sz="200" weight="normal" i="0"/>
              <pm:cs/>
              <pm:ea/>
            </pm:charSpec>
          </ext>
        </extLst>
      </rPr>
      <t>1</t>
    </r>
    <r>
      <rPr>
        <rFont val="Calibri"/>
        <charset val="0"/>
        <family val="2"/>
        <sz val="10"/>
        <b val="0"/>
        <i val="0"/>
        <extLst>
          <ext uri="smNativeData">
            <pm:charSpec xmlns:pm="smNativeData" id="1714042646">
              <pm:latin face="Calibri" sz="200" weight="normal" i="0"/>
              <pm:cs/>
              <pm:ea/>
            </pm:charSpec>
          </ext>
        </extLst>
      </rPr>
      <t xml:space="preserve"> (субвенције које се могу приказати по јединици производа, нпр. возна карта, брашно, хљеб, млијеко и др.)</t>
    </r>
  </si>
  <si>
    <r>
      <t>Of which: income from product subsidies</t>
    </r>
    <r>
      <rPr>
        <rFont val="Calibri"/>
        <charset val="0"/>
        <family val="2"/>
        <sz val="10"/>
        <b val="0"/>
        <i val="0"/>
        <vertAlign val="superscript"/>
        <extLst>
          <ext uri="smNativeData">
            <pm:charSpec xmlns:pm="smNativeData" id="1714042646" ssSize="66" ssDistance="15">
              <pm:latin face="Calibri" sz="200" weight="normal" i="0"/>
              <pm:cs/>
              <pm:ea/>
            </pm:charSpec>
          </ext>
        </extLst>
      </rPr>
      <t>1</t>
    </r>
    <r>
      <rPr>
        <rFont val="Calibri"/>
        <charset val="0"/>
        <family val="2"/>
        <sz val="10"/>
        <b val="0"/>
        <i val="0"/>
        <extLst>
          <ext uri="smNativeData">
            <pm:charSpec xmlns:pm="smNativeData" id="1714042646">
              <pm:latin face="Calibri" sz="200" weight="normal" i="0"/>
              <pm:cs/>
              <pm:ea/>
            </pm:charSpec>
          </ext>
        </extLst>
      </rPr>
      <t xml:space="preserve"> (subsidies that could be displayed per product unit, e.g. traveler ticket, flour, bread, milk, etc.)</t>
    </r>
  </si>
  <si>
    <r>
      <t xml:space="preserve"> В том числе: доходы от субсидий на продукцию</t>
    </r>
    <r>
      <rPr>
        <rFont val="Calibri"/>
        <charset val="0"/>
        <family val="2"/>
        <sz val="10"/>
        <b val="0"/>
        <i val="0"/>
        <vertAlign val="superscript"/>
        <extLst>
          <ext uri="smNativeData">
            <pm:charSpec xmlns:pm="smNativeData" id="1714042646" ssSize="66" ssDistance="15">
              <pm:latin face="Calibri" sz="200" weight="normal" i="0"/>
              <pm:cs/>
              <pm:ea/>
            </pm:charSpec>
          </ext>
        </extLst>
      </rPr>
      <t>1</t>
    </r>
    <r>
      <rPr>
        <rFont val="Calibri"/>
        <charset val="0"/>
        <family val="2"/>
        <sz val="10"/>
        <b val="0"/>
        <i val="0"/>
        <extLst>
          <ext uri="smNativeData">
            <pm:charSpec xmlns:pm="smNativeData" id="1714042646">
              <pm:latin face="Calibri" sz="200" weight="normal" i="0"/>
              <pm:cs/>
              <pm:ea/>
            </pm:charSpec>
          </ext>
        </extLst>
      </rPr>
      <t xml:space="preserve"> (субсидии, которые могут отображаться по единице продукции, например, проездной билет, мука, хлеб, молоко и т.д.)</t>
    </r>
  </si>
  <si>
    <t>dio 650</t>
  </si>
  <si>
    <t>дио 650</t>
  </si>
  <si>
    <t>part 650</t>
  </si>
  <si>
    <t>часть 650</t>
  </si>
  <si>
    <r>
      <t>Od toga: prihodi po osnovu subvencija na proizvodnju</t>
    </r>
    <r>
      <rPr>
        <rFont val="Calibri"/>
        <charset val="0"/>
        <family val="2"/>
        <sz val="10"/>
        <b val="0"/>
        <i val="0"/>
        <vertAlign val="superscript"/>
        <extLst>
          <ext uri="smNativeData">
            <pm:charSpec xmlns:pm="smNativeData" id="1714042646" ssSize="66" ssDistance="15">
              <pm:latin face="Calibri" sz="200" weight="normal" i="0"/>
              <pm:cs/>
              <pm:ea/>
            </pm:charSpec>
          </ext>
        </extLst>
      </rPr>
      <t>2</t>
    </r>
    <r>
      <rPr>
        <rFont val="Calibri"/>
        <charset val="0"/>
        <family val="2"/>
        <sz val="10"/>
        <b val="0"/>
        <i val="0"/>
        <extLst>
          <ext uri="smNativeData">
            <pm:charSpec xmlns:pm="smNativeData" id="1714042646">
              <pm:latin face="Calibri" sz="200" weight="normal" i="0"/>
              <pm:cs/>
              <pm:ea/>
            </pm:charSpec>
          </ext>
        </extLst>
      </rPr>
      <t xml:space="preserve"> (na zapošljavanje, platu, kamatnu stopu, za smanjenje zagađenja i dr.)</t>
    </r>
  </si>
  <si>
    <r>
      <t>Од тога: приходи по основу субвенција на производњу</t>
    </r>
    <r>
      <rPr>
        <rFont val="Calibri"/>
        <charset val="0"/>
        <family val="2"/>
        <sz val="10"/>
        <b val="0"/>
        <i val="0"/>
        <vertAlign val="superscript"/>
        <extLst>
          <ext uri="smNativeData">
            <pm:charSpec xmlns:pm="smNativeData" id="1714042646" ssSize="66" ssDistance="15">
              <pm:latin face="Calibri" sz="200" weight="normal" i="0"/>
              <pm:cs/>
              <pm:ea/>
            </pm:charSpec>
          </ext>
        </extLst>
      </rPr>
      <t>2</t>
    </r>
    <r>
      <rPr>
        <rFont val="Calibri"/>
        <charset val="0"/>
        <family val="2"/>
        <sz val="10"/>
        <b val="0"/>
        <i val="0"/>
        <extLst>
          <ext uri="smNativeData">
            <pm:charSpec xmlns:pm="smNativeData" id="1714042646">
              <pm:latin face="Calibri" sz="200" weight="normal" i="0"/>
              <pm:cs/>
              <pm:ea/>
            </pm:charSpec>
          </ext>
        </extLst>
      </rPr>
      <t xml:space="preserve"> (на запошљавање, плату, каматну стопу, за смањење загађења и др.)</t>
    </r>
  </si>
  <si>
    <r>
      <t>Of which: income from subsidies given for production</t>
    </r>
    <r>
      <rPr>
        <rFont val="Calibri"/>
        <charset val="0"/>
        <family val="2"/>
        <sz val="10"/>
        <b val="0"/>
        <i val="0"/>
        <vertAlign val="superscript"/>
        <extLst>
          <ext uri="smNativeData">
            <pm:charSpec xmlns:pm="smNativeData" id="1714042646" ssSize="66" ssDistance="15">
              <pm:latin face="Calibri" sz="200" weight="normal" i="0"/>
              <pm:cs/>
              <pm:ea/>
            </pm:charSpec>
          </ext>
        </extLst>
      </rPr>
      <t>2</t>
    </r>
    <r>
      <rPr>
        <rFont val="Calibri"/>
        <charset val="0"/>
        <family val="2"/>
        <sz val="10"/>
        <b val="0"/>
        <i val="0"/>
        <extLst>
          <ext uri="smNativeData">
            <pm:charSpec xmlns:pm="smNativeData" id="1714042646">
              <pm:latin face="Calibri" sz="200" weight="normal" i="0"/>
              <pm:cs/>
              <pm:ea/>
            </pm:charSpec>
          </ext>
        </extLst>
      </rPr>
      <t xml:space="preserve"> (hiring, salary, interest rate, reduction of pollution, etc.)</t>
    </r>
  </si>
  <si>
    <r>
      <t xml:space="preserve"> Доходы от субсидий на производство</t>
    </r>
    <r>
      <rPr>
        <rFont val="Calibri"/>
        <charset val="0"/>
        <family val="2"/>
        <sz val="10"/>
        <b val="0"/>
        <i val="0"/>
        <vertAlign val="superscript"/>
        <extLst>
          <ext uri="smNativeData">
            <pm:charSpec xmlns:pm="smNativeData" id="1714042646" ssSize="66" ssDistance="15">
              <pm:latin face="Calibri" sz="200" weight="normal" i="0"/>
              <pm:cs/>
              <pm:ea/>
            </pm:charSpec>
          </ext>
        </extLst>
      </rPr>
      <t>2</t>
    </r>
    <r>
      <rPr>
        <rFont val="Calibri"/>
        <charset val="0"/>
        <family val="2"/>
        <sz val="10"/>
        <b val="0"/>
        <i val="0"/>
        <extLst>
          <ext uri="smNativeData">
            <pm:charSpec xmlns:pm="smNativeData" id="1714042646">
              <pm:latin face="Calibri" sz="200" weight="normal" i="0"/>
              <pm:cs/>
              <pm:ea/>
            </pm:charSpec>
          </ext>
        </extLst>
      </rPr>
      <t xml:space="preserve"> (на трудоустройство, заработную плату, процентные ставки, на уменьшение загрязнения и т.д.)</t>
    </r>
  </si>
  <si>
    <t>b) Prihod od zakupnina</t>
  </si>
  <si>
    <t>б) Приход од закупнина</t>
  </si>
  <si>
    <t>b) Income from rent</t>
  </si>
  <si>
    <t>б) Доходы от аренды</t>
  </si>
  <si>
    <t>v) Prihod od donacija</t>
  </si>
  <si>
    <t>в) Приход од донација</t>
  </si>
  <si>
    <t>c) Income from donations</t>
  </si>
  <si>
    <t>в) Доходы от дотаций</t>
  </si>
  <si>
    <t>g) Prihod od članarina</t>
  </si>
  <si>
    <t>г) Приход од чланарина</t>
  </si>
  <si>
    <t>d) Income from membership fees</t>
  </si>
  <si>
    <t>г) Доход от членских взносов</t>
  </si>
  <si>
    <t>d) Prihod od tantijema i licencnih prava</t>
  </si>
  <si>
    <t>д) Приход од тантијема и лиценцних права</t>
  </si>
  <si>
    <t>e) Income from bonuses and license rights</t>
  </si>
  <si>
    <t>д) Доход от тантьем и лицензионных прав</t>
  </si>
  <si>
    <t>đ) Prihod iz namjenskih izvora finansiranja (iz budžeta, fondova i dr.)</t>
  </si>
  <si>
    <t>ђ) Приход из намјенских извора финансирања (из буџета, фондова и др.)</t>
  </si>
  <si>
    <t>f) Income from dedicated funding sources (budgets, funds, etc.)</t>
  </si>
  <si>
    <t>ђ) Доходы от целевых источников финансирования (из бюджета, фондов и т.п.)</t>
  </si>
  <si>
    <t>e) Prihodi od dividendi</t>
  </si>
  <si>
    <t>е) Приходи од дивиденди</t>
  </si>
  <si>
    <t>g) Dividend income</t>
  </si>
  <si>
    <t>е) Доход от дивидендов</t>
  </si>
  <si>
    <t>656</t>
  </si>
  <si>
    <t>ž) Prihodi od aktiviranja ili potrošnje robe, gotovih proizvoda ili usluga</t>
  </si>
  <si>
    <t>ж) Приходи од активирања или потрошње робе, готових производа или услуга</t>
  </si>
  <si>
    <t>h) Revenues from the activation or consumption of goods, finished products or services</t>
  </si>
  <si>
    <t>ж) Доходы от реализации или потребления товаров, готовой продукции или услуг</t>
  </si>
  <si>
    <t>657</t>
  </si>
  <si>
    <t>z) Ostali poslovni prihodi po drugim osnovima</t>
  </si>
  <si>
    <t>з) Остали пословни приходи по другим основима</t>
  </si>
  <si>
    <t>i) Other operating incomes from other sources</t>
  </si>
  <si>
    <t>з) Прочие операционные доходы по иным основаниям</t>
  </si>
  <si>
    <t>FINANSIJSKI I OSTALI PRIHODI</t>
  </si>
  <si>
    <t>ФИНАНСИЈСКИ И ОСТАЛИ ПРИХОДИ</t>
  </si>
  <si>
    <t>FINANCIAL AND OTHER INCOME</t>
  </si>
  <si>
    <t>ФИНАНСОВЫЕ И ПРОЧИЕ ДОХОДЫ</t>
  </si>
  <si>
    <t>66 + 67</t>
  </si>
  <si>
    <t xml:space="preserve">Od toga: dobici po osnovu prodaje nekretnina, postrojenja i opreme </t>
  </si>
  <si>
    <t>Од тога: добици по основу продаје некретнина, постројења и опреме</t>
  </si>
  <si>
    <t>Of which: gains from the sale of real estate, plant and equipment</t>
  </si>
  <si>
    <t>В том числе: доходы от участия в прибыли (дивиденды)</t>
  </si>
  <si>
    <t>dio 670</t>
  </si>
  <si>
    <t>дио 670</t>
  </si>
  <si>
    <t>part 670</t>
  </si>
  <si>
    <t>часть 670</t>
  </si>
  <si>
    <t>Dobici od derivatnih finansijskih instrumenata</t>
  </si>
  <si>
    <t>Добици од дериватних финансијских инструмената</t>
  </si>
  <si>
    <t>Gains from derivative financial instruments</t>
  </si>
  <si>
    <t>Прибыль от продажи недвижимости, построений и оборудования</t>
  </si>
  <si>
    <t>678</t>
  </si>
  <si>
    <t>TROŠKOVI PLATA, NAKNADA PLATA I OSTALIH LIČNIH PRIMANJA</t>
  </si>
  <si>
    <t>ТРОШКОВИ ПЛАТА, НАКНАДА ЗАРАДА И ОСТАЛИХ ЛИЧНИХ ПРИМАЊА</t>
  </si>
  <si>
    <t>COSTS OF SALARIES, WAGE COMPENSATION AND OTHER PERSONAL INCOME</t>
  </si>
  <si>
    <t>РАСХОДЫ НА ЗАРАБОТНЫЕ ПЛАТЫ, ВОЗМЕЩЕНИЯ И ПРОЧИЕ ИНДИВИДУАЛЬНЫЕ ВЫПЛАТЫ</t>
  </si>
  <si>
    <t>Troškovi bruto naknada članovima upravnog, nadzornog, odbora za reviziju i dr.</t>
  </si>
  <si>
    <t>Трошкови бруто накнада члановима управног, надзорног, одбора за ревизију и др.</t>
  </si>
  <si>
    <t>Gross salaries to the members of the Management, Supervisory, the Board of Auditors and others.</t>
  </si>
  <si>
    <t>Расходы на брутто компенсации членам совета директоров, контролирующего совета, совета по аудиту и пр.</t>
  </si>
  <si>
    <t>522 + 523</t>
  </si>
  <si>
    <t>522+523</t>
  </si>
  <si>
    <t>Troškovi zaposlenih na službenom putu</t>
  </si>
  <si>
    <t>Трошкови запослених на службеном путу</t>
  </si>
  <si>
    <t>Employee expenses on a business trip</t>
  </si>
  <si>
    <t>Расходы на проживание, питание и транспорт в служ. командировках</t>
  </si>
  <si>
    <t>Od toga: dnevnice</t>
  </si>
  <si>
    <t>Од тога: дневнице</t>
  </si>
  <si>
    <t>Of which: expenses of allowances for business trip</t>
  </si>
  <si>
    <t>Расходы на суточные (командировки)</t>
  </si>
  <si>
    <t>dio 525</t>
  </si>
  <si>
    <t>дио 525</t>
  </si>
  <si>
    <t>part 525</t>
  </si>
  <si>
    <t>часть 525</t>
  </si>
  <si>
    <t>TROŠKOVI PROIZVODNIH USLUGA (637 + 638 + 639 + 640 + 641 + 642 + 643 + 644)</t>
  </si>
  <si>
    <t>ТРОШКОВИ ПРОИЗВОДНИХ УСЛУГА (637 + 638 + 639 + 640 + 641 + 642 + 643 + 644)</t>
  </si>
  <si>
    <t>EXPENSES OF PRODUCTION SERVICES (637 + 638 + 639 + 640 + 641 + 642 + 643 + 644)</t>
  </si>
  <si>
    <t>РАСХОДЫ НА ПРОИЗВОДСТВЕННЫЕ УСЛУГИ (637 + 638 + 639 + 640 + 641 + 642 + 643 + 644)</t>
  </si>
  <si>
    <t>a) Troškovi usluga na izradi učinaka</t>
  </si>
  <si>
    <t>а) Трошкови услуга на изради учинака</t>
  </si>
  <si>
    <t>a) Expenses of services on the productions of product</t>
  </si>
  <si>
    <t>а) Расходы на услуги по изготовлению готовой продукции</t>
  </si>
  <si>
    <t>b) Troškovi transportnih usluga</t>
  </si>
  <si>
    <t>б) Трошкови транспортних услуга</t>
  </si>
  <si>
    <t>b) Transportation services expense</t>
  </si>
  <si>
    <t>б) Расходы на транспортные услуги</t>
  </si>
  <si>
    <t>v) Troškovi za usluge tekućeg održavanja osnovnih sredstava</t>
  </si>
  <si>
    <t>в) Трошкови за услуге текућег одржавања основних средстава</t>
  </si>
  <si>
    <t>c) Fixed assets ongoing maintenance services expenses</t>
  </si>
  <si>
    <t>в) Расходы на услуги текущего тех. обслуживания основных средств</t>
  </si>
  <si>
    <t>dio 532</t>
  </si>
  <si>
    <t>дио 532</t>
  </si>
  <si>
    <t>part 532</t>
  </si>
  <si>
    <t>часть 532</t>
  </si>
  <si>
    <t>g) Troškovi za usluge investicionog održavanja osnovnih sredstava</t>
  </si>
  <si>
    <t>г) Трошкови за услуге инвестиционог одржавања основних средстава</t>
  </si>
  <si>
    <t>d) Fixed assets investment maintenance services expenses</t>
  </si>
  <si>
    <t>г) Расходы на услуги инвестиционного обеспечения основных средств</t>
  </si>
  <si>
    <t>d) Troškovi zakupa</t>
  </si>
  <si>
    <t>д) Трошкови закупа</t>
  </si>
  <si>
    <t>e) Rent expense</t>
  </si>
  <si>
    <t>д) Расходы на аренду</t>
  </si>
  <si>
    <t>đ) Troškovi sajmova, reklame i propagande</t>
  </si>
  <si>
    <t>ђ) Трошкови сајмова, рекламе и пропаганде</t>
  </si>
  <si>
    <t>f) Fairs, advertising and propaganda expenses</t>
  </si>
  <si>
    <t>е) Расходы на выставки, рекламу и пропаганду</t>
  </si>
  <si>
    <t>534 + 535</t>
  </si>
  <si>
    <t>534+535</t>
  </si>
  <si>
    <t>e) Troškovi istraživanja i razvoja koji se ne kapitalizuju</t>
  </si>
  <si>
    <t>е) Трошкови истраживања и развоја који се не капитализују</t>
  </si>
  <si>
    <t>g) Research and development expenses that are not capitalised</t>
  </si>
  <si>
    <t>ж) Расходы на НИОКР, которые не капитализируются</t>
  </si>
  <si>
    <t>536 + 537</t>
  </si>
  <si>
    <t>536+537</t>
  </si>
  <si>
    <t>ž) Troškovi ostalih usluga</t>
  </si>
  <si>
    <t>ж) Трошкови осталих услуга</t>
  </si>
  <si>
    <t>h) Other services expenses</t>
  </si>
  <si>
    <t>з) Расходы на прочие услуги</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</si>
  <si>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</si>
  <si>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</si>
  <si>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</si>
  <si>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В том числе: брутто суммы вознаграждений по договорам с внештатными физическими лицами</t>
  </si>
  <si>
    <t>dio 539</t>
  </si>
  <si>
    <t>дио 539</t>
  </si>
  <si>
    <t>part 539</t>
  </si>
  <si>
    <t>часть 539</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</si>
  <si>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</si>
  <si>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</si>
  <si>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</si>
  <si>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</si>
  <si>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</si>
  <si>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</si>
  <si>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a) Other services expenses</t>
  </si>
  <si>
    <t>Расходы на непроизводственные услуги</t>
  </si>
  <si>
    <t>Od toga: troškovi stručnog obrazovanja i usavršavanja zaposlenih</t>
  </si>
  <si>
    <t>Од тога: трошкови стручног образовања и усавршавања запослених</t>
  </si>
  <si>
    <t>Of which: costs of professional education and training of employees</t>
  </si>
  <si>
    <t>В том числе: расходы на профессиональную подготовку и повышение квалификации сотрудников</t>
  </si>
  <si>
    <t>dio 550</t>
  </si>
  <si>
    <t>дио 550</t>
  </si>
  <si>
    <t>part 550</t>
  </si>
  <si>
    <t>часть 550</t>
  </si>
  <si>
    <t>b) Troškovi reprezentacije</t>
  </si>
  <si>
    <t>б) Трошкови репрезентације</t>
  </si>
  <si>
    <t>b) Representation expense</t>
  </si>
  <si>
    <t>Представительские расходы</t>
  </si>
  <si>
    <t>v) Troškovi premije osiguranja</t>
  </si>
  <si>
    <t>в) Трошкови премије осигурања</t>
  </si>
  <si>
    <t>c) Insurance premium expanse</t>
  </si>
  <si>
    <t>Расходы на страховые премии</t>
  </si>
  <si>
    <t>g) Troškovi platnog prometa</t>
  </si>
  <si>
    <t>г) Трошкови платног промета</t>
  </si>
  <si>
    <t>d) Money transfer expense</t>
  </si>
  <si>
    <t>Расходы по платежному обороту</t>
  </si>
  <si>
    <t>d) Troškovi članarina</t>
  </si>
  <si>
    <t>д) Трошкови чланарина</t>
  </si>
  <si>
    <t>e) Membership fee expanse</t>
  </si>
  <si>
    <t>Расходы на членские взносы</t>
  </si>
  <si>
    <r>
      <t>đ) Troškovi poreza na proizvode</t>
    </r>
    <r>
      <rPr>
        <rFont val="Calibri"/>
        <charset val="0"/>
        <family val="2"/>
        <sz val="10"/>
        <b val="0"/>
        <i val="0"/>
        <vertAlign val="superscript"/>
        <extLst>
          <ext uri="smNativeData">
            <pm:charSpec xmlns:pm="smNativeData" id="1714042646" ssSize="66" ssDistance="15">
              <pm:latin face="Calibri" sz="200" weight="normal" i="0"/>
              <pm:cs/>
              <pm:ea/>
            </pm:charSpec>
          </ext>
        </extLst>
      </rPr>
      <t>3</t>
    </r>
    <r>
      <rPr>
        <rFont val="Calibri"/>
        <charset val="0"/>
        <family val="2"/>
        <sz val="10"/>
        <b val="0"/>
        <i val="0"/>
        <extLst>
          <ext uri="smNativeData">
            <pm:charSpec xmlns:pm="smNativeData" id="1714042646">
              <pm:latin face="Calibri" sz="200" weight="normal" i="0"/>
              <pm:cs/>
              <pm:ea/>
            </pm:charSpec>
          </ext>
        </extLst>
      </rPr>
      <t>, carine, boravišne takse, porez na igre na sreću i sl.</t>
    </r>
  </si>
  <si>
    <r>
      <t>ђ) Трошкови пореза на производе</t>
    </r>
    <r>
      <rPr>
        <rFont val="Calibri"/>
        <charset val="0"/>
        <family val="2"/>
        <sz val="10"/>
        <b val="0"/>
        <i val="0"/>
        <vertAlign val="superscript"/>
        <extLst>
          <ext uri="smNativeData">
            <pm:charSpec xmlns:pm="smNativeData" id="1714042646" ssSize="66" ssDistance="15">
              <pm:latin face="Calibri" sz="200" weight="normal" i="0"/>
              <pm:cs/>
              <pm:ea/>
            </pm:charSpec>
          </ext>
        </extLst>
      </rPr>
      <t>3</t>
    </r>
    <r>
      <rPr>
        <rFont val="Calibri"/>
        <charset val="0"/>
        <family val="2"/>
        <sz val="10"/>
        <b val="0"/>
        <i val="0"/>
        <extLst>
          <ext uri="smNativeData">
            <pm:charSpec xmlns:pm="smNativeData" id="1714042646">
              <pm:latin face="Calibri" sz="200" weight="normal" i="0"/>
              <pm:cs/>
              <pm:ea/>
            </pm:charSpec>
          </ext>
        </extLst>
      </rPr>
      <t>, царине, боравишне таксе, порез на игре на срећу и сл.</t>
    </r>
  </si>
  <si>
    <r>
      <t>f) Taxes on products</t>
    </r>
    <r>
      <rPr>
        <rFont val="Calibri"/>
        <charset val="0"/>
        <family val="2"/>
        <sz val="10"/>
        <b val="0"/>
        <i val="0"/>
        <vertAlign val="superscript"/>
        <extLst>
          <ext uri="smNativeData">
            <pm:charSpec xmlns:pm="smNativeData" id="1714042646" ssSize="66" ssDistance="15">
              <pm:latin face="Calibri" sz="200" weight="normal" i="0"/>
              <pm:cs/>
              <pm:ea/>
            </pm:charSpec>
          </ext>
        </extLst>
      </rPr>
      <t>3</t>
    </r>
    <r>
      <rPr>
        <rFont val="Calibri"/>
        <charset val="0"/>
        <family val="2"/>
        <sz val="10"/>
        <b val="0"/>
        <i val="0"/>
        <extLst>
          <ext uri="smNativeData">
            <pm:charSpec xmlns:pm="smNativeData" id="1714042646">
              <pm:latin face="Calibri" sz="200" weight="normal" i="0"/>
              <pm:cs/>
              <pm:ea/>
            </pm:charSpec>
          </ext>
        </extLst>
      </rPr>
      <t>, duties, residential tax, gambling tax, etc.</t>
    </r>
  </si>
  <si>
    <r>
      <t>Расходы по налогам на продукцию</t>
    </r>
    <r>
      <rPr>
        <rFont val="Calibri"/>
        <charset val="0"/>
        <family val="2"/>
        <sz val="10"/>
        <b val="0"/>
        <i val="0"/>
        <vertAlign val="superscript"/>
        <extLst>
          <ext uri="smNativeData">
            <pm:charSpec xmlns:pm="smNativeData" id="1714042646" ssSize="66" ssDistance="15">
              <pm:latin face="Calibri" sz="200" weight="normal" i="0"/>
              <pm:cs/>
              <pm:ea/>
            </pm:charSpec>
          </ext>
        </extLst>
      </rPr>
      <t>3</t>
    </r>
    <r>
      <rPr>
        <rFont val="Calibri"/>
        <charset val="0"/>
        <family val="2"/>
        <sz val="10"/>
        <b val="0"/>
        <i val="0"/>
        <extLst>
          <ext uri="smNativeData">
            <pm:charSpec xmlns:pm="smNativeData" id="1714042646">
              <pm:latin face="Calibri" sz="200" weight="normal" i="0"/>
              <pm:cs/>
              <pm:ea/>
            </pm:charSpec>
          </ext>
        </extLst>
      </rPr>
      <t>, тамож. расходы, жилищный налог, налог на лотерею и т.п.</t>
    </r>
  </si>
  <si>
    <t>dio 555</t>
  </si>
  <si>
    <t>дио 555</t>
  </si>
  <si>
    <t>part 555</t>
  </si>
  <si>
    <t>часть 555</t>
  </si>
  <si>
    <r>
      <t>e) Troškovi poreza na proizvodnju</t>
    </r>
    <r>
      <rPr>
        <rFont val="Calibri"/>
        <charset val="0"/>
        <family val="2"/>
        <sz val="10"/>
        <b val="0"/>
        <i val="0"/>
        <vertAlign val="superscript"/>
        <extLst>
          <ext uri="smNativeData">
            <pm:charSpec xmlns:pm="smNativeData" id="1714042646" ssSize="66" ssDistance="15">
              <pm:latin face="Calibri" sz="200" weight="normal" i="0"/>
              <pm:cs/>
              <pm:ea/>
            </pm:charSpec>
          </ext>
        </extLst>
      </rPr>
      <t>4</t>
    </r>
    <r>
      <rPr>
        <rFont val="Calibri"/>
        <charset val="0"/>
        <family val="2"/>
        <sz val="10"/>
        <b val="0"/>
        <i val="0"/>
        <extLst>
          <ext uri="smNativeData">
            <pm:charSpec xmlns:pm="smNativeData" id="1714042646">
              <pm:latin face="Calibri" sz="200" weight="normal" i="0"/>
              <pm:cs/>
              <pm:ea/>
            </pm:charSpec>
          </ext>
        </extLst>
      </rPr>
      <t>: na imovinu, na zemljište, za korišćenje voda i šuma, za protivpožarnu zaštitu i sl.</t>
    </r>
  </si>
  <si>
    <r>
      <t>е) Трошкови пореза на производњу</t>
    </r>
    <r>
      <rPr>
        <rFont val="Calibri"/>
        <charset val="0"/>
        <family val="2"/>
        <sz val="10"/>
        <b val="0"/>
        <i val="0"/>
        <vertAlign val="superscript"/>
        <extLst>
          <ext uri="smNativeData">
            <pm:charSpec xmlns:pm="smNativeData" id="1714042646" ssSize="66" ssDistance="15">
              <pm:latin face="Calibri" sz="200" weight="normal" i="0"/>
              <pm:cs/>
              <pm:ea/>
            </pm:charSpec>
          </ext>
        </extLst>
      </rPr>
      <t>4</t>
    </r>
    <r>
      <rPr>
        <rFont val="Calibri"/>
        <charset val="0"/>
        <family val="2"/>
        <sz val="10"/>
        <b val="0"/>
        <i val="0"/>
        <extLst>
          <ext uri="smNativeData">
            <pm:charSpec xmlns:pm="smNativeData" id="1714042646">
              <pm:latin face="Calibri" sz="200" weight="normal" i="0"/>
              <pm:cs/>
              <pm:ea/>
            </pm:charSpec>
          </ext>
        </extLst>
      </rPr>
      <t>: на имовину, на земљиште, за коришћење вода и шума, за противпожарну заштиту и сл.</t>
    </r>
  </si>
  <si>
    <r>
      <t>g) Taxes on production</t>
    </r>
    <r>
      <rPr>
        <rFont val="Calibri"/>
        <charset val="0"/>
        <family val="2"/>
        <sz val="10"/>
        <b val="0"/>
        <i val="0"/>
        <vertAlign val="superscript"/>
        <extLst>
          <ext uri="smNativeData">
            <pm:charSpec xmlns:pm="smNativeData" id="1714042646" ssSize="66" ssDistance="15">
              <pm:latin face="Calibri" sz="200" weight="normal" i="0"/>
              <pm:cs/>
              <pm:ea/>
            </pm:charSpec>
          </ext>
        </extLst>
      </rPr>
      <t>4</t>
    </r>
    <r>
      <rPr>
        <rFont val="Calibri"/>
        <charset val="0"/>
        <family val="2"/>
        <sz val="10"/>
        <b val="0"/>
        <i val="0"/>
        <extLst>
          <ext uri="smNativeData">
            <pm:charSpec xmlns:pm="smNativeData" id="1714042646">
              <pm:latin face="Calibri" sz="200" weight="normal" i="0"/>
              <pm:cs/>
              <pm:ea/>
            </pm:charSpec>
          </ext>
        </extLst>
      </rPr>
      <t>: property and land taxes, taxes for water and forest, fire protection, etc.</t>
    </r>
  </si>
  <si>
    <r>
      <t>Расходы по налогам на производство</t>
    </r>
    <r>
      <rPr>
        <rFont val="Calibri"/>
        <charset val="0"/>
        <family val="2"/>
        <sz val="10"/>
        <b val="0"/>
        <i val="0"/>
        <vertAlign val="superscript"/>
        <extLst>
          <ext uri="smNativeData">
            <pm:charSpec xmlns:pm="smNativeData" id="1714042646" ssSize="66" ssDistance="15">
              <pm:latin face="Calibri" sz="200" weight="normal" i="0"/>
              <pm:cs/>
              <pm:ea/>
            </pm:charSpec>
          </ext>
        </extLst>
      </rPr>
      <t>4</t>
    </r>
    <r>
      <rPr>
        <rFont val="Calibri"/>
        <charset val="0"/>
        <family val="2"/>
        <sz val="10"/>
        <b val="0"/>
        <i val="0"/>
        <extLst>
          <ext uri="smNativeData">
            <pm:charSpec xmlns:pm="smNativeData" id="1714042646">
              <pm:latin face="Calibri" sz="200" weight="normal" i="0"/>
              <pm:cs/>
              <pm:ea/>
            </pm:charSpec>
          </ext>
        </extLst>
      </rPr>
      <t>: на имущество, землю, использование леса, воды, противопожарную защиту и т.п.</t>
    </r>
  </si>
  <si>
    <t>ž) Ostali nematerijalni troškovi</t>
  </si>
  <si>
    <t>ж) Остали нематеријални трошкови</t>
  </si>
  <si>
    <t>h) Other non-material expenses</t>
  </si>
  <si>
    <t>Прочие нематериальные расходы</t>
  </si>
  <si>
    <t>OBAVEZE I POTRAŽIVANJA</t>
  </si>
  <si>
    <t>ОБАВЕЗЕ И ПОТРАЖИВАЊА</t>
  </si>
  <si>
    <t>LIABILITIES AND RECEIVABLES</t>
  </si>
  <si>
    <t>ОБЯЗАТЕЛЬСТВА И ТРЕБОВАНИЯ</t>
  </si>
  <si>
    <t>Obračunati (fakturisani) porez na dodatu vrijednost (kumulativan promet konta)</t>
  </si>
  <si>
    <t>Обрачунати (фактурисани) порез на додату вриједност (кумулативан промет конта)</t>
  </si>
  <si>
    <t>Calculated (invoiced) value added tax (cumulative turnover of account)</t>
  </si>
  <si>
    <t>Начисленный (по счетам-фактурам) налог НДС (суммарный оборот счетов)</t>
  </si>
  <si>
    <t>47, osim 479</t>
  </si>
  <si>
    <t>47, осим 479</t>
  </si>
  <si>
    <t>47, except 479</t>
  </si>
  <si>
    <t>47, кроме 479</t>
  </si>
  <si>
    <t>Ulazni porez na dodatu vrijednost (kumulativan promet konta)</t>
  </si>
  <si>
    <t>Улазни порез на додату вриједност (кумулативан промет конта)</t>
  </si>
  <si>
    <t>Input value added tax (cumulative turnover of account)</t>
  </si>
  <si>
    <t>Входящий НДС (суммарный оборот счетов)</t>
  </si>
  <si>
    <t>27, osim 279</t>
  </si>
  <si>
    <t>27, осим 279</t>
  </si>
  <si>
    <t>27, except 279</t>
  </si>
  <si>
    <t>27, кроме 279</t>
  </si>
  <si>
    <t>Obaveze za PDV po osnovu razlike između obračunatog i akontacionog PDV-a (saldo konta)</t>
  </si>
  <si>
    <t>Обавезе за ПДВ по основу разлике између обрачунатог и аконтационог ПДВ-а (салдо конта)</t>
  </si>
  <si>
    <t>Liabilities for VAT based on the difference between the calculated and advanced VAT (balance of account)</t>
  </si>
  <si>
    <t>Обязательства по НДС на основании между перечисленным заранее и начисленным НДС (сальдо счёта)</t>
  </si>
  <si>
    <t>Potraživanja po osnovu razlike između akontacionog i obračunatog PDV-a (saldo konta)</t>
  </si>
  <si>
    <t>Потраживања по основу разлике између аконтационог и обрачунатог ПДВ-а (салдо конта)</t>
  </si>
  <si>
    <t>Receivables based on the difference between the advanced and calculated VAT (balance of account)</t>
  </si>
  <si>
    <t>Дебиторская задолженность на основании разницы между перечисленным заранее и начисленным НДС (сальдо счёта)</t>
  </si>
  <si>
    <t>PDV plaćen pri uvozu (kumulativan promet konta)</t>
  </si>
  <si>
    <t>ПДВ плаћен при увозу (кумулативан промет конта)</t>
  </si>
  <si>
    <t>VAT paid for import (cumulative turnover of account)</t>
  </si>
  <si>
    <t>НДС, уплаченный при импорте (суммарный оборот счетов)</t>
  </si>
  <si>
    <t>Obaveze za PDV plaćen pri uvozu (kumulativan promet konta)</t>
  </si>
  <si>
    <t>Обавезе за ПДВ плаћен при увозу (кумулативан промет конта)</t>
  </si>
  <si>
    <t>Liabilities for VAT paid on import  (cumulative turnover of account)</t>
  </si>
  <si>
    <t>Обязательства по НДС, уплаченному при импорте (суммарный оборот счетов)</t>
  </si>
  <si>
    <t>Obaveze za akcize (kumulativan promet konta)</t>
  </si>
  <si>
    <t>Обавезе за акцизе (кумулативан промет конта)</t>
  </si>
  <si>
    <t>Liabilities for excise (cumulative turnover of account)</t>
  </si>
  <si>
    <t>Обязательства по акцизам (суммарный оборот счетов)</t>
  </si>
  <si>
    <t>Prihodi ostvareni na bazi podugovaranja</t>
  </si>
  <si>
    <t>Приходи остварени на бази подуговарања</t>
  </si>
  <si>
    <t>Income realized on the basis of subcontracting</t>
  </si>
  <si>
    <t>Доходы от договоров субподряда</t>
  </si>
  <si>
    <t>nema konta</t>
  </si>
  <si>
    <t>нема конта</t>
  </si>
  <si>
    <t>нет счета</t>
  </si>
  <si>
    <t>Plaćanja podugovaračima za rad, isporučene proizvode i usluge</t>
  </si>
  <si>
    <t>Плаћања подуговарачима за рад, испоручене производе и услуге</t>
  </si>
  <si>
    <t>Payment to subcontractors for work, delivered products and services</t>
  </si>
  <si>
    <t>Выплаты субподрядчикам за работу, поставленную продукцию и услуги</t>
  </si>
  <si>
    <t>Ukupan broj odrađenih časova rada (efektivni časovi rada bez bolovanja, godišnjih odmora, državnih praznika i sl.)</t>
  </si>
  <si>
    <t>Укупан број одрађених часова рада (ефективни часови рада без боловања, годишњих одмора, државних празника и сл.)</t>
  </si>
  <si>
    <t>Total number of working hours (effective working hours that do not include sick leave, vacation and national holidays, etc.)</t>
  </si>
  <si>
    <t xml:space="preserve">Общее количество отработанных часов (фактическое кол-во отработанных часов без больничных, отпусков, гос. праздников и т.п.) </t>
  </si>
  <si>
    <t xml:space="preserve">2. Efekti promjena u računovodstvenim politikama </t>
  </si>
  <si>
    <t xml:space="preserve">2. Ефекти промјена у рачуноводственим политикама </t>
  </si>
  <si>
    <t>2. Effects of the changes in accounting policies</t>
  </si>
  <si>
    <t>2. Эффекты изменений в  учетных политиках</t>
  </si>
  <si>
    <t>3. Efekti ispravki grešaka</t>
  </si>
  <si>
    <t>3. Ефекти исправки грешака</t>
  </si>
  <si>
    <t>3. Effects of the corrections of material errors</t>
  </si>
  <si>
    <t>3. Эффекты исправления ошибок</t>
  </si>
  <si>
    <t>5. Dobit/(gubitak) za godinu</t>
  </si>
  <si>
    <t>5. Добит/(губитак) за годину</t>
  </si>
  <si>
    <t>5. Profit/(loss) for the year</t>
  </si>
  <si>
    <t>5. Прибыль/(убыток) за год</t>
  </si>
  <si>
    <t>6. Ostali ukupni rezultat za godinu</t>
  </si>
  <si>
    <t>6. Остали укупни резултат за годину</t>
  </si>
  <si>
    <t>6. Other total result for the year</t>
  </si>
  <si>
    <t>6. Прочий совокупный результат за год</t>
  </si>
  <si>
    <t>7. Ukupna dobit/(gubitak) (± 905 ± 906)</t>
  </si>
  <si>
    <t>7. Укупна добит/(губитак) (± 905 ± 906)</t>
  </si>
  <si>
    <t>7. Total profit/(loss) (± 905 ± 906)</t>
  </si>
  <si>
    <t>7. Совокупная прибыль/(убыток) (± 905 ± 906)"</t>
  </si>
  <si>
    <t>8. Emisija akcijskog kapitala i drugi oblici povećanja kapitala</t>
  </si>
  <si>
    <t>8. Емисија акцијског капитала и други облици повећања капитала</t>
  </si>
  <si>
    <t>8. New issuance of the shareholders equity and other increases in capital</t>
  </si>
  <si>
    <t>8. Выпуск акционерного капитала и иные формы увеличения капитала</t>
  </si>
  <si>
    <t>9. Sticanje sopstvenih akcija i drugi oblici smanjenja kapitala</t>
  </si>
  <si>
    <t>9. Стицање сопствених акција и други облици смањења капитала</t>
  </si>
  <si>
    <t>9. Acquisition of own shares and other decreases in capital</t>
  </si>
  <si>
    <t>9. Приобретение собственных акций и иные формы уменьшения  капитала</t>
  </si>
  <si>
    <t xml:space="preserve">10. Objavljene dividende </t>
  </si>
  <si>
    <t xml:space="preserve">10. Објављене дивиденде </t>
  </si>
  <si>
    <t>10. Declared dividends</t>
  </si>
  <si>
    <t>10. Объявленные дивиденды</t>
  </si>
  <si>
    <t>11. Drugi oblici raspodjele dobiti i pokriće gubitka</t>
  </si>
  <si>
    <t>11. Други облици расподјеле добити и покриће губитка</t>
  </si>
  <si>
    <t>11. Other distributions of the net income and covering the loss</t>
  </si>
  <si>
    <t>11. Иные формы распределения прибыли и покрытие убытков</t>
  </si>
  <si>
    <t>12. Ostale promjene</t>
  </si>
  <si>
    <t>12. Остале промјене</t>
  </si>
  <si>
    <t>12.Other changes</t>
  </si>
  <si>
    <t>12. Прочие изменения</t>
  </si>
  <si>
    <t>14. Efekti promjena u računovodstvenim politikama</t>
  </si>
  <si>
    <t>14. Ефекти промјена у рачуноводственим политикама</t>
  </si>
  <si>
    <t>14. Effects of the changes in accounting policies</t>
  </si>
  <si>
    <t xml:space="preserve">14. Эффекты изменений в учетных политиках </t>
  </si>
  <si>
    <t>15. Efekti ispravki grešaka</t>
  </si>
  <si>
    <t>15. Ефекти исправки грешака</t>
  </si>
  <si>
    <t>15. Effects of errors corrections</t>
  </si>
  <si>
    <t>15. Эффекты исправления ошибок</t>
  </si>
  <si>
    <t>16</t>
  </si>
  <si>
    <t>17. Dobit/(gubitak) za godinu</t>
  </si>
  <si>
    <t>17. Добит/(губитак) за годину</t>
  </si>
  <si>
    <t>17. Profit/(loss) for the year</t>
  </si>
  <si>
    <t>17. Прибыль/(убыток) за год</t>
  </si>
  <si>
    <t>17</t>
  </si>
  <si>
    <t>18. Ostali ukupni rezultat za godinu</t>
  </si>
  <si>
    <t>18. Остали укупни резултат за годину</t>
  </si>
  <si>
    <t>18. Other total result  for the year</t>
  </si>
  <si>
    <t>18. Прочий совокупный результат за год</t>
  </si>
  <si>
    <t>18</t>
  </si>
  <si>
    <t>19. Ukupna dobit/(gubitak) (± 917 ± 918)</t>
  </si>
  <si>
    <t>19. Укупна добит/(губитак) (± 917 ± 918)</t>
  </si>
  <si>
    <t>19. Total profit/(loss)  (± 917 ± 918)</t>
  </si>
  <si>
    <t>19. Совокупная прибыль/(убыток) (± 917 ± 918)</t>
  </si>
  <si>
    <t>19</t>
  </si>
  <si>
    <t>20. Emisija akcijskog kapitala i drugi oblici povećanja kapitala</t>
  </si>
  <si>
    <t>20. Емисија акцијског капитала и други облици повећања капитала</t>
  </si>
  <si>
    <t>20. New issuance of the shareholders equity and other increases in capital</t>
  </si>
  <si>
    <t>20. Выпуск акционерного капитала и иные формы увеличения капитала</t>
  </si>
  <si>
    <t>20</t>
  </si>
  <si>
    <t>21. Sticanje sopstvenih akcija i drugi oblici smanjenja kapitala</t>
  </si>
  <si>
    <t>21. Стицање сопствених акција и други облици смањења капитала</t>
  </si>
  <si>
    <t>21. Acquisition of own shares and other decreases in capital</t>
  </si>
  <si>
    <t>21. Приобретение собственных акций и иные формы уменьшения  капитала</t>
  </si>
  <si>
    <t>21</t>
  </si>
  <si>
    <t xml:space="preserve">22. Objavljene dividende </t>
  </si>
  <si>
    <t xml:space="preserve">22. Објављене дивиденде </t>
  </si>
  <si>
    <t>22. Declared dividends</t>
  </si>
  <si>
    <t>22. Обьявленные дивиденды</t>
  </si>
  <si>
    <t>22</t>
  </si>
  <si>
    <t>23. Drugi oblici raspodjele dobiti i pokriće gubitka</t>
  </si>
  <si>
    <t>23. Други облици расподјеле добити и покриће губитка</t>
  </si>
  <si>
    <t>23. Other distributions of the net income and covering the loss</t>
  </si>
  <si>
    <t>23. Иные формы распределения прибыли и покрытие убытка</t>
  </si>
  <si>
    <t>23</t>
  </si>
  <si>
    <t>24. Ostale promjene</t>
  </si>
  <si>
    <t>24. Остале промјене</t>
  </si>
  <si>
    <t>24. Other changes</t>
  </si>
  <si>
    <t>24. Прочие изменения</t>
  </si>
  <si>
    <t>24</t>
  </si>
  <si>
    <t>25</t>
  </si>
  <si>
    <t>Jezik_Id</t>
  </si>
  <si>
    <t>Jezik</t>
  </si>
  <si>
    <t>Misljenje_Id</t>
  </si>
  <si>
    <t>Opis</t>
  </si>
  <si>
    <t>Datum izvještaja</t>
  </si>
  <si>
    <t>Vrsta_Id</t>
  </si>
  <si>
    <t>Vrsta izvještaja</t>
  </si>
  <si>
    <t>Min Id</t>
  </si>
  <si>
    <t>Max Id</t>
  </si>
  <si>
    <t>APIF_Id</t>
  </si>
  <si>
    <t>Opis Datum IOPK</t>
  </si>
  <si>
    <t>Datum</t>
  </si>
  <si>
    <t>Datum format</t>
  </si>
  <si>
    <t>Datum format eng</t>
  </si>
  <si>
    <t>LookupText</t>
  </si>
  <si>
    <t>ApifKolona</t>
  </si>
  <si>
    <t>LookupBroj</t>
  </si>
  <si>
    <t>Srpski - latinica</t>
  </si>
  <si>
    <t>Zadnji datum</t>
  </si>
  <si>
    <t>Српски - ћирилица</t>
  </si>
  <si>
    <t>Pocetak godine</t>
  </si>
  <si>
    <t>Kolona1</t>
  </si>
  <si>
    <t>Kraj prethodne godine</t>
  </si>
  <si>
    <t>Kolona2</t>
  </si>
  <si>
    <t>Руски</t>
  </si>
  <si>
    <t>Pocetak prethodne godine</t>
  </si>
  <si>
    <t>Kolona3</t>
  </si>
  <si>
    <t>Kolona4</t>
  </si>
  <si>
    <t>Kolona5</t>
  </si>
  <si>
    <t>Kolona6</t>
  </si>
  <si>
    <t>Kolona7</t>
  </si>
  <si>
    <t>Kolona8</t>
  </si>
  <si>
    <t>Kolona9</t>
  </si>
  <si>
    <t>Kolona10</t>
  </si>
  <si>
    <t>Kolona11</t>
  </si>
  <si>
    <t>Kolona12</t>
  </si>
  <si>
    <t>Konsolidovan</t>
  </si>
  <si>
    <t>Ispravka</t>
  </si>
  <si>
    <t>Neto</t>
  </si>
  <si>
    <t>NetoPr</t>
  </si>
  <si>
    <t>Id izvještaja</t>
  </si>
  <si>
    <t>ld</t>
  </si>
  <si>
    <t>Procedura za kreiranje txt fajla koji se importuje u APIF-ovu aplikaciju za elektrоnsko dostavljanje FI.</t>
  </si>
  <si>
    <t>Obilježiti sve kolone i redove sa podacima iz tabele, bez zaglavlja tabele.</t>
  </si>
  <si>
    <t>Kopirati podatke u Notepad.</t>
  </si>
  <si>
    <t>Sačuvati Notepad fajl i importovati fajl u APIF Fia aplikaciju.</t>
  </si>
</sst>
</file>

<file path=xl/styles.xml><?xml version="1.0" encoding="utf-8"?>
<styleSheet xmlns="http://schemas.openxmlformats.org/spreadsheetml/2006/main">
  <numFmts count="25">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 numFmtId="49" formatCode="@"/>
    <numFmt numFmtId="14" formatCode="M/D/YYYY"/>
    <numFmt numFmtId="1" formatCode="0"/>
    <numFmt numFmtId="3" formatCode="#,##0"/>
    <numFmt numFmtId="16" formatCode="D-MMM"/>
    <numFmt numFmtId="174" formatCode="_$#,##0_);[Red](_$#,##0)"/>
    <numFmt numFmtId="4" formatCode="#,##0.00"/>
  </numFmts>
  <fonts count="32">
    <font>
      <name val="Calibri"/>
      <family val="2"/>
      <color rgb="FF000000"/>
      <sz val="10"/>
      <extLst>
        <ext uri="smNativeData">
          <pm:charSpec xmlns:pm="smNativeData" id="1714042646" ulstyle="none" kern="1">
            <pm:latin face="Calibri" sz="200" lang="default"/>
            <pm:cs face="Times New Roman" sz="200" lang="default"/>
            <pm:ea face="SimSun" sz="200" lang="default"/>
          </pm:charSpec>
        </ext>
      </extLst>
    </font>
    <font>
      <name val="Arial"/>
      <family val="2"/>
      <color rgb="FF000000"/>
      <sz val="10"/>
      <extLst>
        <ext uri="smNativeData">
          <pm:charSpec xmlns:pm="smNativeData" id="1714042646" ulstyle="none" kern="1">
            <pm:latin face="Arial" sz="200" lang="default"/>
            <pm:cs face="Times New Roman" sz="200" lang="default"/>
            <pm:ea face="SimSun" sz="200" lang="default"/>
          </pm:charSpec>
        </ext>
      </extLst>
    </font>
    <font>
      <name val="Calibri"/>
      <family val="2"/>
      <color rgb="FF000000"/>
      <sz val="11"/>
      <extLst>
        <ext uri="smNativeData">
          <pm:charSpec xmlns:pm="smNativeData" id="1714042646" ulstyle="none" kern="1">
            <pm:latin face="Calibri" sz="220" lang="default"/>
            <pm:cs face="Times New Roman" sz="220" lang="default"/>
            <pm:ea face="SimSun" sz="220" lang="default"/>
          </pm:charSpec>
        </ext>
      </extLst>
    </font>
    <font>
      <name val="Calibri"/>
      <family val="2"/>
      <b/>
      <color rgb="FF000000"/>
      <sz val="11"/>
      <extLst>
        <ext uri="smNativeData">
          <pm:charSpec xmlns:pm="smNativeData" id="1714042646" ulstyle="none" kern="1">
            <pm:latin face="Calibri" sz="220" lang="default" weight="bold"/>
            <pm:cs face="Times New Roman" sz="220" lang="default" weight="bold"/>
            <pm:ea face="SimSun" sz="220" lang="default" weight="bold"/>
          </pm:charSpec>
        </ext>
      </extLst>
    </font>
    <font>
      <name val="Calibri"/>
      <family val="2"/>
      <b/>
      <color rgb="FF000000"/>
      <sz val="12"/>
      <extLst>
        <ext uri="smNativeData">
          <pm:charSpec xmlns:pm="smNativeData" id="1714042646" ulstyle="none" kern="1">
            <pm:latin face="Calibri" sz="240" lang="default" weight="bold"/>
            <pm:cs face="Times New Roman" sz="240" lang="default" weight="bold"/>
            <pm:ea face="SimSun" sz="240" lang="default" weight="bold"/>
          </pm:charSpec>
        </ext>
      </extLst>
    </font>
    <font>
      <name val="Calibri"/>
      <family val="2"/>
      <b/>
      <color rgb="FF000000"/>
      <sz val="10"/>
      <extLst>
        <ext uri="smNativeData">
          <pm:charSpec xmlns:pm="smNativeData" id="1714042646" ulstyle="none" kern="1">
            <pm:latin face="Calibri" sz="200" lang="default" weight="bold"/>
            <pm:cs face="Times New Roman" sz="200" lang="default" weight="bold"/>
            <pm:ea face="SimSun" sz="200" lang="default" weight="bold"/>
          </pm:charSpec>
        </ext>
      </extLst>
    </font>
    <font>
      <name val="Calibri"/>
      <family val="2"/>
      <color rgb="FF000000"/>
      <sz val="11"/>
      <u val="single"/>
      <extLst>
        <ext uri="smNativeData">
          <pm:charSpec xmlns:pm="smNativeData" id="1714042646" ulstyle="single" kern="1">
            <pm:latin face="Calibri" sz="220" lang="default"/>
            <pm:cs face="Times New Roman" sz="220" lang="default"/>
            <pm:ea face="SimSun" sz="220" lang="default"/>
          </pm:charSpec>
        </ext>
      </extLst>
    </font>
    <font>
      <name val="Calibri"/>
      <family val="2"/>
      <b/>
      <color rgb="FF000000"/>
      <sz val="11"/>
      <u val="single"/>
      <extLst>
        <ext uri="smNativeData">
          <pm:charSpec xmlns:pm="smNativeData" id="1714042646" ulstyle="single" kern="1">
            <pm:latin face="Calibri" sz="220" lang="default" weight="bold"/>
            <pm:cs face="Times New Roman" sz="220" lang="default" weight="bold"/>
            <pm:ea face="SimSun" sz="220" lang="default" weight="bold"/>
          </pm:charSpec>
        </ext>
      </extLst>
    </font>
    <font>
      <name val="Calibri"/>
      <family val="2"/>
      <b/>
      <color rgb="FF000000"/>
      <sz val="10.50"/>
      <extLst>
        <ext uri="smNativeData">
          <pm:charSpec xmlns:pm="smNativeData" id="1714042646" ulstyle="none" kern="1">
            <pm:latin face="Calibri" sz="210" lang="default" weight="bold"/>
            <pm:cs face="Times New Roman" sz="210" lang="default" weight="bold"/>
            <pm:ea face="SimSun" sz="210" lang="default" weight="bold"/>
          </pm:charSpec>
        </ext>
      </extLst>
    </font>
    <font>
      <name val="Calibri"/>
      <family val="2"/>
      <b/>
      <color rgb="FFFA7D00"/>
      <sz val="10"/>
      <extLst>
        <ext uri="smNativeData">
          <pm:charSpec xmlns:pm="smNativeData" id="1714042646" fgClr="FA7D00" ulstyle="none" kern="1">
            <pm:latin face="Calibri" sz="200" lang="default" weight="bold"/>
            <pm:cs face="Times New Roman" sz="200" lang="default" weight="bold"/>
            <pm:ea face="SimSun" sz="200" lang="default" weight="bold"/>
          </pm:charSpec>
        </ext>
      </extLst>
    </font>
    <font>
      <name val="Calibri"/>
      <family val="2"/>
      <color rgb="FF006100"/>
      <sz val="11"/>
      <extLst>
        <ext uri="smNativeData">
          <pm:charSpec xmlns:pm="smNativeData" id="1714042646" fgClr="006100" ulstyle="none" kern="1">
            <pm:latin face="Calibri" sz="220" lang="default"/>
            <pm:cs face="Times New Roman" sz="220" lang="default"/>
            <pm:ea face="SimSun" sz="220" lang="default"/>
          </pm:charSpec>
        </ext>
      </extLst>
    </font>
    <font>
      <name val="Arial"/>
      <family val="2"/>
      <color rgb="FF0000FF"/>
      <sz val="10"/>
      <u val="single"/>
      <extLst>
        <ext uri="smNativeData">
          <pm:charSpec xmlns:pm="smNativeData" id="1714042646" fgClr="0000FF" ulstyle="single" kern="1">
            <pm:latin face="Arial" sz="200" lang="default"/>
            <pm:cs face="Times New Roman" sz="200" lang="default"/>
            <pm:ea face="SimSun" sz="200" lang="default"/>
          </pm:charSpec>
        </ext>
      </extLst>
    </font>
    <font>
      <name val="Calibri"/>
      <family val="2"/>
      <b/>
      <color rgb="FFFFFFFF"/>
      <sz val="10"/>
      <extLst>
        <ext uri="smNativeData">
          <pm:charSpec xmlns:pm="smNativeData" id="1714042646" fgClr="FFFFFF" ulstyle="none" kern="1">
            <pm:latin face="Calibri" sz="200" lang="default" weight="bold"/>
            <pm:cs face="Times New Roman" sz="200" lang="default" weight="bold"/>
            <pm:ea face="SimSun" sz="200" lang="default" weight="bold"/>
          </pm:charSpec>
        </ext>
      </extLst>
    </font>
    <font>
      <name val="Calibri"/>
      <family val="2"/>
      <color rgb="FF006100"/>
      <sz val="10"/>
      <extLst>
        <ext uri="smNativeData">
          <pm:charSpec xmlns:pm="smNativeData" id="1714042646" fgClr="006100" ulstyle="none" kern="1">
            <pm:latin face="Calibri" sz="200" lang="default"/>
            <pm:cs face="Times New Roman" sz="200" lang="default"/>
            <pm:ea face="SimSun" sz="200" lang="default"/>
          </pm:charSpec>
        </ext>
      </extLst>
    </font>
    <font>
      <name val="Calibri"/>
      <family val="2"/>
      <b/>
      <color rgb="FF454F67"/>
      <sz val="11"/>
      <extLst>
        <ext uri="smNativeData">
          <pm:charSpec xmlns:pm="smNativeData" id="1714042646" fgClr="454F67" ulstyle="none" kern="1">
            <pm:latin face="Calibri" sz="220" lang="default" weight="bold"/>
            <pm:cs face="Times New Roman" sz="220" lang="default" weight="bold"/>
            <pm:ea face="SimSun" sz="220" lang="default" weight="bold"/>
          </pm:charSpec>
        </ext>
      </extLst>
    </font>
    <font>
      <name val="Calibri"/>
      <family val="2"/>
      <b/>
      <color rgb="FF454F67"/>
      <sz val="14"/>
      <extLst>
        <ext uri="smNativeData">
          <pm:charSpec xmlns:pm="smNativeData" id="1714042646" fgClr="454F67" ulstyle="none" kern="1">
            <pm:latin face="Calibri" sz="280" lang="default" weight="bold"/>
            <pm:cs face="Times New Roman" sz="280" lang="default" weight="bold"/>
            <pm:ea face="SimSun" sz="280" lang="default" weight="bold"/>
          </pm:charSpec>
        </ext>
      </extLst>
    </font>
    <font>
      <name val="Calibri"/>
      <family val="2"/>
      <color rgb="FF963634"/>
      <sz val="11"/>
      <extLst>
        <ext uri="smNativeData">
          <pm:charSpec xmlns:pm="smNativeData" id="1714042646" fgClr="963634" ulstyle="none" kern="1">
            <pm:latin face="Calibri" sz="220" lang="default"/>
            <pm:cs face="Times New Roman" sz="220" lang="default"/>
            <pm:ea face="SimSun" sz="220" lang="default"/>
          </pm:charSpec>
        </ext>
      </extLst>
    </font>
    <font>
      <name val="Calibri"/>
      <family val="2"/>
      <color rgb="FFC0504D"/>
      <sz val="11"/>
      <extLst>
        <ext uri="smNativeData">
          <pm:charSpec xmlns:pm="smNativeData" id="1714042646" fgClr="C0504D" ulstyle="none" kern="1">
            <pm:latin face="Calibri" sz="220" lang="default"/>
            <pm:cs face="Times New Roman" sz="220" lang="default"/>
            <pm:ea face="SimSun" sz="220" lang="default"/>
          </pm:charSpec>
        </ext>
      </extLst>
    </font>
    <font>
      <name val="Calibri"/>
      <family val="2"/>
      <color rgb="FF000000"/>
      <sz val="9"/>
      <extLst>
        <ext uri="smNativeData">
          <pm:charSpec xmlns:pm="smNativeData" id="1714042646" ulstyle="none" kern="1">
            <pm:latin face="Calibri" sz="180" lang="default"/>
            <pm:cs face="Times New Roman" sz="180" lang="default"/>
            <pm:ea face="SimSun" sz="180" lang="default"/>
          </pm:charSpec>
        </ext>
      </extLst>
    </font>
    <font>
      <name val="Calibri"/>
      <family val="2"/>
      <color rgb="FF3F3F76"/>
      <sz val="11"/>
      <extLst>
        <ext uri="smNativeData">
          <pm:charSpec xmlns:pm="smNativeData" id="1714042646" fgClr="3F3F76" ulstyle="none" kern="1">
            <pm:latin face="Calibri" sz="220" lang="default"/>
            <pm:cs face="Times New Roman" sz="220" lang="default"/>
            <pm:ea face="SimSun" sz="220" lang="default"/>
          </pm:charSpec>
        </ext>
      </extLst>
    </font>
    <font>
      <name val="Times New Roman"/>
      <family val="1"/>
      <color rgb="FF000000"/>
      <sz val="10"/>
      <extLst>
        <ext uri="smNativeData">
          <pm:charSpec xmlns:pm="smNativeData" id="1714042646" ulstyle="none" kern="1">
            <pm:latin face="Times New Roman" sz="200" lang="default"/>
            <pm:cs face="Times New Roman" sz="200" lang="default"/>
            <pm:ea face="SimSun" sz="200" lang="default"/>
          </pm:charSpec>
        </ext>
      </extLst>
    </font>
    <font>
      <name val="Calibri"/>
      <family val="2"/>
      <b/>
      <color rgb="FFFFFFFF"/>
      <sz val="9"/>
      <extLst>
        <ext uri="smNativeData">
          <pm:charSpec xmlns:pm="smNativeData" id="1714042646" fgClr="FFFFFF" ulstyle="none" kern="1">
            <pm:latin face="Calibri" sz="180" lang="default" weight="bold"/>
            <pm:cs face="Times New Roman" sz="180" lang="default" weight="bold"/>
            <pm:ea face="SimSun" sz="180" lang="default" weight="bold"/>
          </pm:charSpec>
        </ext>
      </extLst>
    </font>
    <font>
      <name val="Times New Roman"/>
      <family val="1"/>
      <b/>
      <color rgb="FF000000"/>
      <sz val="10"/>
      <extLst>
        <ext uri="smNativeData">
          <pm:charSpec xmlns:pm="smNativeData" id="1714042646" ulstyle="none" kern="1">
            <pm:latin face="Times New Roman" sz="200" lang="default" weight="bold"/>
            <pm:cs face="Times New Roman" sz="200" lang="default" weight="bold"/>
            <pm:ea face="SimSun" sz="200" lang="default" weight="bold"/>
          </pm:charSpec>
        </ext>
      </extLst>
    </font>
    <font>
      <name val="Calibri"/>
      <family val="2"/>
      <color rgb="FF000000"/>
      <sz val="10"/>
      <u val="single"/>
      <extLst>
        <ext uri="smNativeData">
          <pm:charSpec xmlns:pm="smNativeData" id="1714042646" ulstyle="single" kern="1">
            <pm:latin face="Calibri" sz="200" lang="default"/>
            <pm:cs face="Times New Roman" sz="200" lang="default"/>
            <pm:ea face="SimSun" sz="200" lang="default"/>
          </pm:charSpec>
        </ext>
      </extLst>
    </font>
    <font>
      <name val="Calibri"/>
      <family val="2"/>
      <b/>
      <color rgb="FF000000"/>
      <sz val="9"/>
      <extLst>
        <ext uri="smNativeData">
          <pm:charSpec xmlns:pm="smNativeData" id="1714042646" ulstyle="none" kern="1">
            <pm:latin face="Calibri" sz="180" lang="default" weight="bold"/>
            <pm:cs face="Times New Roman" sz="180" lang="default" weight="bold"/>
            <pm:ea face="SimSun" sz="180" lang="default" weight="bold"/>
          </pm:charSpec>
        </ext>
      </extLst>
    </font>
    <font>
      <name val="Calibri"/>
      <family val="2"/>
      <color rgb="FFFF0000"/>
      <sz val="10"/>
      <extLst>
        <ext uri="smNativeData">
          <pm:charSpec xmlns:pm="smNativeData" id="1714042646" fgClr="FF0000" ulstyle="none" kern="1">
            <pm:latin face="Calibri" sz="200" lang="default"/>
            <pm:cs face="Times New Roman" sz="200" lang="default"/>
            <pm:ea face="SimSun" sz="200" lang="default"/>
          </pm:charSpec>
        </ext>
      </extLst>
    </font>
    <font>
      <name val="Calibri"/>
      <family val="2"/>
      <color rgb="FFFF0000"/>
      <sz val="11"/>
      <extLst>
        <ext uri="smNativeData">
          <pm:charSpec xmlns:pm="smNativeData" id="1714042646" fgClr="FF0000" ulstyle="none" kern="1">
            <pm:latin face="Calibri" sz="220" lang="default"/>
            <pm:cs face="Times New Roman" sz="220" lang="default"/>
            <pm:ea face="SimSun" sz="220" lang="default"/>
          </pm:charSpec>
        </ext>
      </extLst>
    </font>
    <font>
      <name val="Calibri"/>
      <family val="2"/>
      <b/>
      <color rgb="FFFF0000"/>
      <sz val="10"/>
      <extLst>
        <ext uri="smNativeData">
          <pm:charSpec xmlns:pm="smNativeData" id="1714042646" fgClr="FF0000" ulstyle="none" kern="1">
            <pm:latin face="Calibri" sz="200" lang="default" weight="bold"/>
            <pm:cs face="Times New Roman" sz="200" lang="default" weight="bold"/>
            <pm:ea face="SimSun" sz="200" lang="default" weight="bold"/>
          </pm:charSpec>
        </ext>
      </extLst>
    </font>
    <font>
      <name val="Calibri"/>
      <family val="2"/>
      <color rgb="FF000000"/>
      <sz val="10"/>
      <vertAlign val="superscript"/>
      <extLst>
        <ext uri="smNativeData">
          <pm:charSpec xmlns:pm="smNativeData" id="1714042646" ulstyle="none" kern="1" ssSize="66" ssDistance="15">
            <pm:latin face="Calibri" sz="200" lang="default"/>
            <pm:cs face="Times New Roman" sz="200" lang="default"/>
            <pm:ea face="SimSun" sz="200" lang="default"/>
          </pm:charSpec>
        </ext>
      </extLst>
    </font>
    <font>
      <name val="Calibri"/>
      <family val="2"/>
      <color rgb="FF000000"/>
      <sz val="9"/>
      <extLst>
        <ext uri="smNativeData">
          <pm:charSpec xmlns:pm="smNativeData" id="1714042646" ulstyle="none" kern="1">
            <pm:latin face="Calibri" sz="180" lang="default"/>
            <pm:cs face="Times New Roman" sz="220" lang="default"/>
            <pm:ea face="SimSun" sz="220" lang="default"/>
          </pm:charSpec>
        </ext>
      </extLst>
    </font>
    <font>
      <name val="Calibri"/>
      <family val="2"/>
      <color rgb="FF000000"/>
      <sz val="11"/>
      <vertAlign val="superscript"/>
      <extLst>
        <ext uri="smNativeData">
          <pm:charSpec xmlns:pm="smNativeData" id="1714042646" ulstyle="none" kern="1" ssSize="66" ssDistance="15">
            <pm:latin face="Calibri" sz="220" lang="default"/>
            <pm:cs face="Times New Roman" sz="200" lang="default"/>
            <pm:ea face="SimSun" sz="200" lang="default"/>
          </pm:charSpec>
        </ext>
      </extLst>
    </font>
    <font>
      <name val="Calibri"/>
      <family val="2"/>
      <b/>
      <color rgb="FF000000"/>
      <sz val="10"/>
      <extLst>
        <ext uri="smNativeData">
          <pm:charSpec xmlns:pm="smNativeData" id="1714042646" ulstyle="none" kern="1">
            <pm:latin face="Calibri" sz="200" lang="default" weight="bold"/>
            <pm:cs face="Times New Roman" sz="200" lang="default"/>
            <pm:ea face="SimSun" sz="200" lang="default"/>
          </pm:charSpec>
        </ext>
      </extLst>
    </font>
  </fonts>
  <fills count="194">
    <fill>
      <patternFill patternType="none"/>
    </fill>
    <fill>
      <patternFill patternType="gray125"/>
    </fill>
    <fill>
      <patternFill patternType="solid">
        <fgColor rgb="FFF2F2F2"/>
        <bgColor rgb="FFFFFFFF"/>
        <extLst>
          <ext uri="smNativeData">
            <pm:shade xmlns:pm="smNativeData" id="1714042646" type="1" fgLvl="100" fgClr="00F2F2F2" bgLvl="0" bgClr="00FFFFFF"/>
          </ext>
        </extLst>
      </patternFill>
    </fill>
    <fill>
      <patternFill patternType="solid">
        <fgColor rgb="FFC6EFCE"/>
        <bgColor rgb="FFFFFFFF"/>
        <extLst>
          <ext uri="smNativeData">
            <pm:shade xmlns:pm="smNativeData" id="1714042646" type="1" fgLvl="100" fgClr="00C6EFCE" bgLvl="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none"/>
    </fill>
    <fill>
      <patternFill patternType="solid">
        <fgColor rgb="FFEFEFEF"/>
        <bgColor rgb="FFFFFFFF"/>
        <extLst>
          <ext uri="smNativeData">
            <pm:shade xmlns:pm="smNativeData" id="1714042646" type="1" fgLvl="25" fgClr="00C0C0C0" bgLvl="100" bgClr="00FFFFFF"/>
          </ext>
        </extLst>
      </patternFill>
    </fill>
    <fill>
      <patternFill patternType="solid">
        <fgColor rgb="FFFFCC99"/>
        <bgColor rgb="FFFFFFFF"/>
        <extLst>
          <ext uri="smNativeData">
            <pm:shade xmlns:pm="smNativeData" id="1714042646" type="1" fgLvl="100" fgClr="00FFCC99" bgLvl="0" bgClr="00FFFFFF"/>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none"/>
    </fill>
    <fill>
      <patternFill patternType="none"/>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EFEFEF"/>
        <bgColor rgb="FFFFFFFF"/>
        <extLst>
          <ext uri="smNativeData">
            <pm:shade xmlns:pm="smNativeData" id="1714042646" type="1" fgLvl="25" fgClr="00C0C0C0" bgLvl="100" bgClr="00FFFFFF"/>
          </ext>
        </extLst>
      </patternFill>
    </fill>
    <fill>
      <patternFill patternType="none"/>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00"/>
        <bgColor rgb="FFFFFFFF"/>
        <extLst>
          <ext uri="smNativeData">
            <pm:shade xmlns:pm="smNativeData" id="1714042646" type="1" fgLvl="100" fgClr="00FFFF00" bgLvl="0" bgClr="00000000"/>
          </ext>
        </extLst>
      </patternFill>
    </fill>
    <fill>
      <patternFill patternType="solid">
        <fgColor rgb="FFF7F7F7"/>
        <bgColor rgb="FFFFFFFF"/>
        <extLst>
          <ext uri="smNativeData">
            <pm:shade xmlns:pm="smNativeData" id="1714042646" type="1" fgLvl="25" fgClr="00DDDDDD" bgLvl="100" bgClr="00FFFFFF"/>
          </ext>
        </extLst>
      </patternFill>
    </fill>
    <fill>
      <patternFill patternType="none"/>
    </fill>
    <fill>
      <patternFill patternType="solid">
        <fgColor rgb="FFEAEAEA"/>
        <bgColor rgb="FFFFFFFF"/>
        <extLst>
          <ext uri="smNativeData">
            <pm:shade xmlns:pm="smNativeData" id="1714042646" type="1" fgLvl="100" fgClr="00EAEAEA" bgLvl="0" bgClr="00FFFFFF"/>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none"/>
    </fill>
    <fill>
      <patternFill patternType="none"/>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92CDDC"/>
        <bgColor rgb="FFFFFFFF"/>
        <extLst>
          <ext uri="smNativeData">
            <pm:shade xmlns:pm="smNativeData" id="1714042646" type="1" fgLvl="100" fgClr="0092CDDC"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none"/>
    </fill>
    <fill>
      <patternFill patternType="solid">
        <fgColor rgb="FFFFFFFF"/>
        <bgColor rgb="FFFFFFFF"/>
        <extLst>
          <ext uri="smNativeData">
            <pm:shade xmlns:pm="smNativeData" id="1714042646" type="1" fgLvl="100" fgClr="00FFFFFF" bgLvl="0" bgClr="00FFFFFF"/>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FFFF00"/>
        <bgColor rgb="FFFFFFFF"/>
        <extLst>
          <ext uri="smNativeData">
            <pm:shade xmlns:pm="smNativeData" id="1714042646" type="1" fgLvl="100" fgClr="00FFFF00" bgLvl="0" bgClr="00000000"/>
          </ext>
        </extLst>
      </patternFill>
    </fill>
    <fill>
      <patternFill patternType="solid">
        <fgColor rgb="FFFCD5B4"/>
        <bgColor rgb="FFFFFFFF"/>
        <extLst>
          <ext uri="smNativeData">
            <pm:shade xmlns:pm="smNativeData" id="1714042646" type="1" fgLvl="100" fgClr="00FCD5B4" bgLvl="0" bgClr="00000000"/>
          </ext>
        </extLst>
      </patternFill>
    </fill>
    <fill>
      <patternFill patternType="solid">
        <fgColor rgb="FF92D050"/>
        <bgColor rgb="FFFFFFFF"/>
        <extLst>
          <ext uri="smNativeData">
            <pm:shade xmlns:pm="smNativeData" id="1714042646" type="1" fgLvl="100" fgClr="0092D050" bgLvl="0" bgClr="00000000"/>
          </ext>
        </extLst>
      </patternFill>
    </fill>
    <fill>
      <patternFill patternType="solid">
        <fgColor rgb="FFE4E4E4"/>
        <bgColor rgb="FFFFFFFF"/>
        <extLst>
          <ext uri="smNativeData">
            <pm:shade xmlns:pm="smNativeData" id="1714042646" type="1" fgLvl="100" fgClr="00E4E4E4" bgLvl="0" bgClr="00000000"/>
          </ext>
        </extLst>
      </patternFill>
    </fill>
    <fill>
      <patternFill patternType="solid">
        <fgColor rgb="FF92CDDC"/>
        <bgColor rgb="FFFFFFFF"/>
        <extLst>
          <ext uri="smNativeData">
            <pm:shade xmlns:pm="smNativeData" id="1714042646" type="1" fgLvl="100" fgClr="0092CDDC" bgLvl="0" bgClr="00000000"/>
          </ext>
        </extLst>
      </patternFill>
    </fill>
    <fill>
      <patternFill patternType="solid">
        <fgColor rgb="FFFCD5B4"/>
        <bgColor rgb="FFFFFFFF"/>
        <extLst>
          <ext uri="smNativeData">
            <pm:shade xmlns:pm="smNativeData" id="1714042646" type="1" fgLvl="100" fgClr="00FCD5B4" bgLvl="0" bgClr="00000000"/>
          </ext>
        </extLst>
      </patternFill>
    </fill>
    <fill>
      <patternFill patternType="solid">
        <fgColor rgb="FF00B0F0"/>
        <bgColor rgb="FFFFFFFF"/>
        <extLst>
          <ext uri="smNativeData">
            <pm:shade xmlns:pm="smNativeData" id="1714042646" type="1" fgLvl="100" fgClr="0000B0F0" bgLvl="0" bgClr="00000000"/>
          </ext>
        </extLst>
      </patternFill>
    </fill>
    <fill>
      <patternFill patternType="solid">
        <fgColor rgb="FFB7DEE8"/>
        <bgColor rgb="FFFFFFFF"/>
        <extLst>
          <ext uri="smNativeData">
            <pm:shade xmlns:pm="smNativeData" id="1714042646" type="1" fgLvl="100" fgClr="00B7DEE8" bgLvl="0" bgClr="00000000"/>
          </ext>
        </extLst>
      </patternFill>
    </fill>
    <fill>
      <patternFill patternType="solid">
        <fgColor rgb="FFFFFFFF"/>
        <bgColor rgb="FFFFFFFF"/>
        <extLst>
          <ext uri="smNativeData">
            <pm:shade xmlns:pm="smNativeData" id="1714042646" type="1" fgLvl="100" fgClr="00FFFFFF" bgLvl="0" bgClr="00000000"/>
          </ext>
        </extLst>
      </patternFill>
    </fill>
    <fill>
      <patternFill patternType="solid">
        <fgColor rgb="FFFFFFFF"/>
        <bgColor rgb="FFFFFFFF"/>
        <extLst>
          <ext uri="smNativeData">
            <pm:shade xmlns:pm="smNativeData" id="1714042646" type="1" fgLvl="100" fgClr="00FFFFFF" bgLvl="0" bgClr="00000000"/>
          </ext>
        </extLst>
      </patternFill>
    </fill>
    <fill>
      <patternFill patternType="solid">
        <fgColor rgb="FFFFFFFF"/>
        <bgColor rgb="FFFFFFFF"/>
        <extLst>
          <ext uri="smNativeData">
            <pm:shade xmlns:pm="smNativeData" id="1714042646" type="1" fgLvl="100" fgClr="00FFFFFF" bgLvl="0" bgClr="00000000"/>
          </ext>
        </extLst>
      </patternFill>
    </fill>
    <fill>
      <patternFill patternType="solid">
        <fgColor rgb="FFFFFFFF"/>
        <bgColor rgb="FFFFFFFF"/>
        <extLst>
          <ext uri="smNativeData">
            <pm:shade xmlns:pm="smNativeData" id="1714042646" type="1" fgLvl="100" fgClr="00FFFFFF" bgLvl="0" bgClr="00000000"/>
          </ext>
        </extLst>
      </patternFill>
    </fill>
    <fill>
      <patternFill patternType="solid">
        <fgColor rgb="FFF2F2F2"/>
        <bgColor rgb="FFFFFFFF"/>
        <extLst>
          <ext uri="smNativeData">
            <pm:shade xmlns:pm="smNativeData" id="1714042646" type="1" fgLvl="100" fgClr="00F2F2F2" bgLvl="0" bgClr="00000000"/>
          </ext>
        </extLst>
      </patternFill>
    </fill>
    <fill>
      <patternFill patternType="solid">
        <fgColor rgb="FFFFFFFF"/>
        <bgColor rgb="FFFFFFFF"/>
        <extLst>
          <ext uri="smNativeData">
            <pm:shade xmlns:pm="smNativeData" id="1714042646" type="1" fgLvl="100" fgClr="00FFFFFF" bgLvl="0" bgClr="00000000"/>
          </ext>
        </extLst>
      </patternFill>
    </fill>
    <fill>
      <patternFill patternType="solid">
        <fgColor rgb="FFF2F2F2"/>
        <bgColor rgb="FFFFFFFF"/>
        <extLst>
          <ext uri="smNativeData">
            <pm:shade xmlns:pm="smNativeData" id="1714042646" type="1" fgLvl="100" fgClr="00F2F2F2" bgLvl="0" bgClr="00000000"/>
          </ext>
        </extLst>
      </patternFill>
    </fill>
    <fill>
      <patternFill patternType="solid">
        <fgColor rgb="FFFFFFFF"/>
        <bgColor rgb="FFFFFFFF"/>
        <extLst>
          <ext uri="smNativeData">
            <pm:shade xmlns:pm="smNativeData" id="1714042646" type="1" fgLvl="100" fgClr="00FFFFFF" bgLvl="0" bgClr="00000000"/>
          </ext>
        </extLst>
      </patternFill>
    </fill>
    <fill>
      <patternFill patternType="solid">
        <fgColor rgb="FF92CDDC"/>
        <bgColor rgb="FFFFFFFF"/>
        <extLst>
          <ext uri="smNativeData">
            <pm:shade xmlns:pm="smNativeData" id="1714042646" type="1" fgLvl="100" fgClr="0092CDDC"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solid">
        <fgColor rgb="FF92CDDC"/>
        <bgColor rgb="FFFFFFFF"/>
        <extLst>
          <ext uri="smNativeData">
            <pm:shade xmlns:pm="smNativeData" id="1714042646" type="1" fgLvl="100" fgClr="0092CDDC" bgLvl="0" bgClr="00000000"/>
          </ext>
        </extLst>
      </patternFill>
    </fill>
    <fill>
      <patternFill patternType="solid">
        <fgColor rgb="FF92CDDC"/>
        <bgColor rgb="FFFFFFFF"/>
        <extLst>
          <ext uri="smNativeData">
            <pm:shade xmlns:pm="smNativeData" id="1714042646" type="1" fgLvl="100" fgClr="0092CDDC" bgLvl="0" bgClr="00000000"/>
          </ext>
        </extLst>
      </patternFill>
    </fill>
    <fill>
      <patternFill patternType="solid">
        <fgColor rgb="FF92CDDC"/>
        <bgColor rgb="FFFFFFFF"/>
        <extLst>
          <ext uri="smNativeData">
            <pm:shade xmlns:pm="smNativeData" id="1714042646" type="1" fgLvl="100" fgClr="0092CDDC" bgLvl="0" bgClr="00000000"/>
          </ext>
        </extLst>
      </patternFill>
    </fill>
    <fill>
      <patternFill patternType="solid">
        <fgColor rgb="FF92CDDC"/>
        <bgColor rgb="FFFFFFFF"/>
        <extLst>
          <ext uri="smNativeData">
            <pm:shade xmlns:pm="smNativeData" id="1714042646" type="1" fgLvl="100" fgClr="0092CDDC" bgLvl="0" bgClr="00000000"/>
          </ext>
        </extLst>
      </patternFill>
    </fill>
    <fill>
      <patternFill patternType="solid">
        <fgColor rgb="FFFCD5B4"/>
        <bgColor rgb="FFFFFFFF"/>
        <extLst>
          <ext uri="smNativeData">
            <pm:shade xmlns:pm="smNativeData" id="1714042646" type="1" fgLvl="100" fgClr="00FCD5B4" bgLvl="0" bgClr="00000000"/>
          </ext>
        </extLst>
      </patternFill>
    </fill>
    <fill>
      <patternFill patternType="solid">
        <fgColor rgb="FFF2F2F2"/>
        <bgColor rgb="FFFFFFFF"/>
        <extLst>
          <ext uri="smNativeData">
            <pm:shade xmlns:pm="smNativeData" id="1714042646" type="1" fgLvl="100" fgClr="00F2F2F2" bgLvl="0" bgClr="00000000"/>
          </ext>
        </extLst>
      </patternFill>
    </fill>
    <fill>
      <patternFill patternType="solid">
        <fgColor rgb="FFE4E4E4"/>
        <bgColor rgb="FFFFFFFF"/>
        <extLst>
          <ext uri="smNativeData">
            <pm:shade xmlns:pm="smNativeData" id="1714042646" type="1" fgLvl="100" fgClr="00E4E4E4" bgLvl="0" bgClr="00000000"/>
          </ext>
        </extLst>
      </patternFill>
    </fill>
    <fill>
      <patternFill patternType="solid">
        <fgColor rgb="FFE4E4E4"/>
        <bgColor rgb="FFFFFFFF"/>
        <extLst>
          <ext uri="smNativeData">
            <pm:shade xmlns:pm="smNativeData" id="1714042646" type="1" fgLvl="100" fgClr="00E4E4E4" bgLvl="0" bgClr="00000000"/>
          </ext>
        </extLst>
      </patternFill>
    </fill>
    <fill>
      <patternFill patternType="none"/>
    </fill>
    <fill>
      <patternFill patternType="none"/>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E8E8E8"/>
        <bgColor rgb="FFFFFFFF"/>
        <extLst>
          <ext uri="smNativeData">
            <pm:shade xmlns:pm="smNativeData" id="1714042646" type="1" fgLvl="100" fgClr="00E8E8E8" bgLvl="0" bgClr="00000000"/>
          </ext>
        </extLst>
      </patternFill>
    </fill>
    <fill>
      <patternFill patternType="solid">
        <fgColor rgb="FFE8E8E8"/>
        <bgColor rgb="FFFFFFFF"/>
        <extLst>
          <ext uri="smNativeData">
            <pm:shade xmlns:pm="smNativeData" id="1714042646" type="1" fgLvl="100" fgClr="00E8E8E8" bgLvl="0" bgClr="00000000"/>
          </ext>
        </extLst>
      </patternFill>
    </fill>
    <fill>
      <patternFill patternType="none"/>
    </fill>
    <fill>
      <patternFill patternType="none"/>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FFFF00"/>
        <bgColor rgb="FFFFFFFF"/>
        <extLst>
          <ext uri="smNativeData">
            <pm:shade xmlns:pm="smNativeData" id="1714042646" type="1" fgLvl="100" fgClr="00FFFF00" bgLvl="0" bgClr="00000000"/>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F7F7F7"/>
        <bgColor rgb="FFFFFFFF"/>
        <extLst>
          <ext uri="smNativeData">
            <pm:shade xmlns:pm="smNativeData" id="1714042646" type="1" fgLvl="25" fgClr="00DDDDDD" bgLvl="100" bgClr="00FFFFFF"/>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none"/>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none"/>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none"/>
    </fill>
    <fill>
      <patternFill patternType="none"/>
    </fill>
    <fill>
      <patternFill patternType="none"/>
    </fill>
    <fill>
      <patternFill patternType="none"/>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EAEAEA"/>
        <bgColor rgb="FFFFFFFF"/>
        <extLst>
          <ext uri="smNativeData">
            <pm:shade xmlns:pm="smNativeData" id="1714042646" type="1" fgLvl="100" fgClr="00EAEAEA" bgLvl="0" bgClr="00000000"/>
          </ext>
        </extLst>
      </patternFill>
    </fill>
    <fill>
      <patternFill patternType="none"/>
    </fill>
    <fill>
      <patternFill patternType="none"/>
    </fill>
    <fill>
      <patternFill patternType="solid">
        <fgColor rgb="FFEAEAEA"/>
        <bgColor rgb="FFFFFFFF"/>
        <extLst>
          <ext uri="smNativeData">
            <pm:shade xmlns:pm="smNativeData" id="1714042646" type="1" fgLvl="100" fgClr="00EAEAEA"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454F67"/>
        <bgColor rgb="FFFFFFFF"/>
        <extLst>
          <ext uri="smNativeData">
            <pm:shade xmlns:pm="smNativeData" id="1714042646" type="1" fgLvl="100" fgClr="00454F67" bgLvl="0" bgClr="00000000"/>
          </ext>
        </extLst>
      </patternFill>
    </fill>
    <fill>
      <patternFill patternType="solid">
        <fgColor rgb="FFDCE6F1"/>
        <bgColor rgb="FFFFFFFF"/>
        <extLst>
          <ext uri="smNativeData">
            <pm:shade xmlns:pm="smNativeData" id="1714042646" type="1" fgLvl="100" fgClr="00DCE6F1" bgLvl="100" bgClr="00DCE6F1"/>
          </ext>
        </extLst>
      </patternFill>
    </fill>
    <fill>
      <patternFill patternType="solid">
        <fgColor rgb="FFB8CCE4"/>
        <bgColor rgb="FFFFFFFF"/>
        <extLst>
          <ext uri="smNativeData">
            <pm:shade xmlns:pm="smNativeData" id="1714042646" type="1" fgLvl="100" fgClr="00B8CCE4" bgLvl="100" bgClr="00B8CCE4"/>
          </ext>
        </extLst>
      </patternFill>
    </fill>
    <fill>
      <patternFill patternType="solid">
        <fgColor rgb="FF4F81BD"/>
        <bgColor rgb="FFFFFFFF"/>
        <extLst>
          <ext uri="smNativeData">
            <pm:shade xmlns:pm="smNativeData" id="1714042646" type="1" fgLvl="100" fgClr="004F81BD" bgLvl="100" bgClr="004F81BD"/>
          </ext>
        </extLst>
      </patternFill>
    </fill>
    <fill>
      <patternFill patternType="solid">
        <fgColor rgb="FFEAEAEA"/>
        <bgColor rgb="FFFFFFFF"/>
        <extLst>
          <ext uri="smNativeData">
            <pm:shade xmlns:pm="smNativeData" id="1714042646" type="1" fgLvl="100" fgClr="00EAEAEA" bgLvl="0" bgClr="00000000"/>
          </ext>
        </extLst>
      </patternFill>
    </fill>
  </fills>
  <borders count="193">
    <border>
      <left style="none">
        <color rgb="FF000000"/>
      </left>
      <right style="none">
        <color rgb="FF000000"/>
      </right>
      <top style="none">
        <color rgb="FF000000"/>
      </top>
      <bottom style="none">
        <color rgb="FF000000"/>
      </bottom>
      <extLst>
        <ext uri="smNativeData">
          <pm:border xmlns:pm="smNativeData" id="1714042646"/>
        </ext>
      </extLst>
    </border>
    <border>
      <left style="thin">
        <color rgb="FF7F7F7F"/>
      </left>
      <right style="thin">
        <color rgb="FF7F7F7F"/>
      </right>
      <top style="thin">
        <color rgb="FF7F7F7F"/>
      </top>
      <bottom style="thin">
        <color rgb="FF7F7F7F"/>
      </bottom>
      <extLst>
        <ext uri="smNativeData">
          <pm:border xmlns:pm="smNativeData" id="1714042646">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thin">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dashed">
        <color rgb="FF000000"/>
      </left>
      <right style="none">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2"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1714042646">
            <pm:line position="bottom"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1714042646">
            <pm:line position="bottom" type="1" style="0" width="20" dist="20" width2="20" rgb="000000"/>
          </pm:border>
        </ext>
      </extLst>
    </border>
    <border>
      <left style="dashed">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2" width="20" dist="20" width2="20" rgb="000000"/>
            <pm:line position="right" type="1" style="0" width="20" dist="20" width2="20" rgb="000000"/>
          </pm:border>
        </ext>
      </extLst>
    </border>
    <border>
      <left style="thin">
        <color rgb="FF7F7F7F"/>
      </left>
      <right style="thin">
        <color rgb="FF7F7F7F"/>
      </right>
      <top style="thin">
        <color rgb="FF7F7F7F"/>
      </top>
      <bottom style="thin">
        <color rgb="FF7F7F7F"/>
      </bottom>
      <extLst>
        <ext uri="smNativeData">
          <pm:border xmlns:pm="smNativeData" id="1714042646">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thin">
        <color rgb="FFC0C0C0"/>
      </left>
      <right style="thin">
        <color rgb="FFC0C0C0"/>
      </right>
      <top style="thin">
        <color rgb="FFC0C0C0"/>
      </top>
      <bottom style="none">
        <color rgb="FF000000"/>
      </bottom>
      <extLst>
        <ext uri="smNativeData">
          <pm:border xmlns:pm="smNativeData" id="1714042646">
            <pm:line position="top" type="1" style="0" width="20" dist="20" width2="20" rgb="C0C0C0"/>
            <pm:line position="left" type="1" style="0" width="20" dist="20" width2="20" rgb="C0C0C0"/>
            <pm:line position="right" type="1" style="0" width="20" dist="20" width2="20" rgb="C0C0C0"/>
          </pm:border>
        </ext>
      </extLst>
    </border>
    <border>
      <left style="thin">
        <color rgb="FF000000"/>
      </left>
      <right style="thin">
        <color rgb="FFC0C0C0"/>
      </right>
      <top style="thin">
        <color rgb="FFC0C0C0"/>
      </top>
      <bottom style="none">
        <color rgb="FF000000"/>
      </bottom>
      <extLst>
        <ext uri="smNativeData">
          <pm:border xmlns:pm="smNativeData" id="1714042646">
            <pm:line position="top" type="1" style="0" width="20" dist="20" width2="20" rgb="C0C0C0"/>
            <pm:line position="left" type="1" style="0" width="20" dist="20" width2="20" rgb="000000"/>
            <pm:line position="right" type="1" style="0" width="20" dist="20" width2="20" rgb="C0C0C0"/>
          </pm:border>
        </ext>
      </extLst>
    </border>
    <border>
      <left style="thin">
        <color rgb="FFC0C0C0"/>
      </left>
      <right style="thin">
        <color rgb="FF000000"/>
      </right>
      <top style="thin">
        <color rgb="FFC0C0C0"/>
      </top>
      <bottom style="none">
        <color rgb="FF000000"/>
      </bottom>
      <extLst>
        <ext uri="smNativeData">
          <pm:border xmlns:pm="smNativeData" id="1714042646">
            <pm:line position="top"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none">
        <color rgb="FF000000"/>
      </top>
      <bottom style="none">
        <color rgb="FF000000"/>
      </bottom>
      <extLst>
        <ext uri="smNativeData">
          <pm:border xmlns:pm="smNativeData" id="1714042646">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C0C0C0"/>
            <pm:line position="right" type="1" style="0" width="20" dist="20" width2="20" rgb="C0C0C0"/>
          </pm:border>
        </ext>
      </extLst>
    </border>
    <border>
      <left style="thin">
        <color rgb="FFDDDDDD"/>
      </left>
      <right style="thin">
        <color rgb="FFDDDDDD"/>
      </right>
      <top style="thin">
        <color rgb="FFDDDDDD"/>
      </top>
      <bottom style="thin">
        <color rgb="FFDDDDDD"/>
      </bottom>
      <extLst>
        <ext uri="smNativeData">
          <pm:border xmlns:pm="smNativeData" id="1714042646">
            <pm:line position="top" type="1" style="0" width="20" dist="20" width2="20" rgb="DDDDDD"/>
            <pm:line position="bottom" type="1" style="0" width="20" dist="20" width2="20" rgb="DDDDDD"/>
            <pm:line position="left" type="1" style="0" width="20" dist="20" width2="20" rgb="DDDDDD"/>
            <pm:line position="right" type="1" style="0" width="20" dist="20" width2="20" rgb="DDDDDD"/>
          </pm:border>
        </ext>
      </extLst>
    </border>
    <border>
      <left style="thin">
        <color rgb="FFDDDDDD"/>
      </left>
      <right style="thin">
        <color rgb="FF000000"/>
      </right>
      <top style="thin">
        <color rgb="FFDDDDDD"/>
      </top>
      <bottom style="thin">
        <color rgb="FFDDDDDD"/>
      </bottom>
      <extLst>
        <ext uri="smNativeData">
          <pm:border xmlns:pm="smNativeData" id="1714042646">
            <pm:line position="top" type="1" style="0" width="20" dist="20" width2="20" rgb="DDDDDD"/>
            <pm:line position="bottom" type="1" style="0" width="20" dist="20" width2="20" rgb="DDDDDD"/>
            <pm:line position="left" type="1" style="0" width="20" dist="20" width2="20" rgb="DDDDDD"/>
            <pm:line position="right" type="1" style="0" width="20" dist="20" width2="20" rgb="000000"/>
          </pm:border>
        </ext>
      </extLst>
    </border>
    <border>
      <left style="none">
        <color rgb="FF000000"/>
      </left>
      <right style="none">
        <color rgb="FF000000"/>
      </right>
      <top style="none">
        <color rgb="FF000000"/>
      </top>
      <bottom style="dashed">
        <color rgb="FF000000"/>
      </bottom>
      <extLst>
        <ext uri="smNativeData">
          <pm:border xmlns:pm="smNativeData" id="1714042646">
            <pm:line position="bottom" type="1" style="2" width="20" dist="20" width2="20" rgb="000000"/>
          </pm:border>
        </ext>
      </extLst>
    </border>
    <border>
      <left style="none">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thin">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right" type="1" style="0" width="20" dist="20" width2="20" rgb="000000"/>
          </pm:border>
        </ext>
      </extLst>
    </border>
    <border>
      <left style="none">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thin">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right" type="1" style="0" width="20" dist="20" width2="20" rgb="000000"/>
          </pm:border>
        </ext>
      </extLst>
    </border>
    <border>
      <left style="thin">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DDDDDD"/>
      </right>
      <top style="thin">
        <color rgb="FFDDDDDD"/>
      </top>
      <bottom style="none">
        <color rgb="FF000000"/>
      </bottom>
      <extLst>
        <ext uri="smNativeData">
          <pm:border xmlns:pm="smNativeData" id="1714042646">
            <pm:line position="top" type="1" style="0" width="20" dist="20" width2="20" rgb="DDDDDD"/>
            <pm:line position="left" type="1" style="0" width="20" dist="20" width2="20" rgb="000000"/>
            <pm:line position="right" type="1" style="0" width="20" dist="20" width2="20" rgb="DDDDDD"/>
          </pm:border>
        </ext>
      </extLst>
    </border>
    <border>
      <left style="thin">
        <color rgb="FFDDDDDD"/>
      </left>
      <right style="thin">
        <color rgb="FFDDDDDD"/>
      </right>
      <top style="thin">
        <color rgb="FFDDDDDD"/>
      </top>
      <bottom style="none">
        <color rgb="FF000000"/>
      </bottom>
      <extLst>
        <ext uri="smNativeData">
          <pm:border xmlns:pm="smNativeData" id="1714042646">
            <pm:line position="top" type="1" style="0" width="20" dist="20" width2="20" rgb="DDDDDD"/>
            <pm:line position="left" type="1" style="0" width="20" dist="20" width2="20" rgb="DDDDDD"/>
            <pm:line position="right" type="1" style="0" width="20" dist="20" width2="20" rgb="DDDDDD"/>
          </pm:border>
        </ext>
      </extLst>
    </border>
    <border>
      <left style="thin">
        <color rgb="FF000000"/>
      </left>
      <right style="thin">
        <color rgb="FFC0C0C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000000"/>
            <pm:line position="right" type="1" style="0" width="20" dist="20" width2="20" rgb="C0C0C0"/>
          </pm:border>
        </ext>
      </extLst>
    </border>
    <border>
      <left style="thin">
        <color rgb="FFDDDDDD"/>
      </left>
      <right style="thin">
        <color rgb="FF000000"/>
      </right>
      <top style="thin">
        <color rgb="FFDDDDDD"/>
      </top>
      <bottom style="none">
        <color rgb="FF000000"/>
      </bottom>
      <extLst>
        <ext uri="smNativeData">
          <pm:border xmlns:pm="smNativeData" id="1714042646">
            <pm:line position="top" type="1" style="0" width="20" dist="20" width2="20" rgb="DDDDDD"/>
            <pm:line position="left" type="1" style="0" width="20" dist="20" width2="20" rgb="DDDDDD"/>
            <pm:line position="right" type="1" style="0" width="20" dist="20" width2="20" rgb="000000"/>
          </pm:border>
        </ext>
      </extLst>
    </border>
    <border>
      <left style="medium">
        <color rgb="FF000000"/>
      </left>
      <right style="medium">
        <color rgb="FF000000"/>
      </right>
      <top style="medium">
        <color rgb="FF000000"/>
      </top>
      <bottom style="medium">
        <color rgb="FF000000"/>
      </bottom>
      <extLst>
        <ext uri="smNativeData">
          <pm:border xmlns:pm="smNativeData" id="1714042646">
            <pm:line position="top" type="1" style="0" width="30" dist="20" width2="20" rgb="000000"/>
            <pm:line position="bottom" type="1" style="0" width="30" dist="20" width2="20" rgb="000000"/>
            <pm:line position="left" type="1" style="0" width="30" dist="20" width2="20" rgb="000000"/>
            <pm:line position="right" type="1" style="0" width="30" dist="20" width2="20" rgb="000000"/>
          </pm:border>
        </ext>
      </extLst>
    </border>
    <border>
      <left style="thin">
        <color rgb="FF000000"/>
      </left>
      <right style="dashed">
        <color rgb="FF000000"/>
      </right>
      <top style="dashed">
        <color rgb="FF000000"/>
      </top>
      <bottom style="dashed">
        <color rgb="FF000000"/>
      </bottom>
      <extLst>
        <ext uri="smNativeData">
          <pm:border xmlns:pm="smNativeData" id="1714042646">
            <pm:line position="top" type="1" style="2" width="20" dist="20" width2="20" rgb="000000"/>
            <pm:line position="bottom" type="1" style="2" width="20" dist="20" width2="20" rgb="000000"/>
            <pm:line position="left" type="1" style="0" width="20" dist="20" width2="20" rgb="000000"/>
            <pm:line position="right" type="1" style="2" width="20" dist="20" width2="20" rgb="000000"/>
          </pm:border>
        </ext>
      </extLst>
    </border>
    <border>
      <left style="dashed">
        <color rgb="FF000000"/>
      </left>
      <right style="none">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2"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thin">
        <color rgb="FFFFFFFF"/>
      </right>
      <top style="thin">
        <color rgb="FFFFFFFF"/>
      </top>
      <bottom style="thin">
        <color rgb="FFFFFFFF"/>
      </bottom>
      <extLst>
        <ext uri="smNativeData">
          <pm:border xmlns:pm="smNativeData" id="1714042646">
            <pm:line position="top" type="1" style="0" width="20" dist="20" width2="20" rgb="FFFFFF"/>
            <pm:line position="bottom" type="1" style="0" width="20" dist="20" width2="20" rgb="FFFFFF"/>
            <pm:line position="right" type="1" style="0" width="20" dist="20" width2="20" rgb="FFFFFF"/>
          </pm:border>
        </ext>
      </extLst>
    </border>
    <border>
      <left style="thin">
        <color rgb="FFFFFFFF"/>
      </left>
      <right style="none">
        <color rgb="FF000000"/>
      </right>
      <top style="thin">
        <color rgb="FFFFFFFF"/>
      </top>
      <bottom style="thin">
        <color rgb="FFFFFFFF"/>
      </bottom>
      <extLst>
        <ext uri="smNativeData">
          <pm:border xmlns:pm="smNativeData" id="1714042646">
            <pm:line position="top" type="1" style="0" width="20" dist="20" width2="20" rgb="FFFFFF"/>
            <pm:line position="bottom" type="1" style="0" width="20" dist="20" width2="20" rgb="FFFFFF"/>
            <pm:line position="left" type="1" style="0" width="20" dist="20" width2="20" rgb="FFFFFF"/>
          </pm:border>
        </ext>
      </extLst>
    </border>
    <border>
      <left style="none">
        <color rgb="FF000000"/>
      </left>
      <right style="thin">
        <color rgb="FFFFFFFF"/>
      </right>
      <top style="none">
        <color rgb="FF000000"/>
      </top>
      <bottom style="thick">
        <color rgb="FFFFFFFF"/>
      </bottom>
      <extLst>
        <ext uri="smNativeData">
          <pm:border xmlns:pm="smNativeData" id="1714042646">
            <pm:line position="bottom" type="1" style="0" width="50" dist="20" width2="20" rgb="FFFFFF"/>
            <pm:line position="right" type="1" style="0" width="20" dist="20" width2="20" rgb="FFFFFF"/>
          </pm:border>
        </ext>
      </extLst>
    </border>
    <border>
      <left style="thin">
        <color rgb="FFFFFFFF"/>
      </left>
      <right style="none">
        <color rgb="FF000000"/>
      </right>
      <top style="none">
        <color rgb="FF000000"/>
      </top>
      <bottom style="thick">
        <color rgb="FFFFFFFF"/>
      </bottom>
      <extLst>
        <ext uri="smNativeData">
          <pm:border xmlns:pm="smNativeData" id="1714042646">
            <pm:line position="bottom" type="1" style="0" width="50" dist="20" width2="20" rgb="FFFFFF"/>
            <pm:line position="left" type="1" style="0" width="20" dist="20" width2="20" rgb="FFFFFF"/>
          </pm:border>
        </ext>
      </extLst>
    </border>
    <border>
      <left style="thin">
        <color rgb="FFFFFFFF"/>
      </left>
      <right style="thin">
        <color rgb="FFFFFFFF"/>
      </right>
      <top style="none">
        <color rgb="FF000000"/>
      </top>
      <bottom style="thick">
        <color rgb="FFFFFFFF"/>
      </bottom>
      <extLst>
        <ext uri="smNativeData">
          <pm:border xmlns:pm="smNativeData" id="1714042646">
            <pm:line position="bottom" type="1" style="0" width="50" dist="20" width2="20" rgb="FFFFFF"/>
            <pm:line position="left" type="1" style="0" width="20" dist="20" width2="20" rgb="FFFFFF"/>
            <pm:line position="right" type="1" style="0" width="20" dist="20" width2="20" rgb="FFFFFF"/>
          </pm:border>
        </ext>
      </extLst>
    </border>
    <border>
      <left style="thin">
        <color rgb="FFFFFFFF"/>
      </left>
      <right style="none">
        <color rgb="FF000000"/>
      </right>
      <top style="thin">
        <color rgb="FFFFFFFF"/>
      </top>
      <bottom style="none">
        <color rgb="FF000000"/>
      </bottom>
      <extLst>
        <ext uri="smNativeData">
          <pm:border xmlns:pm="smNativeData" id="1714042646">
            <pm:line position="top" type="1" style="0" width="20" dist="20" width2="20" rgb="FFFFFF"/>
            <pm:line position="left" type="1" style="0" width="20" dist="20" width2="20" rgb="FFFFFF"/>
          </pm:border>
        </ext>
      </extLst>
    </border>
    <border>
      <left style="none">
        <color rgb="FF000000"/>
      </left>
      <right style="none">
        <color rgb="FF000000"/>
      </right>
      <top style="thin">
        <color rgb="FF000000"/>
      </top>
      <bottom style="none">
        <color rgb="FF000000"/>
      </bottom>
      <extLst>
        <ext uri="smNativeData">
          <pm:border xmlns:pm="smNativeData" id="1714042646">
            <pm:line position="top"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dashed">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2"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border>
        </ext>
      </extLst>
    </border>
    <border>
      <left style="thin">
        <color rgb="FFC0C0C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none">
        <color rgb="FF000000"/>
      </bottom>
      <extLst>
        <ext uri="smNativeData">
          <pm:border xmlns:pm="smNativeData" id="1714042646">
            <pm:line position="top" type="1" style="0" width="20" dist="20" width2="20" rgb="C0C0C0"/>
            <pm:line position="left" type="1" style="0" width="20" dist="20" width2="20" rgb="C0C0C0"/>
            <pm:line position="right" type="1" style="0" width="20" dist="20" width2="20" rgb="C0C0C0"/>
          </pm:border>
        </ext>
      </extLst>
    </border>
    <border>
      <left style="none">
        <color rgb="FF000000"/>
      </left>
      <right style="thin">
        <color rgb="FFFFFFFF"/>
      </right>
      <top style="none">
        <color rgb="FF000000"/>
      </top>
      <bottom style="none">
        <color rgb="FF000000"/>
      </bottom>
      <extLst>
        <ext uri="smNativeData">
          <pm:border xmlns:pm="smNativeData" id="1714042646">
            <pm:line position="right" type="1" style="0" width="20" dist="20" width2="20" rgb="FFFFFF"/>
          </pm:border>
        </ext>
      </extLst>
    </border>
    <border>
      <left style="thin">
        <color rgb="FFFFFFFF"/>
      </left>
      <right style="none">
        <color rgb="FF000000"/>
      </right>
      <top style="none">
        <color rgb="FF000000"/>
      </top>
      <bottom style="none">
        <color rgb="FF000000"/>
      </bottom>
      <extLst>
        <ext uri="smNativeData">
          <pm:border xmlns:pm="smNativeData" id="1714042646">
            <pm:line position="left" type="1" style="0" width="20" dist="20" width2="20" rgb="FFFFFF"/>
          </pm:border>
        </ext>
      </extLst>
    </border>
    <border>
      <left style="thin">
        <color rgb="FFFFFFFF"/>
      </left>
      <right style="thin">
        <color rgb="FFFFFFFF"/>
      </right>
      <top style="none">
        <color rgb="FF000000"/>
      </top>
      <bottom style="none">
        <color rgb="FF000000"/>
      </bottom>
      <extLst>
        <ext uri="smNativeData">
          <pm:border xmlns:pm="smNativeData" id="1714042646">
            <pm:line position="left" type="1" style="0" width="20" dist="20" width2="20" rgb="FFFFFF"/>
            <pm:line position="right" type="1" style="0" width="20" dist="20" width2="20" rgb="FFFFFF"/>
          </pm:border>
        </ext>
      </extLst>
    </border>
    <border>
      <left style="thin">
        <color rgb="FFC0C0C0"/>
      </left>
      <right style="thin">
        <color rgb="FFC0C0C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C0C0C0"/>
            <pm:line position="right" type="1" style="0" width="20" dist="20" width2="20" rgb="C0C0C0"/>
          </pm:border>
        </ext>
      </extLst>
    </border>
    <border>
      <left style="thin">
        <color rgb="FF00000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000000"/>
            <pm:line position="right" type="1" style="0" width="20" dist="20" width2="20" rgb="C0C0C0"/>
          </pm:border>
        </ext>
      </extLst>
    </border>
    <border>
      <left style="thin">
        <color rgb="FFC0C0C0"/>
      </left>
      <right style="thin">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1714042646">
            <pm:line position="top"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1714042646">
            <pm:line position="lef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1714042646">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1714042646">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1714042646">
            <pm:line position="bottom"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C0C0C0"/>
      </left>
      <right style="none">
        <color rgb="FF000000"/>
      </right>
      <top style="thin">
        <color rgb="FFC0C0C0"/>
      </top>
      <bottom style="none">
        <color rgb="FF000000"/>
      </bottom>
      <extLst>
        <ext uri="smNativeData">
          <pm:border xmlns:pm="smNativeData" id="1714042646">
            <pm:line position="top" type="1" style="0" width="20" dist="20" width2="20" rgb="C0C0C0"/>
            <pm:line position="left" type="1" style="0" width="20" dist="20" width2="20" rgb="C0C0C0"/>
          </pm:border>
        </ext>
      </extLst>
    </border>
    <border>
      <left style="none">
        <color rgb="FF000000"/>
      </left>
      <right style="thin">
        <color rgb="FFC0C0C0"/>
      </right>
      <top style="thin">
        <color rgb="FFC0C0C0"/>
      </top>
      <bottom style="none">
        <color rgb="FF000000"/>
      </bottom>
      <extLst>
        <ext uri="smNativeData">
          <pm:border xmlns:pm="smNativeData" id="1714042646">
            <pm:line position="top" type="1" style="0" width="20" dist="20" width2="20" rgb="C0C0C0"/>
            <pm:line position="right" type="1" style="0" width="20" dist="20" width2="20" rgb="C0C0C0"/>
          </pm:border>
        </ext>
      </extLst>
    </border>
    <border>
      <left style="thin">
        <color rgb="FFC0C0C0"/>
      </left>
      <right style="none">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line position="right" type="1" style="0" width="20" dist="20" width2="20" rgb="C0C0C0"/>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thin">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thin">
        <color rgb="FFC0C0C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medium">
        <color rgb="FF000000"/>
      </left>
      <right style="medium">
        <color rgb="FF000000"/>
      </right>
      <top style="none">
        <color rgb="FF000000"/>
      </top>
      <bottom style="medium">
        <color rgb="FF000000"/>
      </bottom>
      <extLst>
        <ext uri="smNativeData">
          <pm:border xmlns:pm="smNativeData" id="1714042646">
            <pm:line position="bottom" type="1" style="0" width="30" dist="20" width2="20" rgb="000000"/>
            <pm:line position="left" type="1" style="0" width="30" dist="20" width2="20" rgb="000000"/>
            <pm:line position="right" type="1" style="0" width="30" dist="20" width2="20" rgb="000000"/>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thin">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medium">
        <color rgb="FF000000"/>
      </left>
      <right style="none">
        <color rgb="FF000000"/>
      </right>
      <top style="none">
        <color rgb="FF000000"/>
      </top>
      <bottom style="none">
        <color rgb="FF000000"/>
      </bottom>
      <extLst>
        <ext uri="smNativeData">
          <pm:border xmlns:pm="smNativeData" id="1714042646">
            <pm:line position="left" type="1" style="0" width="30" dist="20" width2="20" rgb="000000"/>
          </pm:border>
        </ext>
      </extLst>
    </border>
    <border>
      <left style="thin">
        <color rgb="FF000000"/>
      </left>
      <right style="none">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000000"/>
            <pm:line position="right" type="1" style="0" width="20" dist="20" width2="20" rgb="C0C0C0"/>
          </pm:border>
        </ext>
      </extLst>
    </border>
    <border>
      <left style="none">
        <color rgb="FF000000"/>
      </left>
      <right style="none">
        <color rgb="FF000000"/>
      </right>
      <top style="none">
        <color rgb="FF000000"/>
      </top>
      <bottom style="thin">
        <color rgb="FF000000"/>
      </bottom>
      <extLst>
        <ext uri="smNativeData">
          <pm:border xmlns:pm="smNativeData" id="1714042646">
            <pm:line position="bottom"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1714042646">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C0C0C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000000"/>
            <pm:line position="right" type="1" style="0" width="20" dist="20" width2="20" rgb="C0C0C0"/>
          </pm:border>
        </ext>
      </extLst>
    </border>
    <border>
      <left style="none">
        <color rgb="FF000000"/>
      </left>
      <right style="thin">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thin">
        <color rgb="FFC0C0C0"/>
      </right>
      <top style="none">
        <color rgb="FF000000"/>
      </top>
      <bottom style="thin">
        <color rgb="FFC0C0C0"/>
      </bottom>
      <extLst>
        <ext uri="smNativeData">
          <pm:border xmlns:pm="smNativeData" id="1714042646">
            <pm:line position="bottom" type="1" style="0" width="20" dist="20" width2="20" rgb="C0C0C0"/>
            <pm:line position="right" type="1" style="0" width="20" dist="20" width2="20" rgb="C0C0C0"/>
          </pm:border>
        </ext>
      </extLst>
    </border>
    <border>
      <left style="none">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thin">
        <color rgb="FFC0C0C0"/>
      </right>
      <top style="thin">
        <color rgb="FFC0C0C0"/>
      </top>
      <bottom style="none">
        <color rgb="FF000000"/>
      </bottom>
      <extLst>
        <ext uri="smNativeData">
          <pm:border xmlns:pm="smNativeData" id="1714042646">
            <pm:line position="top" type="1" style="0" width="20" dist="20" width2="20" rgb="C0C0C0"/>
            <pm:line position="right" type="1" style="0" width="20" dist="20" width2="20" rgb="C0C0C0"/>
          </pm:border>
        </ext>
      </extLst>
    </border>
    <border>
      <left style="none">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none">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right" type="1" style="0" width="20" dist="20" width2="20" rgb="C0C0C0"/>
          </pm:border>
        </ext>
      </extLst>
    </border>
    <border>
      <left style="thin">
        <color rgb="FFC0C0C0"/>
      </left>
      <right style="thin">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00000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line position="right" type="1" style="0" width="20" dist="20" width2="20" rgb="000000"/>
          </pm:border>
        </ext>
      </extLst>
    </border>
    <border>
      <left style="thin">
        <color rgb="FFDDDDDD"/>
      </left>
      <right style="thin">
        <color rgb="FFDDDDDD"/>
      </right>
      <top style="thin">
        <color rgb="FFDDDDDD"/>
      </top>
      <bottom style="thin">
        <color rgb="FF000000"/>
      </bottom>
      <extLst>
        <ext uri="smNativeData">
          <pm:border xmlns:pm="smNativeData" id="1714042646">
            <pm:line position="top" type="1" style="0" width="20" dist="20" width2="20" rgb="DDDDDD"/>
            <pm:line position="bottom" type="1" style="0" width="20" dist="20" width2="20" rgb="000000"/>
            <pm:line position="left" type="1" style="0" width="20" dist="20" width2="20" rgb="DDDDDD"/>
            <pm:line position="right" type="1" style="0" width="20" dist="20" width2="20" rgb="DDDDDD"/>
          </pm:border>
        </ext>
      </extLst>
    </border>
    <border>
      <left style="thin">
        <color rgb="FFDDDDDD"/>
      </left>
      <right style="thin">
        <color rgb="FF000000"/>
      </right>
      <top style="thin">
        <color rgb="FFDDDDDD"/>
      </top>
      <bottom style="thin">
        <color rgb="FF000000"/>
      </bottom>
      <extLst>
        <ext uri="smNativeData">
          <pm:border xmlns:pm="smNativeData" id="1714042646">
            <pm:line position="top" type="1" style="0" width="20" dist="20" width2="20" rgb="DDDDDD"/>
            <pm:line position="bottom" type="1" style="0" width="20" dist="20" width2="20" rgb="000000"/>
            <pm:line position="left" type="1" style="0" width="20" dist="20" width2="20" rgb="DDDDDD"/>
            <pm:line position="right" type="1" style="0" width="20" dist="20" width2="20" rgb="000000"/>
          </pm:border>
        </ext>
      </extLst>
    </border>
    <border>
      <left style="thin">
        <color rgb="FFC0C0C0"/>
      </left>
      <right style="thin">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C0C0C0"/>
            <pm:line position="right" type="1" style="0" width="20" dist="20" width2="20" rgb="000000"/>
          </pm:border>
        </ext>
      </extLst>
    </border>
    <border>
      <left style="none">
        <color rgb="FF000000"/>
      </left>
      <right style="thin">
        <color rgb="FFC0C0C0"/>
      </right>
      <top style="none">
        <color rgb="FF000000"/>
      </top>
      <bottom style="thin">
        <color rgb="FFBFBFBF"/>
      </bottom>
      <extLst>
        <ext uri="smNativeData">
          <pm:border xmlns:pm="smNativeData" id="1714042646">
            <pm:line position="bottom" type="1" style="0" width="20" dist="20" width2="20" rgb="BFBFBF"/>
            <pm:line position="right" type="1" style="0" width="20" dist="20" width2="20" rgb="C0C0C0"/>
          </pm:border>
        </ext>
      </extLst>
    </border>
    <border>
      <left style="thin">
        <color rgb="FFC0C0C0"/>
      </left>
      <right style="thin">
        <color rgb="FFC0C0C0"/>
      </right>
      <top style="thin">
        <color rgb="FFC0C0C0"/>
      </top>
      <bottom style="thin">
        <color rgb="FFBFBFBF"/>
      </bottom>
      <extLst>
        <ext uri="smNativeData">
          <pm:border xmlns:pm="smNativeData" id="1714042646">
            <pm:line position="top" type="1" style="0" width="20" dist="20" width2="20" rgb="C0C0C0"/>
            <pm:line position="bottom" type="1" style="0" width="20" dist="20" width2="20" rgb="BFBFBF"/>
            <pm:line position="left" type="1" style="0" width="20" dist="20" width2="20" rgb="C0C0C0"/>
            <pm:line position="right" type="1" style="0" width="20" dist="20" width2="20" rgb="C0C0C0"/>
          </pm:border>
        </ext>
      </extLst>
    </border>
    <border>
      <left style="thin">
        <color rgb="FFC0C0C0"/>
      </left>
      <right style="thin">
        <color rgb="FFC0C0C0"/>
      </right>
      <top style="none">
        <color rgb="FF000000"/>
      </top>
      <bottom style="thin">
        <color rgb="FFBFBFBF"/>
      </bottom>
      <extLst>
        <ext uri="smNativeData">
          <pm:border xmlns:pm="smNativeData" id="1714042646">
            <pm:line position="bottom" type="1" style="0" width="20" dist="20" width2="20" rgb="BFBFBF"/>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C0C0C0"/>
            <pm:line position="right" type="1" style="0" width="20" dist="20" width2="20" rgb="000000"/>
          </pm:border>
        </ext>
      </extLst>
    </border>
    <border>
      <left style="none">
        <color rgb="FF000000"/>
      </left>
      <right style="thin">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right" type="1" style="0" width="20" dist="20" width2="20" rgb="000000"/>
          </pm:border>
        </ext>
      </extLst>
    </border>
    <border>
      <left style="thin">
        <color rgb="FFC0C0C0"/>
      </left>
      <right style="thin">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none">
        <color rgb="FF000000"/>
      </bottom>
      <extLst>
        <ext uri="smNativeData">
          <pm:border xmlns:pm="smNativeData" id="1714042646">
            <pm:line position="top"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none">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border>
        </ext>
      </extLst>
    </border>
    <border>
      <left style="none">
        <color rgb="FF000000"/>
      </left>
      <right style="thin">
        <color rgb="FF000000"/>
      </right>
      <top style="none">
        <color rgb="FF000000"/>
      </top>
      <bottom style="thin">
        <color rgb="FFC0C0C0"/>
      </bottom>
      <extLst>
        <ext uri="smNativeData">
          <pm:border xmlns:pm="smNativeData" id="1714042646">
            <pm:line position="bottom" type="1" style="0" width="20" dist="20" width2="20" rgb="C0C0C0"/>
            <pm:line position="right" type="1" style="0" width="20" dist="20" width2="20" rgb="000000"/>
          </pm:border>
        </ext>
      </extLst>
    </border>
    <border>
      <left style="none">
        <color rgb="FF000000"/>
      </left>
      <right style="thin">
        <color rgb="FFC0C0C0"/>
      </right>
      <top style="none">
        <color rgb="FF000000"/>
      </top>
      <bottom style="thin">
        <color rgb="FFC0C0C0"/>
      </bottom>
      <extLst>
        <ext uri="smNativeData">
          <pm:border xmlns:pm="smNativeData" id="1714042646">
            <pm:line position="bottom" type="1" style="0" width="20" dist="20" width2="20" rgb="C0C0C0"/>
            <pm:line position="right" type="1" style="0" width="20" dist="20" width2="20" rgb="C0C0C0"/>
          </pm:border>
        </ext>
      </extLst>
    </border>
    <border>
      <left style="none">
        <color rgb="FF000000"/>
      </left>
      <right style="thin">
        <color rgb="FFC0C0C0"/>
      </right>
      <top style="none">
        <color rgb="FF000000"/>
      </top>
      <bottom style="thin">
        <color rgb="FFC0C0C0"/>
      </bottom>
      <extLst>
        <ext uri="smNativeData">
          <pm:border xmlns:pm="smNativeData" id="1714042646">
            <pm:line position="bottom" type="1" style="0" width="20" dist="20" width2="20" rgb="C0C0C0"/>
            <pm:line position="right" type="1" style="0" width="20" dist="20" width2="20" rgb="C0C0C0"/>
          </pm:border>
        </ext>
      </extLst>
    </border>
    <border>
      <left style="thin">
        <color rgb="FFC0C0C0"/>
      </left>
      <right style="thin">
        <color rgb="FF00000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line position="right" type="1" style="0" width="20" dist="20" width2="20" rgb="000000"/>
          </pm:border>
        </ext>
      </extLst>
    </border>
    <border>
      <left style="thin">
        <color rgb="FF000000"/>
      </left>
      <right style="thin">
        <color rgb="FFC0C0C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none">
        <color rgb="FF000000"/>
      </left>
      <right style="none">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border>
        </ext>
      </extLst>
    </border>
    <border>
      <left style="medium">
        <color rgb="FF000000"/>
      </left>
      <right style="none">
        <color rgb="FF000000"/>
      </right>
      <top style="medium">
        <color rgb="FF000000"/>
      </top>
      <bottom style="none">
        <color rgb="FF000000"/>
      </bottom>
      <extLst>
        <ext uri="smNativeData">
          <pm:border xmlns:pm="smNativeData" id="1714042646">
            <pm:line position="top" type="1" style="0" width="30" dist="20" width2="20" rgb="000000"/>
            <pm:line position="left" type="1" style="0" width="30" dist="20" width2="20" rgb="000000"/>
          </pm:border>
        </ext>
      </extLst>
    </border>
    <border>
      <left style="none">
        <color rgb="FF000000"/>
      </left>
      <right style="none">
        <color rgb="FF000000"/>
      </right>
      <top style="medium">
        <color rgb="FF000000"/>
      </top>
      <bottom style="none">
        <color rgb="FF000000"/>
      </bottom>
      <extLst>
        <ext uri="smNativeData">
          <pm:border xmlns:pm="smNativeData" id="1714042646">
            <pm:line position="top" type="1" style="0" width="30" dist="20" width2="20" rgb="000000"/>
          </pm:border>
        </ext>
      </extLst>
    </border>
    <border>
      <left style="none">
        <color rgb="FF000000"/>
      </left>
      <right style="medium">
        <color rgb="FF000000"/>
      </right>
      <top style="medium">
        <color rgb="FF000000"/>
      </top>
      <bottom style="none">
        <color rgb="FF000000"/>
      </bottom>
      <extLst>
        <ext uri="smNativeData">
          <pm:border xmlns:pm="smNativeData" id="1714042646">
            <pm:line position="top" type="1" style="0" width="30" dist="20" width2="20" rgb="000000"/>
            <pm:line position="right" type="1" style="0" width="30" dist="20" width2="20" rgb="000000"/>
          </pm:border>
        </ext>
      </extLst>
    </border>
    <border>
      <left style="medium">
        <color rgb="FF000000"/>
      </left>
      <right style="none">
        <color rgb="FF000000"/>
      </right>
      <top style="none">
        <color rgb="FF000000"/>
      </top>
      <bottom style="none">
        <color rgb="FF000000"/>
      </bottom>
      <extLst>
        <ext uri="smNativeData">
          <pm:border xmlns:pm="smNativeData" id="1714042646">
            <pm:line position="left" type="1" style="0" width="30" dist="20" width2="20" rgb="000000"/>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none">
        <color rgb="FF000000"/>
      </left>
      <right style="medium">
        <color rgb="FF000000"/>
      </right>
      <top style="none">
        <color rgb="FF000000"/>
      </top>
      <bottom style="none">
        <color rgb="FF000000"/>
      </bottom>
      <extLst>
        <ext uri="smNativeData">
          <pm:border xmlns:pm="smNativeData" id="1714042646">
            <pm:line position="right" type="1" style="0" width="30" dist="20" width2="20" rgb="000000"/>
          </pm:border>
        </ext>
      </extLst>
    </border>
    <border>
      <left style="medium">
        <color rgb="FF000000"/>
      </left>
      <right style="none">
        <color rgb="FF000000"/>
      </right>
      <top style="none">
        <color rgb="FF000000"/>
      </top>
      <bottom style="medium">
        <color rgb="FF000000"/>
      </bottom>
      <extLst>
        <ext uri="smNativeData">
          <pm:border xmlns:pm="smNativeData" id="1714042646">
            <pm:line position="bottom" type="1" style="0" width="30" dist="20" width2="20" rgb="000000"/>
            <pm:line position="left" type="1" style="0" width="30" dist="20" width2="20" rgb="000000"/>
          </pm:border>
        </ext>
      </extLst>
    </border>
    <border>
      <left style="none">
        <color rgb="FF000000"/>
      </left>
      <right style="none">
        <color rgb="FF000000"/>
      </right>
      <top style="none">
        <color rgb="FF000000"/>
      </top>
      <bottom style="medium">
        <color rgb="FF000000"/>
      </bottom>
      <extLst>
        <ext uri="smNativeData">
          <pm:border xmlns:pm="smNativeData" id="1714042646">
            <pm:line position="bottom" type="1" style="0" width="30" dist="20" width2="20" rgb="000000"/>
          </pm:border>
        </ext>
      </extLst>
    </border>
    <border>
      <left style="none">
        <color rgb="FF000000"/>
      </left>
      <right style="medium">
        <color rgb="FF000000"/>
      </right>
      <top style="none">
        <color rgb="FF000000"/>
      </top>
      <bottom style="medium">
        <color rgb="FF000000"/>
      </bottom>
      <extLst>
        <ext uri="smNativeData">
          <pm:border xmlns:pm="smNativeData" id="1714042646">
            <pm:line position="bottom" type="1" style="0" width="30" dist="20" width2="20" rgb="000000"/>
            <pm:line position="right" type="1" style="0" width="30" dist="20" width2="20" rgb="000000"/>
          </pm:border>
        </ext>
      </extLst>
    </border>
    <border>
      <left style="thin">
        <color rgb="FFC0C0C0"/>
      </left>
      <right style="none">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C0C0C0"/>
          </pm:border>
        </ext>
      </extLst>
    </border>
    <border>
      <left style="thin">
        <color rgb="FFC0C0C0"/>
      </left>
      <right style="none">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C0C0C0"/>
          </pm:border>
        </ext>
      </extLst>
    </border>
    <border>
      <left style="none">
        <color rgb="FF00000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right" type="1" style="0" width="20" dist="20" width2="20" rgb="C0C0C0"/>
          </pm:border>
        </ext>
      </extLst>
    </border>
    <border>
      <left style="none">
        <color rgb="FF000000"/>
      </left>
      <right style="none">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border>
        </ext>
      </extLst>
    </border>
    <border>
      <left style="none">
        <color rgb="FF000000"/>
      </left>
      <right style="none">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border>
        </ext>
      </extLst>
    </border>
    <border>
      <left style="thin">
        <color rgb="FFC0C0C0"/>
      </left>
      <right style="none">
        <color rgb="FF00000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border>
        </ext>
      </extLst>
    </border>
    <border>
      <left style="none">
        <color rgb="FF000000"/>
      </left>
      <right style="none">
        <color rgb="FF000000"/>
      </right>
      <top style="none">
        <color rgb="FF000000"/>
      </top>
      <bottom style="thin">
        <color rgb="FFC0C0C0"/>
      </bottom>
      <extLst>
        <ext uri="smNativeData">
          <pm:border xmlns:pm="smNativeData" id="1714042646">
            <pm:line position="bottom" type="1" style="0" width="20" dist="20" width2="20" rgb="C0C0C0"/>
          </pm:border>
        </ext>
      </extLst>
    </border>
    <border>
      <left style="thin">
        <color rgb="FFC0C0C0"/>
      </left>
      <right style="none">
        <color rgb="FF000000"/>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C0C0C0"/>
          </pm:border>
        </ext>
      </extLst>
    </border>
    <border>
      <left style="none">
        <color rgb="FF000000"/>
      </left>
      <right style="none">
        <color rgb="FF000000"/>
      </right>
      <top style="thin">
        <color rgb="FF000000"/>
      </top>
      <bottom style="none">
        <color rgb="FF000000"/>
      </bottom>
      <extLst>
        <ext uri="smNativeData">
          <pm:border xmlns:pm="smNativeData" id="1714042646">
            <pm:line position="top" type="1" style="0" width="20" dist="20" width2="20" rgb="000000"/>
          </pm:border>
        </ext>
      </extLst>
    </border>
    <border>
      <left style="none">
        <color rgb="FF000000"/>
      </left>
      <right style="thin">
        <color rgb="FFC0C0C0"/>
      </right>
      <top style="thin">
        <color rgb="FF000000"/>
      </top>
      <bottom style="none">
        <color rgb="FF000000"/>
      </bottom>
      <extLst>
        <ext uri="smNativeData">
          <pm:border xmlns:pm="smNativeData" id="1714042646">
            <pm:line position="top" type="1" style="0" width="20" dist="20" width2="20" rgb="000000"/>
            <pm:line position="right" type="1" style="0" width="20" dist="20" width2="20" rgb="C0C0C0"/>
          </pm:border>
        </ext>
      </extLst>
    </border>
    <border>
      <left style="thin">
        <color rgb="FFC0C0C0"/>
      </left>
      <right style="none">
        <color rgb="FF00000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border>
        </ext>
      </extLst>
    </border>
    <border>
      <left style="none">
        <color rgb="FF000000"/>
      </left>
      <right style="none">
        <color rgb="FF000000"/>
      </right>
      <top style="none">
        <color rgb="FF000000"/>
      </top>
      <bottom style="thin">
        <color rgb="FFC0C0C0"/>
      </bottom>
      <extLst>
        <ext uri="smNativeData">
          <pm:border xmlns:pm="smNativeData" id="1714042646">
            <pm:line position="bottom" type="1" style="0" width="20" dist="20" width2="20" rgb="C0C0C0"/>
          </pm:border>
        </ext>
      </extLst>
    </border>
    <border>
      <left style="none">
        <color rgb="FF000000"/>
      </left>
      <right style="thin">
        <color rgb="FFC0C0C0"/>
      </right>
      <top style="none">
        <color rgb="FF000000"/>
      </top>
      <bottom style="thin">
        <color rgb="FFC0C0C0"/>
      </bottom>
      <extLst>
        <ext uri="smNativeData">
          <pm:border xmlns:pm="smNativeData" id="1714042646">
            <pm:line position="bottom" type="1" style="0" width="20" dist="20" width2="20" rgb="C0C0C0"/>
            <pm:line position="right" type="1" style="0" width="20" dist="20" width2="20" rgb="C0C0C0"/>
          </pm:border>
        </ext>
      </extLst>
    </border>
    <border>
      <left style="none">
        <color rgb="FF000000"/>
      </left>
      <right style="none">
        <color rgb="FF000000"/>
      </right>
      <top style="thin">
        <color rgb="FFC0C0C0"/>
      </top>
      <bottom style="none">
        <color rgb="FF000000"/>
      </bottom>
      <extLst>
        <ext uri="smNativeData">
          <pm:border xmlns:pm="smNativeData" id="1714042646">
            <pm:line position="top" type="1" style="0" width="20" dist="20" width2="20" rgb="C0C0C0"/>
          </pm:border>
        </ext>
      </extLst>
    </border>
    <border>
      <left style="thin">
        <color rgb="FFC0C0C0"/>
      </left>
      <right style="thin">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00000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line position="right" type="1" style="0" width="20" dist="20" width2="20" rgb="000000"/>
          </pm:border>
        </ext>
      </extLst>
    </border>
    <border>
      <left style="thin">
        <color rgb="FF000000"/>
      </left>
      <right style="thin">
        <color rgb="FFC0C0C0"/>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000000"/>
            <pm:line position="right" type="1" style="0" width="20" dist="20" width2="20" rgb="C0C0C0"/>
          </pm:border>
        </ext>
      </extLst>
    </border>
    <border>
      <left style="thin">
        <color rgb="FF000000"/>
      </left>
      <right style="thin">
        <color rgb="FFC0C0C0"/>
      </right>
      <top style="none">
        <color rgb="FF000000"/>
      </top>
      <bottom style="none">
        <color rgb="FF000000"/>
      </bottom>
      <extLst>
        <ext uri="smNativeData">
          <pm:border xmlns:pm="smNativeData" id="1714042646">
            <pm:line position="left" type="1" style="0" width="20" dist="20" width2="20" rgb="000000"/>
            <pm:line position="right" type="1" style="0" width="20" dist="20" width2="20" rgb="C0C0C0"/>
          </pm:border>
        </ext>
      </extLst>
    </border>
    <border>
      <left style="thin">
        <color rgb="FFC0C0C0"/>
      </left>
      <right style="thin">
        <color rgb="FFC0C0C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C0C0C0"/>
            <pm:line position="right" type="1" style="0" width="20" dist="20" width2="20" rgb="C0C0C0"/>
          </pm:border>
        </ext>
      </extLst>
    </border>
    <border>
      <left style="thin">
        <color rgb="FFC0C0C0"/>
      </left>
      <right style="thin">
        <color rgb="FFC0C0C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C0C0C0"/>
            <pm:line position="right" type="1" style="0" width="20" dist="20" width2="20" rgb="C0C0C0"/>
          </pm:border>
        </ext>
      </extLst>
    </border>
    <border>
      <left style="none">
        <color rgb="FF000000"/>
      </left>
      <right style="none">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border>
        </ext>
      </extLst>
    </border>
    <border>
      <left style="thin">
        <color rgb="FFC0C0C0"/>
      </left>
      <right style="thin">
        <color rgb="FF000000"/>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C0C0C0"/>
            <pm:line position="right" type="1" style="0" width="20" dist="20" width2="20" rgb="000000"/>
          </pm:border>
        </ext>
      </extLst>
    </border>
    <border>
      <left style="thin">
        <color rgb="FF000000"/>
      </left>
      <right style="thin">
        <color rgb="FFDDDDDD"/>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000000"/>
            <pm:line position="right" type="1" style="0" width="20" dist="20" width2="20" rgb="DDDDDD"/>
          </pm:border>
        </ext>
      </extLst>
    </border>
    <border>
      <left style="thin">
        <color rgb="FF000000"/>
      </left>
      <right style="thin">
        <color rgb="FFDDDDDD"/>
      </right>
      <top style="none">
        <color rgb="FF000000"/>
      </top>
      <bottom style="thin">
        <color rgb="FFDDDDDD"/>
      </bottom>
      <extLst>
        <ext uri="smNativeData">
          <pm:border xmlns:pm="smNativeData" id="1714042646">
            <pm:line position="bottom" type="1" style="0" width="20" dist="20" width2="20" rgb="DDDDDD"/>
            <pm:line position="left" type="1" style="0" width="20" dist="20" width2="20" rgb="000000"/>
            <pm:line position="right" type="1" style="0" width="20" dist="20" width2="20" rgb="DDDDDD"/>
          </pm:border>
        </ext>
      </extLst>
    </border>
    <border>
      <left style="thin">
        <color rgb="FFDDDDDD"/>
      </left>
      <right style="none">
        <color rgb="FF000000"/>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DDDDDD"/>
          </pm:border>
        </ext>
      </extLst>
    </border>
    <border>
      <left style="none">
        <color rgb="FF000000"/>
      </left>
      <right style="thin">
        <color rgb="FFDDDDDD"/>
      </right>
      <top style="thin">
        <color rgb="FF000000"/>
      </top>
      <bottom style="none">
        <color rgb="FF000000"/>
      </bottom>
      <extLst>
        <ext uri="smNativeData">
          <pm:border xmlns:pm="smNativeData" id="1714042646">
            <pm:line position="top" type="1" style="0" width="20" dist="20" width2="20" rgb="000000"/>
            <pm:line position="right" type="1" style="0" width="20" dist="20" width2="20" rgb="DDDDDD"/>
          </pm:border>
        </ext>
      </extLst>
    </border>
    <border>
      <left style="thin">
        <color rgb="FFDDDDDD"/>
      </left>
      <right style="none">
        <color rgb="FF000000"/>
      </right>
      <top style="none">
        <color rgb="FF000000"/>
      </top>
      <bottom style="thin">
        <color rgb="FFDDDDDD"/>
      </bottom>
      <extLst>
        <ext uri="smNativeData">
          <pm:border xmlns:pm="smNativeData" id="1714042646">
            <pm:line position="bottom" type="1" style="0" width="20" dist="20" width2="20" rgb="DDDDDD"/>
            <pm:line position="left" type="1" style="0" width="20" dist="20" width2="20" rgb="DDDDDD"/>
          </pm:border>
        </ext>
      </extLst>
    </border>
    <border>
      <left style="none">
        <color rgb="FF000000"/>
      </left>
      <right style="none">
        <color rgb="FF000000"/>
      </right>
      <top style="none">
        <color rgb="FF000000"/>
      </top>
      <bottom style="thin">
        <color rgb="FFDDDDDD"/>
      </bottom>
      <extLst>
        <ext uri="smNativeData">
          <pm:border xmlns:pm="smNativeData" id="1714042646">
            <pm:line position="bottom" type="1" style="0" width="20" dist="20" width2="20" rgb="DDDDDD"/>
          </pm:border>
        </ext>
      </extLst>
    </border>
    <border>
      <left style="none">
        <color rgb="FF000000"/>
      </left>
      <right style="thin">
        <color rgb="FFDDDDDD"/>
      </right>
      <top style="none">
        <color rgb="FF000000"/>
      </top>
      <bottom style="thin">
        <color rgb="FFDDDDDD"/>
      </bottom>
      <extLst>
        <ext uri="smNativeData">
          <pm:border xmlns:pm="smNativeData" id="1714042646">
            <pm:line position="bottom" type="1" style="0" width="20" dist="20" width2="20" rgb="DDDDDD"/>
            <pm:line position="right" type="1" style="0" width="20" dist="20" width2="20" rgb="DDDDDD"/>
          </pm:border>
        </ext>
      </extLst>
    </border>
    <border>
      <left style="thin">
        <color rgb="FFDDDDDD"/>
      </left>
      <right style="none">
        <color rgb="FF000000"/>
      </right>
      <top style="thin">
        <color rgb="FFDDDDDD"/>
      </top>
      <bottom style="thin">
        <color rgb="FF000000"/>
      </bottom>
      <extLst>
        <ext uri="smNativeData">
          <pm:border xmlns:pm="smNativeData" id="1714042646">
            <pm:line position="top" type="1" style="0" width="20" dist="20" width2="20" rgb="DDDDDD"/>
            <pm:line position="bottom" type="1" style="0" width="20" dist="20" width2="20" rgb="000000"/>
            <pm:line position="left" type="1" style="0" width="20" dist="20" width2="20" rgb="DDDDDD"/>
          </pm:border>
        </ext>
      </extLst>
    </border>
    <border>
      <left style="none">
        <color rgb="FF000000"/>
      </left>
      <right style="none">
        <color rgb="FF000000"/>
      </right>
      <top style="thin">
        <color rgb="FFDDDDDD"/>
      </top>
      <bottom style="thin">
        <color rgb="FF000000"/>
      </bottom>
      <extLst>
        <ext uri="smNativeData">
          <pm:border xmlns:pm="smNativeData" id="1714042646">
            <pm:line position="top" type="1" style="0" width="20" dist="20" width2="20" rgb="DDDDDD"/>
            <pm:line position="bottom" type="1" style="0" width="20" dist="20" width2="20" rgb="000000"/>
          </pm:border>
        </ext>
      </extLst>
    </border>
    <border>
      <left style="none">
        <color rgb="FF000000"/>
      </left>
      <right style="thin">
        <color rgb="FFDDDDDD"/>
      </right>
      <top style="thin">
        <color rgb="FFDDDDDD"/>
      </top>
      <bottom style="thin">
        <color rgb="FF000000"/>
      </bottom>
      <extLst>
        <ext uri="smNativeData">
          <pm:border xmlns:pm="smNativeData" id="1714042646">
            <pm:line position="top" type="1" style="0" width="20" dist="20" width2="20" rgb="DDDDDD"/>
            <pm:line position="bottom" type="1" style="0" width="20" dist="20" width2="20" rgb="000000"/>
            <pm:line position="right" type="1" style="0" width="20" dist="20" width2="20" rgb="DDDDDD"/>
          </pm:border>
        </ext>
      </extLst>
    </border>
    <border>
      <left style="thin">
        <color rgb="FFC0C0C0"/>
      </left>
      <right style="none">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border>
        </ext>
      </extLst>
    </border>
    <border>
      <left style="none">
        <color rgb="FF000000"/>
      </left>
      <right style="none">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border>
        </ext>
      </extLst>
    </border>
    <border>
      <left style="none">
        <color rgb="FF000000"/>
      </left>
      <right style="thin">
        <color rgb="FFC0C0C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right" type="1" style="0" width="20" dist="20" width2="20" rgb="C0C0C0"/>
          </pm:border>
        </ext>
      </extLst>
    </border>
    <border>
      <left style="none">
        <color rgb="FF000000"/>
      </left>
      <right style="none">
        <color rgb="FF000000"/>
      </right>
      <top style="thin">
        <color rgb="FF000000"/>
      </top>
      <bottom style="thin">
        <color rgb="FF000000"/>
      </bottom>
      <extLst>
        <ext uri="smNativeData">
          <pm:border xmlns:pm="smNativeData" id="1714042646">
            <pm:line position="top" type="1" style="0" width="20" dist="20" width2="20" rgb="000000"/>
            <pm:line position="bottom" type="1" style="0" width="20" dist="20" width2="20" rgb="000000"/>
          </pm:border>
        </ext>
      </extLst>
    </border>
    <border>
      <left style="thin">
        <color rgb="FFDDDDDD"/>
      </left>
      <right style="thin">
        <color rgb="FFDDDDDD"/>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DDDDDD"/>
            <pm:line position="right" type="1" style="0" width="20" dist="20" width2="20" rgb="DDDDDD"/>
          </pm:border>
        </ext>
      </extLst>
    </border>
    <border>
      <left style="thin">
        <color rgb="FFDDDDDD"/>
      </left>
      <right style="thin">
        <color rgb="FFDDDDDD"/>
      </right>
      <top style="none">
        <color rgb="FF000000"/>
      </top>
      <bottom style="thin">
        <color rgb="FFDDDDDD"/>
      </bottom>
      <extLst>
        <ext uri="smNativeData">
          <pm:border xmlns:pm="smNativeData" id="1714042646">
            <pm:line position="bottom" type="1" style="0" width="20" dist="20" width2="20" rgb="DDDDDD"/>
            <pm:line position="left" type="1" style="0" width="20" dist="20" width2="20" rgb="DDDDDD"/>
            <pm:line position="right" type="1" style="0" width="20" dist="20" width2="20" rgb="DDDDDD"/>
          </pm:border>
        </ext>
      </extLst>
    </border>
    <border>
      <left style="thin">
        <color rgb="FFC0C0C0"/>
      </left>
      <right style="none">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C0C0C0"/>
          </pm:border>
        </ext>
      </extLst>
    </border>
    <border>
      <left style="none">
        <color rgb="FF000000"/>
      </left>
      <right style="none">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border>
        </ext>
      </extLst>
    </border>
    <border>
      <left style="none">
        <color rgb="FF00000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right" type="1" style="0" width="20" dist="20" width2="20" rgb="C0C0C0"/>
          </pm:border>
        </ext>
      </extLst>
    </border>
    <border>
      <left style="thin">
        <color rgb="FFDDDDDD"/>
      </left>
      <right style="none">
        <color rgb="FF000000"/>
      </right>
      <top style="thin">
        <color rgb="FF000000"/>
      </top>
      <bottom style="thin">
        <color rgb="FFDDDDDD"/>
      </bottom>
      <extLst>
        <ext uri="smNativeData">
          <pm:border xmlns:pm="smNativeData" id="1714042646">
            <pm:line position="top" type="1" style="0" width="20" dist="20" width2="20" rgb="000000"/>
            <pm:line position="bottom" type="1" style="0" width="20" dist="20" width2="20" rgb="DDDDDD"/>
            <pm:line position="left" type="1" style="0" width="20" dist="20" width2="20" rgb="DDDDDD"/>
          </pm:border>
        </ext>
      </extLst>
    </border>
    <border>
      <left style="none">
        <color rgb="FF000000"/>
      </left>
      <right style="thin">
        <color rgb="FF000000"/>
      </right>
      <top style="thin">
        <color rgb="FF000000"/>
      </top>
      <bottom style="thin">
        <color rgb="FFDDDDDD"/>
      </bottom>
      <extLst>
        <ext uri="smNativeData">
          <pm:border xmlns:pm="smNativeData" id="1714042646">
            <pm:line position="top" type="1" style="0" width="20" dist="20" width2="20" rgb="000000"/>
            <pm:line position="bottom" type="1" style="0" width="20" dist="20" width2="20" rgb="DDDDDD"/>
            <pm:line position="right" type="1" style="0" width="20" dist="20" width2="20" rgb="000000"/>
          </pm:border>
        </ext>
      </extLst>
    </border>
    <border>
      <left style="thin">
        <color rgb="FFDDDDDD"/>
      </left>
      <right style="thin">
        <color rgb="FFDDDDDD"/>
      </right>
      <top style="thin">
        <color rgb="FF000000"/>
      </top>
      <bottom style="thin">
        <color rgb="FFDDDDDD"/>
      </bottom>
      <extLst>
        <ext uri="smNativeData">
          <pm:border xmlns:pm="smNativeData" id="1714042646">
            <pm:line position="top" type="1" style="0" width="20" dist="20" width2="20" rgb="000000"/>
            <pm:line position="bottom" type="1" style="0" width="20" dist="20" width2="20" rgb="DDDDDD"/>
            <pm:line position="left" type="1" style="0" width="20" dist="20" width2="20" rgb="DDDDDD"/>
            <pm:line position="right" type="1" style="0" width="20" dist="20" width2="20" rgb="DDDDDD"/>
          </pm:border>
        </ext>
      </extLst>
    </border>
    <border>
      <left style="none">
        <color rgb="FF000000"/>
      </left>
      <right style="thin">
        <color rgb="FFDDDDDD"/>
      </right>
      <top style="thin">
        <color rgb="FF000000"/>
      </top>
      <bottom style="thin">
        <color rgb="FFDDDDDD"/>
      </bottom>
      <extLst>
        <ext uri="smNativeData">
          <pm:border xmlns:pm="smNativeData" id="1714042646">
            <pm:line position="top" type="1" style="0" width="20" dist="20" width2="20" rgb="000000"/>
            <pm:line position="bottom" type="1" style="0" width="20" dist="20" width2="20" rgb="DDDDDD"/>
            <pm:line position="right" type="1" style="0" width="20" dist="20" width2="20" rgb="DDDDDD"/>
          </pm:border>
        </ext>
      </extLst>
    </border>
    <border>
      <left style="thin">
        <color rgb="FF000000"/>
      </left>
      <right style="thin">
        <color rgb="FFDDDDDD"/>
      </right>
      <top style="thin">
        <color rgb="FF000000"/>
      </top>
      <bottom style="thin">
        <color rgb="FFDDDDDD"/>
      </bottom>
      <extLst>
        <ext uri="smNativeData">
          <pm:border xmlns:pm="smNativeData" id="1714042646">
            <pm:line position="top" type="1" style="0" width="20" dist="20" width2="20" rgb="000000"/>
            <pm:line position="bottom" type="1" style="0" width="20" dist="20" width2="20" rgb="DDDDDD"/>
            <pm:line position="left" type="1" style="0" width="20" dist="20" width2="20" rgb="000000"/>
            <pm:line position="right" type="1" style="0" width="20" dist="20" width2="20" rgb="DDDDDD"/>
          </pm:border>
        </ext>
      </extLst>
    </border>
    <border>
      <left style="thin">
        <color rgb="FF000000"/>
      </left>
      <right style="thin">
        <color rgb="FFDDDDDD"/>
      </right>
      <top style="thin">
        <color rgb="FFDDDDDD"/>
      </top>
      <bottom style="thin">
        <color rgb="FFDDDDDD"/>
      </bottom>
      <extLst>
        <ext uri="smNativeData">
          <pm:border xmlns:pm="smNativeData" id="1714042646">
            <pm:line position="top" type="1" style="0" width="20" dist="20" width2="20" rgb="DDDDDD"/>
            <pm:line position="bottom" type="1" style="0" width="20" dist="20" width2="20" rgb="DDDDDD"/>
            <pm:line position="left" type="1" style="0" width="20" dist="20" width2="20" rgb="000000"/>
            <pm:line position="right" type="1" style="0" width="20" dist="20" width2="20" rgb="DDDDDD"/>
          </pm:border>
        </ext>
      </extLst>
    </border>
    <border>
      <left style="thin">
        <color rgb="FFDDDDDD"/>
      </left>
      <right style="thin">
        <color rgb="FF000000"/>
      </right>
      <top style="thin">
        <color rgb="FF000000"/>
      </top>
      <bottom style="thin">
        <color rgb="FFDDDDDD"/>
      </bottom>
      <extLst>
        <ext uri="smNativeData">
          <pm:border xmlns:pm="smNativeData" id="1714042646">
            <pm:line position="top" type="1" style="0" width="20" dist="20" width2="20" rgb="000000"/>
            <pm:line position="bottom" type="1" style="0" width="20" dist="20" width2="20" rgb="DDDDDD"/>
            <pm:line position="left" type="1" style="0" width="20" dist="20" width2="20" rgb="DDDDDD"/>
            <pm:line position="right" type="1" style="0" width="20" dist="20" width2="20" rgb="000000"/>
          </pm:border>
        </ext>
      </extLst>
    </border>
    <border>
      <left style="thin">
        <color rgb="FF000000"/>
      </left>
      <right style="none">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000000"/>
          </pm:border>
        </ext>
      </extLst>
    </border>
    <border>
      <left style="thin">
        <color rgb="FF000000"/>
      </left>
      <right style="none">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border>
        </ext>
      </extLst>
    </border>
    <border>
      <left style="thin">
        <color rgb="FF000000"/>
      </left>
      <right style="none">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000000"/>
          </pm:border>
        </ext>
      </extLst>
    </border>
    <border>
      <left style="thin">
        <color rgb="FF000000"/>
      </left>
      <right style="none">
        <color rgb="FF000000"/>
      </right>
      <top style="thin">
        <color rgb="FFC0C0C0"/>
      </top>
      <bottom style="thin">
        <color rgb="FFC0C0C0"/>
      </bottom>
      <extLst>
        <ext uri="smNativeData">
          <pm:border xmlns:pm="smNativeData" id="1714042646">
            <pm:line position="top" type="1" style="0" width="20" dist="20" width2="20" rgb="C0C0C0"/>
            <pm:line position="bottom" type="1" style="0" width="20" dist="20" width2="20" rgb="C0C0C0"/>
            <pm:line position="left" type="1" style="0" width="20" dist="20" width2="20" rgb="000000"/>
          </pm:border>
        </ext>
      </extLst>
    </border>
    <border>
      <left style="thin">
        <color rgb="FF000000"/>
      </left>
      <right style="none">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left" type="1" style="0" width="20" dist="20" width2="20" rgb="000000"/>
          </pm:border>
        </ext>
      </extLst>
    </border>
    <border>
      <left style="none">
        <color rgb="FF000000"/>
      </left>
      <right style="none">
        <color rgb="FF00000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border>
        </ext>
      </extLst>
    </border>
    <border>
      <left style="none">
        <color rgb="FF000000"/>
      </left>
      <right style="thin">
        <color rgb="FFC0C0C0"/>
      </right>
      <top style="thin">
        <color rgb="FFC0C0C0"/>
      </top>
      <bottom style="thin">
        <color rgb="FF000000"/>
      </bottom>
      <extLst>
        <ext uri="smNativeData">
          <pm:border xmlns:pm="smNativeData" id="1714042646">
            <pm:line position="top" type="1" style="0" width="20" dist="20" width2="20" rgb="C0C0C0"/>
            <pm:line position="bottom" type="1" style="0" width="20" dist="20" width2="20" rgb="000000"/>
            <pm:line position="right" type="1" style="0" width="20" dist="20" width2="20" rgb="C0C0C0"/>
          </pm:border>
        </ext>
      </extLst>
    </border>
    <border>
      <left style="thin">
        <color rgb="FFC0C0C0"/>
      </left>
      <right style="none">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left" type="1" style="0" width="20" dist="20" width2="20" rgb="C0C0C0"/>
          </pm:border>
        </ext>
      </extLst>
    </border>
    <border>
      <left style="none">
        <color rgb="FF000000"/>
      </left>
      <right style="none">
        <color rgb="FF00000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border>
        </ext>
      </extLst>
    </border>
    <border>
      <left style="none">
        <color rgb="FF000000"/>
      </left>
      <right style="thin">
        <color rgb="FFC0C0C0"/>
      </right>
      <top style="thin">
        <color rgb="FF000000"/>
      </top>
      <bottom style="thin">
        <color rgb="FFC0C0C0"/>
      </bottom>
      <extLst>
        <ext uri="smNativeData">
          <pm:border xmlns:pm="smNativeData" id="1714042646">
            <pm:line position="top" type="1" style="0" width="20" dist="20" width2="20" rgb="000000"/>
            <pm:line position="bottom" type="1" style="0" width="20" dist="20" width2="20" rgb="C0C0C0"/>
            <pm:line position="right" type="1" style="0" width="20" dist="20" width2="20" rgb="C0C0C0"/>
          </pm:border>
        </ext>
      </extLst>
    </border>
    <border>
      <left style="thin">
        <color rgb="FF000000"/>
      </left>
      <right style="none">
        <color rgb="FF000000"/>
      </right>
      <top style="thin">
        <color rgb="FF000000"/>
      </top>
      <bottom style="none">
        <color rgb="FF000000"/>
      </bottom>
      <extLst>
        <ext uri="smNativeData">
          <pm:border xmlns:pm="smNativeData" id="1714042646">
            <pm:line position="top" type="1" style="0" width="20" dist="20" width2="20" rgb="000000"/>
            <pm:line position="left" type="1" style="0" width="20" dist="20" width2="20" rgb="000000"/>
          </pm:border>
        </ext>
      </extLst>
    </border>
    <border>
      <left style="thin">
        <color rgb="FF000000"/>
      </left>
      <right style="none">
        <color rgb="FF000000"/>
      </right>
      <top style="none">
        <color rgb="FF000000"/>
      </top>
      <bottom style="thin">
        <color rgb="FFC0C0C0"/>
      </bottom>
      <extLst>
        <ext uri="smNativeData">
          <pm:border xmlns:pm="smNativeData" id="1714042646">
            <pm:line position="bottom" type="1" style="0" width="20" dist="20" width2="20" rgb="C0C0C0"/>
            <pm:line position="lef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none">
        <color rgb="FF000000"/>
      </left>
      <right style="none">
        <color rgb="FF000000"/>
      </right>
      <top style="none">
        <color rgb="FF000000"/>
      </top>
      <bottom style="none">
        <color rgb="FF000000"/>
      </bottom>
      <extLst>
        <ext uri="smNativeData">
          <pm:border xmlns:pm="smNativeData" id="1714042646"/>
        </ext>
      </extLst>
    </border>
    <border>
      <left style="none">
        <color rgb="FF000000"/>
      </left>
      <right style="none">
        <color rgb="FF000000"/>
      </right>
      <top style="none">
        <color rgb="FF000000"/>
      </top>
      <bottom style="none">
        <color rgb="FF000000"/>
      </bottom>
      <extLst>
        <ext uri="smNativeData">
          <pm:border xmlns:pm="smNativeData" id="1714042646"/>
        </ext>
      </extLst>
    </border>
  </borders>
  <cellStyleXfs count="14">
    <xf numFmtId="0" fontId="0" fillId="0" borderId="0" applyNumberFormat="0" applyFont="1" applyFill="0" applyBorder="0" applyAlignment="0" applyProtection="1"/>
    <xf numFmtId="167" fontId="0" fillId="0" borderId="0" applyNumberFormat="1" applyFont="1" applyFill="0" applyBorder="0" applyAlignment="1" applyProtection="1">
      <alignment horizontal="center" vertical="center"/>
      <protection locked="1" hidden="1"/>
    </xf>
    <xf numFmtId="0" fontId="9" fillId="2" borderId="1" applyNumberFormat="0" applyFont="1" applyFill="1" applyBorder="1" applyAlignment="0" applyProtection="0"/>
    <xf numFmtId="0" fontId="10" fillId="3" borderId="2" applyNumberFormat="0" applyFont="1" applyFill="1" applyBorder="0" applyAlignment="0" applyProtection="0"/>
    <xf numFmtId="169" fontId="0" fillId="0" borderId="0" applyNumberFormat="1" applyFont="1" applyFill="0" applyBorder="0" applyAlignment="1" applyProtection="1">
      <alignment horizontal="center" vertical="center" wrapText="1"/>
      <protection locked="1" hidden="1"/>
    </xf>
    <xf numFmtId="0" fontId="11" fillId="0" borderId="0" applyNumberFormat="0" applyFont="1" applyFill="0" applyBorder="0" applyAlignment="0" applyProtection="0"/>
    <xf numFmtId="0" fontId="2" fillId="4" borderId="3" applyNumberFormat="1" applyFont="1" applyFill="1" applyBorder="1" applyAlignment="1" applyProtection="1">
      <alignment horizontal="center" vertical="center"/>
      <protection locked="0" hidden="0"/>
    </xf>
    <xf numFmtId="170" fontId="2" fillId="5" borderId="4" applyNumberFormat="1" applyFont="1" applyFill="1" applyBorder="1" applyAlignment="1" applyProtection="1">
      <alignment horizontal="left" indent="1"/>
      <protection locked="0" hidden="0"/>
      <extLst>
        <ext uri="smNativeData">
          <pm:cellMargin xmlns:pm="smNativeData" id="1714042646" l="192" r="0" t="0" b="0" textRotation="0"/>
        </ext>
      </extLst>
    </xf>
    <xf numFmtId="0" fontId="2" fillId="6" borderId="5" applyNumberFormat="1" applyFont="1" applyFill="1" applyBorder="1" applyAlignment="1" applyProtection="1">
      <alignment horizontal="left" vertical="center"/>
      <protection locked="0" hidden="0"/>
    </xf>
    <xf numFmtId="49" fontId="0" fillId="7" borderId="6" applyNumberFormat="1" applyFont="1" applyFill="0" applyBorder="1" applyAlignment="1" applyProtection="1">
      <alignment horizontal="left" indent="1"/>
      <protection locked="1" hidden="1"/>
      <extLst>
        <ext uri="smNativeData">
          <pm:cellMargin xmlns:pm="smNativeData" id="1714042646" l="192" r="0" t="0" b="0" textRotation="0"/>
        </ext>
      </extLst>
    </xf>
    <xf numFmtId="0" fontId="0" fillId="7" borderId="6" applyNumberFormat="1" applyFont="1" applyFill="0" applyBorder="1" applyAlignment="1" applyProtection="1">
      <alignment horizontal="left" indent="1"/>
      <protection locked="1" hidden="1"/>
      <extLst>
        <ext uri="smNativeData">
          <pm:cellMargin xmlns:pm="smNativeData" id="1714042646" l="192" r="0" t="0" b="0" textRotation="0"/>
        </ext>
      </extLst>
    </xf>
    <xf numFmtId="49" fontId="0" fillId="8" borderId="7" applyNumberFormat="1" applyFont="1" applyFill="1" applyBorder="1" applyAlignment="1" applyProtection="1">
      <alignment horizontal="left" indent="1"/>
      <protection locked="0" hidden="0"/>
      <extLst>
        <ext uri="smNativeData">
          <pm:cellMargin xmlns:pm="smNativeData" id="1714042646" l="192" r="0" t="0" b="0" textRotation="0"/>
        </ext>
      </extLst>
    </xf>
    <xf numFmtId="0" fontId="19" fillId="9" borderId="8" applyNumberFormat="0" applyFont="1" applyFill="1" applyBorder="1" applyAlignment="0" applyProtection="0"/>
    <xf numFmtId="164" fontId="0" fillId="0" borderId="0" applyNumberFormat="1" applyFont="0" applyFill="0" applyBorder="0" applyAlignment="0" applyProtection="0"/>
  </cellStyleXfs>
  <cellXfs count="586">
    <xf numFmtId="0" fontId="0" fillId="0" borderId="0" xfId="0"/>
    <xf numFmtId="167" fontId="0" fillId="0" borderId="0" xfId="1">
      <alignment horizontal="center" vertical="center"/>
    </xf>
    <xf numFmtId="0" fontId="9" fillId="2" borderId="1" xfId="2"/>
    <xf numFmtId="0" fontId="10" fillId="3" borderId="2" xfId="3"/>
    <xf numFmtId="169" fontId="0" fillId="0" borderId="0" xfId="4">
      <alignment horizontal="center" vertical="center" wrapText="1"/>
    </xf>
    <xf numFmtId="0" fontId="11" fillId="0" borderId="0" xfId="5"/>
    <xf numFmtId="0" fontId="2" fillId="4" borderId="3" xfId="6">
      <alignment horizontal="center" vertical="center"/>
    </xf>
    <xf numFmtId="170" fontId="2" fillId="5" borderId="4" xfId="7">
      <alignment horizontal="left" indent="1"/>
    </xf>
    <xf numFmtId="0" fontId="2" fillId="6" borderId="5" xfId="8">
      <alignment horizontal="left" vertical="center"/>
    </xf>
    <xf numFmtId="49" fontId="0" fillId="0" borderId="6" xfId="9">
      <alignment horizontal="left" indent="1"/>
    </xf>
    <xf numFmtId="0" fontId="0" fillId="0" borderId="6" xfId="10">
      <alignment horizontal="left" indent="1"/>
    </xf>
    <xf numFmtId="49" fontId="0" fillId="8" borderId="7" xfId="11">
      <alignment horizontal="left" indent="1"/>
    </xf>
    <xf numFmtId="0" fontId="19" fillId="9" borderId="8" xfId="12"/>
    <xf numFmtId="164" fontId="0" fillId="0" borderId="0" xfId="13"/>
    <xf numFmtId="167" fontId="0" fillId="0" borderId="0" xfId="1" applyProtection="1">
      <alignment horizontal="center" vertical="center"/>
      <protection locked="1" hidden="0"/>
    </xf>
    <xf numFmtId="169" fontId="0" fillId="0" borderId="0" xfId="4" applyProtection="1">
      <alignment horizontal="center" vertical="center" wrapText="1"/>
      <protection locked="1" hidden="0"/>
    </xf>
    <xf numFmtId="0" fontId="2" fillId="4" borderId="3" xfId="6" applyProtection="1">
      <alignment horizontal="center" vertical="center"/>
      <protection locked="1" hidden="0"/>
    </xf>
    <xf numFmtId="0" fontId="2" fillId="6" borderId="5" xfId="8" applyProtection="1">
      <alignment horizontal="left" vertical="center"/>
      <protection locked="1" hidden="0"/>
    </xf>
    <xf numFmtId="0" fontId="0" fillId="0" borderId="0" xfId="0" applyAlignment="1">
      <alignment vertical="center"/>
    </xf>
    <xf numFmtId="0" fontId="0" fillId="0" borderId="0" xfId="0" applyAlignment="1">
      <alignment horizontal="center" vertical="center"/>
    </xf>
    <xf numFmtId="14" fontId="0" fillId="0" borderId="0" xfId="0" applyNumberFormat="1"/>
    <xf numFmtId="14" fontId="0" fillId="0" borderId="0" xfId="0" applyNumberFormat="1" applyAlignment="1">
      <alignment horizontal="right"/>
    </xf>
    <xf numFmtId="0" fontId="0" fillId="0" borderId="0" xfId="0" applyProtection="1">
      <protection locked="1" hidden="1"/>
    </xf>
    <xf numFmtId="0" fontId="0" fillId="0" borderId="0" xfId="0" applyAlignment="1" applyProtection="1">
      <alignment horizontal="center"/>
      <protection locked="1" hidden="1"/>
    </xf>
    <xf numFmtId="0" fontId="0" fillId="0" borderId="0" xfId="0" applyAlignment="1" applyProtection="1">
      <alignment vertical="center"/>
      <protection locked="1" hidden="1"/>
    </xf>
    <xf numFmtId="0" fontId="0" fillId="0" borderId="0" xfId="0" applyAlignment="1" applyProtection="1">
      <alignment horizontal="right"/>
      <protection locked="1" hidden="1"/>
    </xf>
    <xf numFmtId="0" fontId="0" fillId="0" borderId="0" xfId="0" applyAlignment="1" applyProtection="1">
      <alignment vertical="center" wrapText="1"/>
      <protection locked="1" hidden="1"/>
    </xf>
    <xf numFmtId="166" fontId="0" fillId="0" borderId="0" xfId="0" applyNumberFormat="1" applyAlignment="1" applyProtection="1">
      <alignment vertical="center" wrapText="1"/>
      <protection locked="1" hidden="1"/>
    </xf>
    <xf numFmtId="0" fontId="0" fillId="0" borderId="6" xfId="0" applyBorder="1" applyAlignment="1" applyProtection="1">
      <alignment vertical="center"/>
      <protection locked="1" hidden="1"/>
    </xf>
    <xf numFmtId="0" fontId="0" fillId="0" borderId="6" xfId="0" applyBorder="1" applyAlignment="1" applyProtection="1">
      <alignment horizontal="right" vertical="center"/>
      <protection locked="1" hidden="1"/>
    </xf>
    <xf numFmtId="0" fontId="12" fillId="10" borderId="9" xfId="0" applyFont="1" applyFill="1" applyBorder="1" applyAlignment="1" applyProtection="1">
      <alignment horizontal="center" vertical="center"/>
      <protection locked="1" hidden="1"/>
    </xf>
    <xf numFmtId="0" fontId="12" fillId="10" borderId="9" xfId="0" applyFont="1" applyFill="1" applyBorder="1" applyAlignment="1" applyProtection="1">
      <alignment horizontal="center" vertical="center" wrapText="1"/>
      <protection locked="1" hidden="1"/>
    </xf>
    <xf numFmtId="0" fontId="12" fillId="11" borderId="10" xfId="0" applyFont="1" applyFill="1" applyBorder="1" applyAlignment="1" applyProtection="1">
      <alignment horizontal="center"/>
      <protection locked="1" hidden="1"/>
    </xf>
    <xf numFmtId="0" fontId="12" fillId="10" borderId="9" xfId="0" applyFont="1" applyFill="1" applyBorder="1" applyAlignment="1" applyProtection="1">
      <alignment horizontal="center"/>
      <protection locked="1" hidden="1"/>
    </xf>
    <xf numFmtId="0" fontId="12" fillId="12" borderId="11" xfId="0" applyFont="1" applyFill="1" applyBorder="1" applyAlignment="1" applyProtection="1">
      <alignment horizontal="center"/>
      <protection locked="1" hidden="1"/>
    </xf>
    <xf numFmtId="0" fontId="0" fillId="0" borderId="0" xfId="0" applyAlignment="1" applyProtection="1">
      <alignment wrapText="1"/>
      <protection locked="1" hidden="1"/>
    </xf>
    <xf numFmtId="1" fontId="0" fillId="0" borderId="0" xfId="0" applyNumberFormat="1" applyAlignment="1" applyProtection="1">
      <alignment horizontal="center" vertical="center"/>
      <protection locked="1" hidden="1"/>
    </xf>
    <xf numFmtId="165" fontId="0" fillId="0" borderId="0" xfId="0" applyNumberFormat="1" applyAlignment="1" applyProtection="1">
      <alignment horizontal="center" vertical="center"/>
      <protection locked="1" hidden="1"/>
    </xf>
    <xf numFmtId="3" fontId="5" fillId="13" borderId="12" xfId="0" applyNumberFormat="1" applyFont="1" applyFill="1" applyBorder="1" applyAlignment="1" applyProtection="1">
      <alignment horizontal="right" vertical="center"/>
      <protection locked="1" hidden="1"/>
    </xf>
    <xf numFmtId="3" fontId="5" fillId="14" borderId="13" xfId="0" applyNumberFormat="1" applyFont="1" applyFill="1" applyBorder="1" applyAlignment="1" applyProtection="1">
      <alignment horizontal="right" vertical="center"/>
      <protection locked="1" hidden="1"/>
    </xf>
    <xf numFmtId="3" fontId="5" fillId="0" borderId="14" xfId="0" applyNumberFormat="1" applyFont="1" applyBorder="1" applyAlignment="1" applyProtection="1">
      <alignment horizontal="right" vertical="center"/>
      <protection locked="1" hidden="1"/>
    </xf>
    <xf numFmtId="3" fontId="5" fillId="0" borderId="15" xfId="0" applyNumberFormat="1" applyFont="1" applyBorder="1" applyAlignment="1" applyProtection="1">
      <alignment horizontal="right" vertical="center"/>
      <protection locked="1" hidden="1"/>
    </xf>
    <xf numFmtId="3" fontId="5" fillId="17" borderId="16" xfId="0" applyNumberFormat="1" applyFont="1" applyFill="1" applyBorder="1" applyAlignment="1" applyProtection="1">
      <alignment horizontal="right" vertical="center"/>
      <protection locked="1" hidden="1"/>
    </xf>
    <xf numFmtId="3" fontId="5" fillId="0" borderId="17" xfId="0" applyNumberFormat="1" applyFont="1" applyBorder="1" applyAlignment="1" applyProtection="1">
      <alignment horizontal="right" vertical="center"/>
      <protection locked="1" hidden="1"/>
    </xf>
    <xf numFmtId="0" fontId="10" fillId="3" borderId="2" xfId="3" applyAlignment="1">
      <alignment horizontal="center" vertical="center"/>
    </xf>
    <xf numFmtId="3" fontId="0" fillId="0" borderId="0" xfId="0" applyNumberFormat="1" applyAlignment="1" applyProtection="1">
      <alignment horizontal="right" vertical="center"/>
      <protection locked="1" hidden="1"/>
    </xf>
    <xf numFmtId="3" fontId="0" fillId="0" borderId="0" xfId="0" applyNumberFormat="1" applyAlignment="1" applyProtection="1">
      <alignment horizontal="center" vertical="center"/>
      <protection locked="1" hidden="1"/>
    </xf>
    <xf numFmtId="3" fontId="0" fillId="0" borderId="0" xfId="0" applyNumberFormat="1" applyAlignment="1" applyProtection="1">
      <alignment vertical="center"/>
      <protection locked="1" hidden="1"/>
    </xf>
    <xf numFmtId="3" fontId="0" fillId="0" borderId="0" xfId="0" applyNumberFormat="1" applyAlignment="1" applyProtection="1">
      <alignment horizontal="left" vertical="center"/>
      <protection locked="1" hidden="1"/>
    </xf>
    <xf numFmtId="0" fontId="0" fillId="0" borderId="6" xfId="0" applyBorder="1" applyProtection="1">
      <protection locked="1" hidden="1"/>
    </xf>
    <xf numFmtId="0" fontId="12" fillId="19" borderId="18" xfId="0" applyFont="1" applyFill="1" applyBorder="1" applyAlignment="1" applyProtection="1">
      <alignment horizontal="center" vertical="center" wrapText="1"/>
      <protection locked="1" hidden="1"/>
    </xf>
    <xf numFmtId="0" fontId="12" fillId="20" borderId="19" xfId="0" applyFont="1" applyFill="1" applyBorder="1" applyAlignment="1" applyProtection="1">
      <alignment horizontal="center" vertical="center" wrapText="1"/>
      <protection locked="1" hidden="1"/>
    </xf>
    <xf numFmtId="0" fontId="0" fillId="0" borderId="0" xfId="0" applyAlignment="1" applyProtection="1">
      <alignment horizontal="center" vertical="center"/>
      <protection locked="1" hidden="1"/>
    </xf>
    <xf numFmtId="0" fontId="0" fillId="0" borderId="20" xfId="0" applyBorder="1" applyAlignment="1" applyProtection="1">
      <alignment horizontal="center" vertical="center"/>
      <protection locked="1" hidden="1"/>
    </xf>
    <xf numFmtId="0" fontId="0" fillId="0" borderId="0" xfId="0" applyAlignment="1" applyProtection="1">
      <alignment horizontal="right" vertical="center"/>
      <protection locked="1" hidden="1"/>
    </xf>
    <xf numFmtId="3" fontId="5" fillId="0" borderId="21" xfId="0" applyNumberFormat="1" applyFont="1" applyBorder="1" applyAlignment="1" applyProtection="1">
      <alignment horizontal="right" vertical="center"/>
      <protection locked="1" hidden="1"/>
    </xf>
    <xf numFmtId="3" fontId="5" fillId="0" borderId="22" xfId="0" applyNumberFormat="1" applyFont="1" applyBorder="1" applyAlignment="1" applyProtection="1">
      <alignment horizontal="right" vertical="center"/>
      <protection locked="1" hidden="1"/>
    </xf>
    <xf numFmtId="3" fontId="5" fillId="24" borderId="23" xfId="0" applyNumberFormat="1" applyFont="1" applyFill="1" applyBorder="1" applyAlignment="1" applyProtection="1">
      <alignment horizontal="right" vertical="center"/>
      <protection locked="1" hidden="1"/>
    </xf>
    <xf numFmtId="3" fontId="5" fillId="25" borderId="24" xfId="0" applyNumberFormat="1" applyFont="1" applyFill="1" applyBorder="1" applyAlignment="1" applyProtection="1">
      <alignment horizontal="right" vertical="center"/>
      <protection locked="1" hidden="1"/>
    </xf>
    <xf numFmtId="0" fontId="0" fillId="0" borderId="0" xfId="0" applyAlignment="1" applyProtection="1">
      <alignment vertical="top" wrapText="1"/>
      <protection locked="1" hidden="1"/>
    </xf>
    <xf numFmtId="0" fontId="0" fillId="0" borderId="0" xfId="0" applyAlignment="1">
      <alignment horizontal="left" vertical="center"/>
    </xf>
    <xf numFmtId="0" fontId="0" fillId="0" borderId="0" xfId="0" applyProtection="1">
      <protection locked="0" hidden="0"/>
    </xf>
    <xf numFmtId="169" fontId="0" fillId="26" borderId="25" xfId="4" applyFill="1" applyBorder="1" applyProtection="1">
      <alignment horizontal="center" vertical="center" wrapText="1"/>
      <protection locked="1" hidden="0"/>
    </xf>
    <xf numFmtId="167" fontId="0" fillId="14" borderId="13" xfId="1" applyFill="1" applyBorder="1" applyProtection="1">
      <alignment horizontal="center" vertical="center"/>
      <protection locked="1" hidden="0"/>
    </xf>
    <xf numFmtId="169" fontId="0" fillId="0" borderId="26" xfId="4" applyBorder="1" applyProtection="1">
      <alignment horizontal="center" vertical="center" wrapText="1"/>
      <protection locked="1" hidden="0"/>
    </xf>
    <xf numFmtId="167" fontId="0" fillId="0" borderId="14" xfId="1" applyBorder="1" applyProtection="1">
      <alignment horizontal="center" vertical="center"/>
      <protection locked="1" hidden="0"/>
    </xf>
    <xf numFmtId="0" fontId="12" fillId="28" borderId="27" xfId="0" applyFont="1" applyFill="1" applyBorder="1" applyAlignment="1" applyProtection="1">
      <alignment horizontal="center"/>
      <protection locked="1" hidden="1"/>
    </xf>
    <xf numFmtId="0" fontId="12" fillId="29" borderId="28" xfId="0" applyFont="1" applyFill="1" applyBorder="1" applyAlignment="1" applyProtection="1">
      <alignment horizontal="center"/>
      <protection locked="1" hidden="1"/>
    </xf>
    <xf numFmtId="169" fontId="0" fillId="0" borderId="29" xfId="4" applyBorder="1" applyProtection="1">
      <alignment horizontal="center" vertical="center" wrapText="1"/>
      <protection locked="1" hidden="0"/>
    </xf>
    <xf numFmtId="169" fontId="0" fillId="31" borderId="30" xfId="4" applyFill="1" applyBorder="1" applyProtection="1">
      <alignment horizontal="center" vertical="center" wrapText="1"/>
      <protection locked="1" hidden="0"/>
    </xf>
    <xf numFmtId="3" fontId="5" fillId="0" borderId="14" xfId="0" applyNumberFormat="1" applyFont="1" applyBorder="1" applyAlignment="1" applyProtection="1">
      <alignment horizontal="right" vertical="center" wrapText="1"/>
      <protection locked="1" hidden="1"/>
    </xf>
    <xf numFmtId="3" fontId="5" fillId="0" borderId="15" xfId="0" applyNumberFormat="1" applyFont="1" applyBorder="1" applyAlignment="1" applyProtection="1">
      <alignment horizontal="right" vertical="center" wrapText="1"/>
      <protection locked="1" hidden="1"/>
    </xf>
    <xf numFmtId="0" fontId="12" fillId="32" borderId="31" xfId="0" applyFont="1" applyFill="1" applyBorder="1" applyAlignment="1" applyProtection="1">
      <alignment horizontal="center"/>
      <protection locked="1" hidden="1"/>
    </xf>
    <xf numFmtId="3" fontId="5" fillId="14" borderId="13" xfId="0" applyNumberFormat="1" applyFont="1" applyFill="1" applyBorder="1" applyAlignment="1" applyProtection="1">
      <alignment horizontal="right" vertical="center"/>
      <protection locked="0" hidden="0"/>
    </xf>
    <xf numFmtId="3" fontId="5" fillId="17" borderId="16" xfId="0" applyNumberFormat="1" applyFont="1" applyFill="1" applyBorder="1" applyAlignment="1" applyProtection="1">
      <alignment horizontal="right" vertical="center"/>
      <protection locked="0" hidden="0"/>
    </xf>
    <xf numFmtId="0" fontId="0" fillId="0" borderId="0" xfId="0" applyAlignment="1" applyProtection="1">
      <alignment horizontal="left" vertical="center"/>
      <protection locked="1" hidden="1"/>
    </xf>
    <xf numFmtId="0" fontId="5" fillId="0" borderId="0" xfId="0" applyFont="1" applyAlignment="1" applyProtection="1">
      <alignment horizontal="center" vertical="center"/>
      <protection locked="1" hidden="1"/>
    </xf>
    <xf numFmtId="0" fontId="11" fillId="0" borderId="0" xfId="5" applyAlignment="1" applyProtection="1">
      <alignment horizontal="left"/>
      <protection locked="1" hidden="1"/>
    </xf>
    <xf numFmtId="0" fontId="11" fillId="0" borderId="0" xfId="5" applyProtection="1">
      <protection locked="1" hidden="1"/>
    </xf>
    <xf numFmtId="0" fontId="4" fillId="33" borderId="32" xfId="0" applyFont="1" applyFill="1" applyBorder="1" applyAlignment="1" applyProtection="1">
      <alignment horizontal="right" vertical="center" indent="1"/>
      <protection locked="1" hidden="1"/>
      <extLst>
        <ext uri="smNativeData">
          <pm:cellMargin xmlns:pm="smNativeData" id="1714042646" l="0" r="192" t="0" b="0" textRotation="0"/>
        </ext>
      </extLst>
    </xf>
    <xf numFmtId="0" fontId="2" fillId="34" borderId="33" xfId="6" applyBorder="1" applyProtection="1">
      <alignment horizontal="center" vertical="center"/>
      <protection locked="1" hidden="0"/>
    </xf>
    <xf numFmtId="0" fontId="2" fillId="8" borderId="7" xfId="0" applyFont="1" applyFill="1" applyBorder="1" applyAlignment="1">
      <alignment horizontal="left" vertical="center" indent="1"/>
      <extLst>
        <ext uri="smNativeData">
          <pm:cellMargin xmlns:pm="smNativeData" id="1714042646" l="192" r="0" t="0" b="0" textRotation="0"/>
        </ext>
      </extLst>
    </xf>
    <xf numFmtId="0" fontId="2" fillId="0" borderId="0" xfId="0" applyFont="1" applyAlignment="1">
      <alignment horizontal="left" vertical="center" indent="1"/>
      <extLst>
        <ext uri="smNativeData">
          <pm:cellMargin xmlns:pm="smNativeData" id="1714042646" l="192" r="0" t="0" b="0" textRotation="0"/>
        </ext>
      </extLst>
    </xf>
    <xf numFmtId="0" fontId="2" fillId="35" borderId="34" xfId="0" applyFont="1" applyFill="1" applyBorder="1" applyAlignment="1">
      <alignment horizontal="left" vertical="center" indent="1"/>
      <extLst>
        <ext uri="smNativeData">
          <pm:cellMargin xmlns:pm="smNativeData" id="1714042646" l="192" r="0" t="0" b="0" textRotation="0"/>
        </ext>
      </extLst>
    </xf>
    <xf numFmtId="0" fontId="0" fillId="0" borderId="0" xfId="0" applyAlignment="1" applyProtection="1">
      <alignment horizontal="left"/>
      <protection locked="1" hidden="1"/>
    </xf>
    <xf numFmtId="14" fontId="0" fillId="0" borderId="0" xfId="0" applyNumberFormat="1" applyProtection="1">
      <protection locked="1" hidden="1"/>
    </xf>
    <xf numFmtId="0" fontId="0" fillId="0" borderId="35" xfId="0" applyBorder="1" applyAlignment="1" applyProtection="1">
      <alignment vertical="center"/>
      <protection locked="0" hidden="1"/>
    </xf>
    <xf numFmtId="0" fontId="4" fillId="0" borderId="6" xfId="0" applyFont="1" applyBorder="1" applyAlignment="1" applyProtection="1">
      <alignment vertical="center"/>
      <protection locked="1" hidden="1"/>
    </xf>
    <xf numFmtId="0" fontId="0" fillId="0" borderId="0" xfId="0" applyAlignment="1" applyProtection="1">
      <alignment horizontal="left" indent="1"/>
      <protection locked="1" hidden="1"/>
      <extLst>
        <ext uri="smNativeData">
          <pm:cellMargin xmlns:pm="smNativeData" id="1714042646" l="192" r="0" t="0" b="0" textRotation="0"/>
        </ext>
      </extLst>
    </xf>
    <xf numFmtId="0" fontId="2" fillId="37" borderId="36" xfId="8" applyBorder="1" applyProtection="1">
      <alignment horizontal="left" vertical="center"/>
      <protection locked="1" hidden="1"/>
    </xf>
    <xf numFmtId="0" fontId="2" fillId="38" borderId="37" xfId="8" applyBorder="1" applyProtection="1">
      <alignment horizontal="left" vertical="center"/>
      <protection locked="1" hidden="1"/>
    </xf>
    <xf numFmtId="0" fontId="4" fillId="0" borderId="0" xfId="0" applyFont="1" applyAlignment="1" applyProtection="1">
      <alignment vertical="center"/>
      <protection locked="1" hidden="1"/>
    </xf>
    <xf numFmtId="0" fontId="0" fillId="0" borderId="38" xfId="0" applyBorder="1"/>
    <xf numFmtId="0" fontId="0" fillId="0" borderId="39" xfId="0" applyBorder="1"/>
    <xf numFmtId="0" fontId="0" fillId="0" borderId="40" xfId="0" applyBorder="1" applyAlignment="1">
      <alignment horizontal="left" vertical="center"/>
    </xf>
    <xf numFmtId="0" fontId="0" fillId="0" borderId="41" xfId="0" applyBorder="1" applyAlignment="1">
      <alignment horizontal="left" vertical="center"/>
    </xf>
    <xf numFmtId="0" fontId="0" fillId="0" borderId="42" xfId="0" applyBorder="1" applyAlignment="1">
      <alignment horizontal="left" vertical="center"/>
    </xf>
    <xf numFmtId="0" fontId="0" fillId="0" borderId="43" xfId="0" applyBorder="1"/>
    <xf numFmtId="0" fontId="0" fillId="0" borderId="0" xfId="0" applyAlignment="1">
      <alignment horizontal="right"/>
    </xf>
    <xf numFmtId="0" fontId="3" fillId="0" borderId="0" xfId="0" applyFont="1" applyAlignment="1">
      <alignment horizontal="right" vertical="center"/>
    </xf>
    <xf numFmtId="0" fontId="7" fillId="0" borderId="0" xfId="0" applyFont="1" applyAlignment="1" applyProtection="1">
      <alignment horizontal="left" vertical="center" wrapText="1" indent="1"/>
      <protection locked="1" hidden="1"/>
      <extLst>
        <ext uri="smNativeData">
          <pm:cellMargin xmlns:pm="smNativeData" id="1714042646" l="192" r="0" t="0" b="0" textRotation="0"/>
        </ext>
      </extLst>
    </xf>
    <xf numFmtId="0" fontId="7" fillId="0" borderId="0" xfId="0" applyFont="1" applyAlignment="1" applyProtection="1">
      <alignment horizontal="left" indent="1"/>
      <protection locked="1" hidden="1"/>
      <extLst>
        <ext uri="smNativeData">
          <pm:cellMargin xmlns:pm="smNativeData" id="1714042646" l="192" r="0" t="0" b="0" textRotation="0"/>
        </ext>
      </extLst>
    </xf>
    <xf numFmtId="0" fontId="7" fillId="0" borderId="0" xfId="0" applyFont="1" applyAlignment="1" applyProtection="1">
      <alignment horizontal="left" vertical="center" indent="1"/>
      <protection locked="1" hidden="1"/>
      <extLst>
        <ext uri="smNativeData">
          <pm:cellMargin xmlns:pm="smNativeData" id="1714042646" l="192" r="0" t="0" b="0" textRotation="0"/>
        </ext>
      </extLst>
    </xf>
    <xf numFmtId="0" fontId="0" fillId="0" borderId="35" xfId="0" applyBorder="1" applyAlignment="1" applyProtection="1">
      <alignment horizontal="center" vertical="center"/>
      <protection locked="1" hidden="1"/>
    </xf>
    <xf numFmtId="0" fontId="0" fillId="0" borderId="44" xfId="0" applyBorder="1" applyProtection="1">
      <protection locked="1" hidden="1"/>
    </xf>
    <xf numFmtId="3" fontId="0" fillId="0" borderId="44" xfId="0" applyNumberFormat="1" applyBorder="1" applyProtection="1">
      <protection locked="1" hidden="1"/>
    </xf>
    <xf numFmtId="0" fontId="0" fillId="46" borderId="45" xfId="0" applyFill="1" applyBorder="1" applyAlignment="1" applyProtection="1">
      <alignment wrapText="1"/>
      <protection locked="1" hidden="1"/>
    </xf>
    <xf numFmtId="0" fontId="0" fillId="0" borderId="35" xfId="0" applyBorder="1" applyAlignment="1" applyProtection="1">
      <alignment horizontal="center" vertical="center" wrapText="1"/>
      <protection locked="1" hidden="1"/>
    </xf>
    <xf numFmtId="0" fontId="2" fillId="37" borderId="36" xfId="6" applyBorder="1" applyProtection="1">
      <alignment horizontal="center" vertical="center"/>
      <protection locked="1" hidden="0"/>
    </xf>
    <xf numFmtId="0" fontId="2" fillId="47" borderId="46" xfId="6" applyBorder="1" applyProtection="1">
      <alignment horizontal="center" vertical="center"/>
      <protection locked="1" hidden="0"/>
    </xf>
    <xf numFmtId="0" fontId="2" fillId="0" borderId="0" xfId="0" applyFont="1" applyProtection="1">
      <protection locked="1" hidden="1"/>
    </xf>
    <xf numFmtId="0" fontId="14" fillId="0" borderId="0" xfId="0" applyFont="1" applyProtection="1">
      <protection locked="1" hidden="1"/>
    </xf>
    <xf numFmtId="0" fontId="15" fillId="0" borderId="0" xfId="0" applyFont="1" applyAlignment="1" applyProtection="1">
      <alignment horizontal="center" vertical="center"/>
      <protection locked="1" hidden="1"/>
    </xf>
    <xf numFmtId="0" fontId="16" fillId="0" borderId="0" xfId="0" applyFont="1" applyProtection="1">
      <protection locked="1" hidden="1"/>
    </xf>
    <xf numFmtId="0" fontId="0" fillId="0" borderId="47" xfId="0" applyBorder="1" applyAlignment="1" applyProtection="1">
      <alignment horizontal="center" vertical="center" wrapText="1"/>
      <protection locked="1" hidden="1"/>
    </xf>
    <xf numFmtId="0" fontId="0" fillId="0" borderId="0" xfId="0" applyAlignment="1" applyProtection="1">
      <alignment horizontal="center" vertical="center" wrapText="1"/>
      <protection locked="1" hidden="1"/>
    </xf>
    <xf numFmtId="0" fontId="0" fillId="0" borderId="0" xfId="0" applyAlignment="1" applyProtection="1">
      <alignment horizontal="right"/>
      <protection locked="0" hidden="0"/>
    </xf>
    <xf numFmtId="3" fontId="0" fillId="49" borderId="48" xfId="0" applyNumberFormat="1" applyFill="1" applyBorder="1" applyAlignment="1" applyProtection="1">
      <alignment horizontal="right" vertical="center"/>
      <protection locked="1" hidden="1"/>
    </xf>
    <xf numFmtId="3" fontId="0" fillId="0" borderId="14" xfId="0" applyNumberFormat="1" applyBorder="1" applyAlignment="1" applyProtection="1">
      <alignment horizontal="right" vertical="center"/>
      <protection locked="1" hidden="1"/>
    </xf>
    <xf numFmtId="3" fontId="0" fillId="14" borderId="13" xfId="0" applyNumberFormat="1" applyFill="1" applyBorder="1" applyAlignment="1" applyProtection="1">
      <alignment horizontal="right" vertical="center"/>
      <protection locked="1" hidden="1"/>
    </xf>
    <xf numFmtId="3" fontId="0" fillId="14" borderId="13" xfId="0" applyNumberFormat="1" applyFill="1" applyBorder="1" applyAlignment="1" applyProtection="1">
      <alignment horizontal="right" vertical="center"/>
      <protection locked="0" hidden="0"/>
    </xf>
    <xf numFmtId="3" fontId="0" fillId="17" borderId="16" xfId="0" applyNumberFormat="1" applyFill="1" applyBorder="1" applyAlignment="1" applyProtection="1">
      <alignment horizontal="right" vertical="center"/>
      <protection locked="0" hidden="0"/>
    </xf>
    <xf numFmtId="3" fontId="0" fillId="0" borderId="14" xfId="0" applyNumberFormat="1" applyBorder="1" applyAlignment="1" applyProtection="1">
      <alignment horizontal="right" vertical="center"/>
      <protection locked="0" hidden="0"/>
    </xf>
    <xf numFmtId="3" fontId="0" fillId="0" borderId="15" xfId="0" applyNumberFormat="1" applyBorder="1" applyAlignment="1" applyProtection="1">
      <alignment horizontal="right" vertical="center"/>
      <protection locked="0" hidden="0"/>
    </xf>
    <xf numFmtId="3" fontId="5" fillId="0" borderId="14" xfId="0" applyNumberFormat="1" applyFont="1" applyBorder="1" applyAlignment="1" applyProtection="1">
      <alignment horizontal="right" vertical="center"/>
      <protection locked="0" hidden="0"/>
    </xf>
    <xf numFmtId="3" fontId="5" fillId="0" borderId="15" xfId="0" applyNumberFormat="1" applyFont="1" applyBorder="1" applyAlignment="1" applyProtection="1">
      <alignment horizontal="right" vertical="center"/>
      <protection locked="0" hidden="0"/>
    </xf>
    <xf numFmtId="3" fontId="0" fillId="14" borderId="13" xfId="0" applyNumberFormat="1" applyFill="1" applyBorder="1" applyAlignment="1" applyProtection="1">
      <alignment horizontal="right" vertical="center" wrapText="1"/>
      <protection locked="0" hidden="0"/>
    </xf>
    <xf numFmtId="3" fontId="0" fillId="17" borderId="16" xfId="0" applyNumberFormat="1" applyFill="1" applyBorder="1" applyAlignment="1" applyProtection="1">
      <alignment horizontal="right" vertical="center" wrapText="1"/>
      <protection locked="0" hidden="0"/>
    </xf>
    <xf numFmtId="3" fontId="0" fillId="0" borderId="14" xfId="0" applyNumberFormat="1" applyBorder="1" applyAlignment="1" applyProtection="1">
      <alignment horizontal="right" vertical="center" wrapText="1"/>
      <protection locked="0" hidden="0"/>
    </xf>
    <xf numFmtId="3" fontId="0" fillId="0" borderId="15" xfId="0" applyNumberFormat="1" applyBorder="1" applyAlignment="1" applyProtection="1">
      <alignment horizontal="right" vertical="center" wrapText="1"/>
      <protection locked="0" hidden="0"/>
    </xf>
    <xf numFmtId="0" fontId="2" fillId="0" borderId="6" xfId="8" applyFill="1" applyAlignment="1" applyProtection="1">
      <alignment horizontal="left" vertical="center" indent="1"/>
      <protection locked="1" hidden="1"/>
      <extLst>
        <ext uri="smNativeData">
          <pm:cellMargin xmlns:pm="smNativeData" id="1714042646" l="192" r="0" t="0" b="0" textRotation="0"/>
        </ext>
      </extLst>
    </xf>
    <xf numFmtId="167" fontId="5" fillId="13" borderId="12" xfId="1" applyFont="1" applyFill="1" applyBorder="1" applyProtection="1">
      <alignment horizontal="center" vertical="center"/>
      <protection locked="1" hidden="0"/>
    </xf>
    <xf numFmtId="169" fontId="5" fillId="0" borderId="26" xfId="4" applyFont="1" applyBorder="1" applyProtection="1">
      <alignment horizontal="center" vertical="center" wrapText="1"/>
      <protection locked="1" hidden="0"/>
    </xf>
    <xf numFmtId="167" fontId="5" fillId="0" borderId="14" xfId="1" applyFont="1" applyBorder="1" applyProtection="1">
      <alignment horizontal="center" vertical="center"/>
      <protection locked="1" hidden="0"/>
    </xf>
    <xf numFmtId="167" fontId="5" fillId="14" borderId="13" xfId="1" applyFont="1" applyFill="1" applyBorder="1" applyProtection="1">
      <alignment horizontal="center" vertical="center"/>
      <protection locked="1" hidden="0"/>
    </xf>
    <xf numFmtId="167" fontId="5" fillId="50" borderId="49" xfId="1" applyFont="1" applyFill="1" applyBorder="1" applyProtection="1">
      <alignment horizontal="center" vertical="center"/>
      <protection locked="1" hidden="0"/>
    </xf>
    <xf numFmtId="167" fontId="5" fillId="0" borderId="17" xfId="1" applyFont="1" applyBorder="1" applyProtection="1">
      <alignment horizontal="center" vertical="center"/>
      <protection locked="1" hidden="0"/>
    </xf>
    <xf numFmtId="0" fontId="0" fillId="0" borderId="50" xfId="0" applyBorder="1"/>
    <xf numFmtId="0" fontId="0" fillId="0" borderId="51" xfId="0" applyBorder="1"/>
    <xf numFmtId="0" fontId="0" fillId="0" borderId="52" xfId="0" applyBorder="1"/>
    <xf numFmtId="1" fontId="0" fillId="0" borderId="0" xfId="0" applyNumberFormat="1" applyAlignment="1" applyProtection="1">
      <alignment horizontal="right" vertical="center"/>
      <protection locked="1" hidden="1"/>
    </xf>
    <xf numFmtId="49" fontId="0" fillId="0" borderId="0" xfId="9" applyBorder="1" applyProtection="1">
      <alignment horizontal="left" indent="1"/>
      <protection locked="1" hidden="0"/>
    </xf>
    <xf numFmtId="0" fontId="3" fillId="0" borderId="0" xfId="0" applyFont="1" applyAlignment="1" applyProtection="1">
      <alignment vertical="center"/>
      <protection locked="1" hidden="1"/>
    </xf>
    <xf numFmtId="0" fontId="0" fillId="0" borderId="0" xfId="0" applyAlignment="1">
      <alignment wrapText="1"/>
    </xf>
    <xf numFmtId="0" fontId="0" fillId="46" borderId="45" xfId="0" applyFill="1" applyBorder="1" applyAlignment="1">
      <alignment wrapText="1"/>
    </xf>
    <xf numFmtId="167" fontId="5" fillId="0" borderId="53" xfId="1" applyFont="1" applyBorder="1" applyProtection="1">
      <alignment horizontal="center" vertical="center"/>
      <protection locked="1" hidden="0"/>
    </xf>
    <xf numFmtId="167" fontId="0" fillId="55" borderId="54" xfId="1" applyFill="1" applyBorder="1" applyProtection="1">
      <alignment horizontal="center" vertical="center"/>
      <protection locked="1" hidden="0"/>
    </xf>
    <xf numFmtId="169" fontId="5" fillId="26" borderId="25" xfId="4" applyFont="1" applyFill="1" applyBorder="1" applyProtection="1">
      <alignment horizontal="center" vertical="center" wrapText="1"/>
      <protection locked="1" hidden="0"/>
    </xf>
    <xf numFmtId="167" fontId="0" fillId="0" borderId="53" xfId="1" applyBorder="1" applyProtection="1">
      <alignment horizontal="center" vertical="center"/>
      <protection locked="1" hidden="0"/>
    </xf>
    <xf numFmtId="169" fontId="0" fillId="56" borderId="55" xfId="4" applyFill="1" applyBorder="1" applyProtection="1">
      <alignment horizontal="center" vertical="center" wrapText="1"/>
      <protection locked="1" hidden="0"/>
    </xf>
    <xf numFmtId="3" fontId="0" fillId="24" borderId="23" xfId="0" applyNumberFormat="1" applyFill="1" applyBorder="1" applyAlignment="1" applyProtection="1">
      <alignment horizontal="right" vertical="center"/>
      <protection locked="0" hidden="0"/>
    </xf>
    <xf numFmtId="3" fontId="0" fillId="25" borderId="24" xfId="0" applyNumberFormat="1" applyFill="1" applyBorder="1" applyAlignment="1" applyProtection="1">
      <alignment horizontal="right" vertical="center"/>
      <protection locked="0" hidden="0"/>
    </xf>
    <xf numFmtId="3" fontId="0" fillId="0" borderId="21" xfId="0" applyNumberFormat="1" applyBorder="1" applyAlignment="1" applyProtection="1">
      <alignment horizontal="right" vertical="center"/>
      <protection locked="0" hidden="0"/>
    </xf>
    <xf numFmtId="3" fontId="0" fillId="0" borderId="22" xfId="0" applyNumberFormat="1" applyBorder="1" applyAlignment="1" applyProtection="1">
      <alignment horizontal="right" vertical="center"/>
      <protection locked="0" hidden="0"/>
    </xf>
    <xf numFmtId="3" fontId="5" fillId="24" borderId="23" xfId="0" applyNumberFormat="1" applyFont="1" applyFill="1" applyBorder="1" applyAlignment="1" applyProtection="1">
      <alignment horizontal="right" vertical="center"/>
      <protection locked="0" hidden="0"/>
    </xf>
    <xf numFmtId="3" fontId="5" fillId="25" borderId="24" xfId="0" applyNumberFormat="1" applyFont="1" applyFill="1" applyBorder="1" applyAlignment="1" applyProtection="1">
      <alignment horizontal="right" vertical="center"/>
      <protection locked="0" hidden="0"/>
    </xf>
    <xf numFmtId="3" fontId="5" fillId="0" borderId="21" xfId="0" applyNumberFormat="1" applyFont="1" applyBorder="1" applyAlignment="1" applyProtection="1">
      <alignment horizontal="right" vertical="center"/>
      <protection locked="0" hidden="0"/>
    </xf>
    <xf numFmtId="3" fontId="5" fillId="0" borderId="22" xfId="0" applyNumberFormat="1" applyFont="1" applyBorder="1" applyAlignment="1" applyProtection="1">
      <alignment horizontal="right" vertical="center"/>
      <protection locked="0" hidden="0"/>
    </xf>
    <xf numFmtId="3" fontId="0" fillId="0" borderId="53" xfId="0" applyNumberFormat="1" applyBorder="1" applyAlignment="1" applyProtection="1">
      <alignment horizontal="right" vertical="center"/>
      <protection locked="0" hidden="0"/>
    </xf>
    <xf numFmtId="3" fontId="0" fillId="0" borderId="56" xfId="0" applyNumberFormat="1" applyBorder="1" applyAlignment="1" applyProtection="1">
      <alignment horizontal="right" vertical="center"/>
      <protection locked="0" hidden="0"/>
    </xf>
    <xf numFmtId="0" fontId="2" fillId="0" borderId="0" xfId="0" applyFont="1" applyAlignment="1" applyProtection="1">
      <alignment horizontal="left" indent="1"/>
      <protection locked="1" hidden="1"/>
      <extLst>
        <ext uri="smNativeData">
          <pm:cellMargin xmlns:pm="smNativeData" id="1714042646" l="192" r="0" t="0" b="0" textRotation="0"/>
        </ext>
      </extLst>
    </xf>
    <xf numFmtId="0" fontId="3" fillId="0" borderId="35" xfId="0" applyFont="1" applyBorder="1" applyAlignment="1" applyProtection="1">
      <alignment horizontal="center" vertical="center" wrapText="1"/>
      <protection locked="1" hidden="1"/>
    </xf>
    <xf numFmtId="171" fontId="0" fillId="0" borderId="35" xfId="0" applyNumberFormat="1" applyBorder="1" applyAlignment="1" applyProtection="1">
      <alignment horizontal="center" vertical="center"/>
      <protection locked="1" hidden="1"/>
    </xf>
    <xf numFmtId="171" fontId="0" fillId="0" borderId="35" xfId="0" applyNumberFormat="1" applyBorder="1" applyProtection="1">
      <protection locked="1" hidden="1"/>
    </xf>
    <xf numFmtId="0" fontId="0" fillId="0" borderId="35" xfId="0" applyBorder="1" applyAlignment="1" applyProtection="1">
      <alignment horizontal="right" indent="1"/>
      <protection locked="1" hidden="1"/>
      <extLst>
        <ext uri="smNativeData">
          <pm:cellMargin xmlns:pm="smNativeData" id="1714042646" l="0" r="192" t="0" b="0" textRotation="0"/>
        </ext>
      </extLst>
    </xf>
    <xf numFmtId="0" fontId="2" fillId="0" borderId="57" xfId="0" applyFont="1" applyBorder="1" applyProtection="1">
      <protection locked="1" hidden="1"/>
    </xf>
    <xf numFmtId="0" fontId="0" fillId="0" borderId="58" xfId="0" applyBorder="1" applyProtection="1">
      <protection locked="1" hidden="1"/>
    </xf>
    <xf numFmtId="0" fontId="2" fillId="0" borderId="59" xfId="0" applyFont="1" applyBorder="1" applyProtection="1">
      <protection locked="1" hidden="1"/>
    </xf>
    <xf numFmtId="0" fontId="0" fillId="0" borderId="60" xfId="0" applyBorder="1" applyProtection="1">
      <protection locked="1" hidden="1"/>
    </xf>
    <xf numFmtId="0" fontId="17" fillId="0" borderId="59" xfId="0" applyFont="1" applyBorder="1" applyProtection="1">
      <protection locked="1" hidden="1"/>
    </xf>
    <xf numFmtId="0" fontId="17" fillId="0" borderId="61" xfId="0" applyFont="1" applyBorder="1" applyProtection="1">
      <protection locked="1" hidden="1"/>
    </xf>
    <xf numFmtId="0" fontId="0" fillId="0" borderId="62" xfId="0" applyBorder="1" applyProtection="1">
      <protection locked="1" hidden="1"/>
    </xf>
    <xf numFmtId="0" fontId="0" fillId="0" borderId="6" xfId="0" applyBorder="1"/>
    <xf numFmtId="165" fontId="0" fillId="0" borderId="0" xfId="0" applyNumberFormat="1" applyProtection="1">
      <protection locked="1" hidden="1"/>
    </xf>
    <xf numFmtId="0" fontId="20" fillId="64" borderId="63" xfId="0" applyFont="1" applyFill="1" applyBorder="1" applyAlignment="1">
      <alignment horizontal="center" vertical="center" wrapText="1"/>
    </xf>
    <xf numFmtId="0" fontId="12" fillId="65" borderId="64" xfId="0" applyFont="1" applyFill="1" applyBorder="1" applyAlignment="1" applyProtection="1">
      <alignment horizontal="center"/>
      <protection locked="1" hidden="1"/>
    </xf>
    <xf numFmtId="0" fontId="12" fillId="66" borderId="65" xfId="0" applyFont="1" applyFill="1" applyBorder="1" applyAlignment="1" applyProtection="1">
      <alignment horizontal="center"/>
      <protection locked="1" hidden="1"/>
    </xf>
    <xf numFmtId="3" fontId="5" fillId="0" borderId="66" xfId="0" applyNumberFormat="1" applyFont="1" applyBorder="1" applyAlignment="1" applyProtection="1">
      <alignment horizontal="right" vertical="center"/>
      <protection locked="1" hidden="1"/>
    </xf>
    <xf numFmtId="3" fontId="0" fillId="68" borderId="67" xfId="0" applyNumberFormat="1" applyFill="1" applyBorder="1" applyAlignment="1" applyProtection="1">
      <alignment horizontal="right" vertical="center"/>
      <protection locked="1" hidden="1"/>
    </xf>
    <xf numFmtId="168" fontId="0" fillId="14" borderId="13" xfId="0" applyNumberFormat="1" applyFill="1" applyBorder="1" applyAlignment="1" applyProtection="1">
      <alignment horizontal="right" vertical="center"/>
      <protection locked="0" hidden="0"/>
    </xf>
    <xf numFmtId="167" fontId="5" fillId="69" borderId="68" xfId="1" applyFont="1" applyFill="1" applyBorder="1" applyProtection="1">
      <alignment horizontal="center" vertical="center"/>
      <protection locked="1" hidden="0"/>
    </xf>
    <xf numFmtId="49" fontId="5" fillId="0" borderId="0" xfId="9" applyFont="1" applyBorder="1" applyAlignment="1" applyProtection="1">
      <alignment horizontal="general" indent="0"/>
      <protection locked="1" hidden="0"/>
      <extLst>
        <ext uri="smNativeData">
          <pm:cellMargin xmlns:pm="smNativeData" id="1714042646" l="0" r="0" t="0" b="0" textRotation="0"/>
        </ext>
      </extLst>
    </xf>
    <xf numFmtId="0" fontId="0" fillId="0" borderId="0" xfId="10" applyBorder="1" applyProtection="1">
      <alignment horizontal="left" indent="1"/>
      <protection locked="1" hidden="0"/>
    </xf>
    <xf numFmtId="49" fontId="0" fillId="0" borderId="0" xfId="9" applyBorder="1" applyAlignment="1" applyProtection="1">
      <alignment horizontal="general" vertical="center" indent="0"/>
      <protection locked="1" hidden="0"/>
      <extLst>
        <ext uri="smNativeData">
          <pm:cellMargin xmlns:pm="smNativeData" id="1714042646" l="0" r="0" t="0" b="0" textRotation="0"/>
        </ext>
      </extLst>
    </xf>
    <xf numFmtId="0" fontId="0" fillId="70" borderId="69" xfId="0" applyFill="1"/>
    <xf numFmtId="0" fontId="0" fillId="70" borderId="69" xfId="0" applyFill="1" applyAlignment="1">
      <alignment horizontal="left" vertical="center" wrapText="1" textRotation="90"/>
      <extLst>
        <ext uri="smNativeData">
          <pm:cellMargin xmlns:pm="smNativeData" id="1714042646" l="0" r="0" t="0" b="0" textRotation="3"/>
        </ext>
      </extLst>
    </xf>
    <xf numFmtId="0" fontId="0" fillId="70" borderId="69" xfId="0" applyFill="1" applyAlignment="1">
      <alignment wrapText="1"/>
    </xf>
    <xf numFmtId="49" fontId="0" fillId="71" borderId="70" xfId="4" applyNumberFormat="1" applyFill="1" applyBorder="1" applyProtection="1">
      <alignment horizontal="center" vertical="center" wrapText="1"/>
      <protection locked="1" hidden="0"/>
    </xf>
    <xf numFmtId="0" fontId="0" fillId="72" borderId="71" xfId="0" applyFill="1" applyAlignment="1">
      <alignment wrapText="1"/>
    </xf>
    <xf numFmtId="0" fontId="0" fillId="72" borderId="71" xfId="0" applyFill="1"/>
    <xf numFmtId="0" fontId="0" fillId="72" borderId="71" xfId="0" applyFill="1" applyAlignment="1">
      <alignment horizontal="left" vertical="center" wrapText="1" textRotation="90"/>
      <extLst>
        <ext uri="smNativeData">
          <pm:cellMargin xmlns:pm="smNativeData" id="1714042646" l="0" r="0" t="0" b="0" textRotation="3"/>
        </ext>
      </extLst>
    </xf>
    <xf numFmtId="3" fontId="5" fillId="73" borderId="72" xfId="0" applyNumberFormat="1" applyFont="1" applyFill="1" applyBorder="1" applyAlignment="1" applyProtection="1">
      <alignment horizontal="right" vertical="center"/>
      <protection locked="1" hidden="1"/>
    </xf>
    <xf numFmtId="0" fontId="0" fillId="0" borderId="0" xfId="0" applyAlignment="1">
      <alignment horizontal="left" vertical="top" wrapText="1"/>
    </xf>
    <xf numFmtId="0" fontId="20" fillId="0" borderId="35" xfId="0" applyFont="1" applyBorder="1" applyAlignment="1">
      <alignment horizontal="center" vertical="center" wrapText="1"/>
    </xf>
    <xf numFmtId="0" fontId="0" fillId="0" borderId="0" xfId="10" applyBorder="1" applyAlignment="1" applyProtection="1">
      <alignment horizontal="general" indent="0"/>
      <protection locked="1" hidden="0"/>
      <extLst>
        <ext uri="smNativeData">
          <pm:cellMargin xmlns:pm="smNativeData" id="1714042646" l="0" r="0" t="0" b="0" textRotation="0"/>
        </ext>
      </extLst>
    </xf>
    <xf numFmtId="0" fontId="23" fillId="0" borderId="0" xfId="0" applyFont="1" applyProtection="1">
      <protection locked="1" hidden="1"/>
    </xf>
    <xf numFmtId="165" fontId="23" fillId="0" borderId="0" xfId="0" applyNumberFormat="1" applyFont="1" applyProtection="1">
      <protection locked="1" hidden="1"/>
    </xf>
    <xf numFmtId="0" fontId="23" fillId="0" borderId="0" xfId="0" applyFont="1" applyAlignment="1" applyProtection="1">
      <alignment horizontal="right"/>
      <protection locked="1" hidden="1"/>
    </xf>
    <xf numFmtId="165" fontId="0" fillId="0" borderId="6" xfId="0" applyNumberFormat="1" applyBorder="1" applyProtection="1">
      <protection locked="1" hidden="1"/>
    </xf>
    <xf numFmtId="0" fontId="0" fillId="0" borderId="6" xfId="0" applyBorder="1" applyAlignment="1" applyProtection="1">
      <alignment horizontal="right"/>
      <protection locked="1" hidden="1"/>
    </xf>
    <xf numFmtId="49" fontId="20" fillId="0" borderId="35" xfId="0" applyNumberFormat="1" applyFont="1" applyBorder="1" applyAlignment="1">
      <alignment horizontal="center" vertical="center" wrapText="1"/>
    </xf>
    <xf numFmtId="49" fontId="5" fillId="64" borderId="63" xfId="4" applyNumberFormat="1" applyFont="1" applyFill="1" applyBorder="1" applyAlignment="1" applyProtection="1">
      <alignment horizontal="left" vertical="center" wrapText="1"/>
      <protection locked="1" hidden="0"/>
    </xf>
    <xf numFmtId="0" fontId="20" fillId="64" borderId="63" xfId="0" applyFont="1" applyFill="1" applyBorder="1" applyAlignment="1">
      <alignment horizontal="left" vertical="center" wrapText="1"/>
    </xf>
    <xf numFmtId="169" fontId="0" fillId="64" borderId="63" xfId="4" applyFill="1" applyBorder="1" applyAlignment="1" applyProtection="1">
      <alignment horizontal="left" vertical="center" wrapText="1"/>
      <protection locked="1" hidden="0"/>
    </xf>
    <xf numFmtId="0" fontId="20" fillId="74" borderId="73" xfId="0" applyFont="1" applyFill="1" applyBorder="1" applyAlignment="1">
      <alignment horizontal="left" vertical="center" wrapText="1"/>
    </xf>
    <xf numFmtId="169" fontId="5" fillId="71" borderId="70" xfId="4" applyFont="1" applyFill="1" applyBorder="1" applyAlignment="1" applyProtection="1">
      <alignment horizontal="left" vertical="center" wrapText="1"/>
      <protection locked="1" hidden="0"/>
    </xf>
    <xf numFmtId="49" fontId="5" fillId="71" borderId="70" xfId="4" applyNumberFormat="1" applyFont="1" applyFill="1" applyBorder="1" applyAlignment="1" applyProtection="1">
      <alignment horizontal="left" vertical="center" wrapText="1"/>
      <protection locked="1" hidden="0"/>
    </xf>
    <xf numFmtId="49" fontId="5" fillId="75" borderId="74" xfId="0" applyNumberFormat="1" applyFont="1" applyFill="1" applyAlignment="1">
      <alignment horizontal="left" vertical="center" wrapText="1"/>
    </xf>
    <xf numFmtId="0" fontId="5" fillId="75" borderId="74" xfId="0" applyFont="1" applyFill="1" applyAlignment="1">
      <alignment horizontal="left" vertical="center"/>
    </xf>
    <xf numFmtId="49" fontId="0" fillId="71" borderId="70" xfId="4" applyNumberFormat="1" applyFill="1" applyBorder="1" applyAlignment="1" applyProtection="1">
      <alignment horizontal="left" vertical="center" wrapText="1"/>
      <protection locked="1" hidden="0"/>
    </xf>
    <xf numFmtId="169" fontId="0" fillId="71" borderId="70" xfId="4" applyFill="1" applyBorder="1" applyAlignment="1" applyProtection="1">
      <alignment horizontal="left" vertical="center" wrapText="1"/>
      <protection locked="1" hidden="0"/>
    </xf>
    <xf numFmtId="169" fontId="5" fillId="75" borderId="74" xfId="4" applyFont="1" applyFill="1" applyAlignment="1" applyProtection="1">
      <alignment horizontal="left" vertical="center" wrapText="1"/>
      <protection locked="1" hidden="0"/>
    </xf>
    <xf numFmtId="49" fontId="5" fillId="75" borderId="74" xfId="4" applyNumberFormat="1" applyFont="1" applyFill="1" applyAlignment="1" applyProtection="1">
      <alignment horizontal="left" vertical="center" wrapText="1"/>
      <protection locked="1" hidden="0"/>
    </xf>
    <xf numFmtId="169" fontId="5" fillId="76" borderId="75" xfId="4" applyFont="1" applyFill="1" applyAlignment="1" applyProtection="1">
      <alignment horizontal="left" vertical="center" wrapText="1"/>
      <protection locked="1" hidden="0"/>
    </xf>
    <xf numFmtId="0" fontId="5" fillId="0" borderId="0" xfId="0" applyFont="1" applyAlignment="1">
      <alignment horizontal="left" wrapText="1"/>
    </xf>
    <xf numFmtId="0" fontId="5" fillId="0" borderId="0" xfId="0" applyFont="1" applyAlignment="1">
      <alignment horizontal="left"/>
    </xf>
    <xf numFmtId="0" fontId="20" fillId="0" borderId="35" xfId="0" applyFont="1" applyBorder="1" applyAlignment="1">
      <alignment horizontal="left" vertical="center" wrapText="1"/>
    </xf>
    <xf numFmtId="0" fontId="20" fillId="0" borderId="35" xfId="0" applyFont="1" applyBorder="1" applyAlignment="1">
      <alignment horizontal="left" wrapText="1"/>
    </xf>
    <xf numFmtId="0" fontId="9" fillId="2" borderId="1" xfId="2" applyAlignment="1">
      <alignment horizontal="left"/>
    </xf>
    <xf numFmtId="0" fontId="22" fillId="0" borderId="35" xfId="0" applyFont="1" applyBorder="1" applyAlignment="1" applyProtection="1">
      <alignment horizontal="left" wrapText="1"/>
      <protection locked="0" hidden="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77" borderId="76"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75" borderId="74" xfId="0" applyNumberFormat="1" applyFill="1" applyAlignment="1">
      <alignment horizontal="left" vertical="center" wrapText="1"/>
    </xf>
    <xf numFmtId="0" fontId="0" fillId="75" borderId="74" xfId="0" applyFill="1" applyAlignment="1">
      <alignment horizontal="left" vertical="center"/>
    </xf>
    <xf numFmtId="0" fontId="0" fillId="75" borderId="74" xfId="0" applyFill="1" applyAlignment="1">
      <alignment horizontal="left"/>
    </xf>
    <xf numFmtId="0" fontId="0" fillId="75" borderId="74" xfId="0" applyFill="1" applyAlignment="1">
      <alignment horizontal="left" wrapText="1"/>
    </xf>
    <xf numFmtId="16" fontId="0" fillId="75" borderId="74" xfId="0" applyNumberFormat="1" applyFill="1" applyAlignment="1">
      <alignment horizontal="left"/>
    </xf>
    <xf numFmtId="0" fontId="0" fillId="70" borderId="69" xfId="0" applyFill="1" applyAlignment="1">
      <alignment horizontal="left" vertical="center"/>
    </xf>
    <xf numFmtId="0" fontId="9" fillId="2" borderId="1" xfId="2" applyAlignment="1">
      <alignment horizontal="left" vertical="center"/>
    </xf>
    <xf numFmtId="0" fontId="0" fillId="78" borderId="77" xfId="0" applyFill="1" applyBorder="1" applyAlignment="1">
      <alignment horizontal="left" vertical="center"/>
    </xf>
    <xf numFmtId="0" fontId="0" fillId="0" borderId="35" xfId="0" applyBorder="1" applyAlignment="1">
      <alignment horizontal="left" vertical="center"/>
    </xf>
    <xf numFmtId="0" fontId="9" fillId="2" borderId="1" xfId="2" applyAlignment="1">
      <alignment horizontal="left" vertical="center" wrapText="1"/>
    </xf>
    <xf numFmtId="0" fontId="0" fillId="79" borderId="78" xfId="0" applyFill="1" applyAlignment="1">
      <alignment horizontal="left" vertical="center"/>
    </xf>
    <xf numFmtId="0" fontId="0" fillId="79" borderId="78" xfId="0" applyFill="1" applyAlignment="1">
      <alignment horizontal="left"/>
    </xf>
    <xf numFmtId="49" fontId="0" fillId="79" borderId="78" xfId="0" applyNumberFormat="1" applyFill="1" applyAlignment="1">
      <alignment horizontal="left" vertical="center" wrapText="1"/>
    </xf>
    <xf numFmtId="169" fontId="5" fillId="79" borderId="78" xfId="4" applyFont="1" applyFill="1" applyAlignment="1" applyProtection="1">
      <alignment horizontal="left" vertical="center" wrapText="1"/>
      <protection locked="1" hidden="0"/>
    </xf>
    <xf numFmtId="0" fontId="0" fillId="79" borderId="78" xfId="0" applyFill="1" applyAlignment="1">
      <alignment horizontal="left" vertical="center" wrapText="1"/>
    </xf>
    <xf numFmtId="16" fontId="0" fillId="79" borderId="78" xfId="0" applyNumberFormat="1" applyFill="1" applyAlignment="1">
      <alignment horizontal="left"/>
    </xf>
    <xf numFmtId="49" fontId="5" fillId="79" borderId="78" xfId="4" applyNumberFormat="1" applyFont="1" applyFill="1" applyAlignment="1" applyProtection="1">
      <alignment horizontal="left" vertical="center" wrapText="1"/>
      <protection locked="1" hidden="0"/>
    </xf>
    <xf numFmtId="0" fontId="0" fillId="80" borderId="79" xfId="0" applyFill="1" applyBorder="1" applyAlignment="1">
      <alignment horizontal="left" vertical="center" wrapText="1"/>
    </xf>
    <xf numFmtId="0" fontId="5" fillId="78" borderId="77" xfId="0" applyFont="1" applyFill="1" applyBorder="1" applyAlignment="1" applyProtection="1">
      <alignment horizontal="left" vertical="center" wrapText="1"/>
      <protection locked="1" hidden="1"/>
    </xf>
    <xf numFmtId="0" fontId="5" fillId="79" borderId="78" xfId="0" applyFont="1" applyFill="1" applyAlignment="1">
      <alignment horizontal="left"/>
    </xf>
    <xf numFmtId="0" fontId="5" fillId="78" borderId="77" xfId="0" applyFont="1" applyFill="1" applyBorder="1" applyAlignment="1" applyProtection="1">
      <alignment horizontal="left" vertical="top" wrapText="1"/>
      <protection locked="1" hidden="1"/>
    </xf>
    <xf numFmtId="0" fontId="0" fillId="79" borderId="78" xfId="0" applyFill="1" applyAlignment="1">
      <alignment horizontal="left" vertical="top" wrapText="1"/>
    </xf>
    <xf numFmtId="0" fontId="0" fillId="78" borderId="77" xfId="0" applyFill="1" applyBorder="1" applyAlignment="1" applyProtection="1">
      <alignment horizontal="left" vertical="center" wrapText="1"/>
      <protection locked="1" hidden="1"/>
    </xf>
    <xf numFmtId="0" fontId="0" fillId="81" borderId="80" xfId="0" applyFill="1" applyBorder="1" applyAlignment="1" applyProtection="1">
      <alignment horizontal="left" vertical="center" wrapText="1"/>
      <protection locked="1" hidden="1"/>
    </xf>
    <xf numFmtId="0" fontId="5" fillId="81" borderId="80" xfId="0" applyFont="1" applyFill="1" applyBorder="1" applyAlignment="1" applyProtection="1">
      <alignment horizontal="left" vertical="center" wrapText="1"/>
      <protection locked="1" hidden="1"/>
    </xf>
    <xf numFmtId="169" fontId="0" fillId="82" borderId="81" xfId="4" applyFill="1" applyBorder="1" applyProtection="1">
      <alignment horizontal="center" vertical="center" wrapText="1"/>
      <protection locked="1" hidden="0"/>
    </xf>
    <xf numFmtId="169" fontId="5" fillId="82" borderId="81" xfId="4" applyFont="1" applyFill="1" applyBorder="1" applyProtection="1">
      <alignment horizontal="center" vertical="center" wrapText="1"/>
      <protection locked="1" hidden="0"/>
    </xf>
    <xf numFmtId="169" fontId="0" fillId="83" borderId="82" xfId="4" applyFill="1" applyBorder="1" applyProtection="1">
      <alignment horizontal="center" vertical="center" wrapText="1"/>
      <protection locked="1" hidden="0"/>
    </xf>
    <xf numFmtId="169" fontId="0" fillId="84" borderId="83" xfId="4" applyFill="1" applyBorder="1" applyProtection="1">
      <alignment horizontal="center" vertical="center" wrapText="1"/>
      <protection locked="1" hidden="0"/>
    </xf>
    <xf numFmtId="0" fontId="0" fillId="79" borderId="78" xfId="0" applyFill="1"/>
    <xf numFmtId="0" fontId="0" fillId="79" borderId="78" xfId="0" applyFill="1" applyAlignment="1">
      <alignment horizontal="center" vertical="center"/>
    </xf>
    <xf numFmtId="0" fontId="0" fillId="79" borderId="78" xfId="0" applyFill="1" applyAlignment="1">
      <alignment horizontal="left" wrapText="1"/>
    </xf>
    <xf numFmtId="0" fontId="20" fillId="78" borderId="77" xfId="0" applyFont="1" applyFill="1" applyBorder="1" applyAlignment="1">
      <alignment horizontal="center" vertical="center" wrapText="1"/>
    </xf>
    <xf numFmtId="49" fontId="0" fillId="79" borderId="78" xfId="0" applyNumberFormat="1" applyFill="1" applyAlignment="1">
      <alignment horizontal="center" vertical="center" wrapText="1"/>
    </xf>
    <xf numFmtId="0" fontId="0" fillId="85" borderId="84" xfId="0" applyFill="1" applyBorder="1"/>
    <xf numFmtId="0" fontId="0" fillId="85" borderId="84" xfId="0" applyFill="1" applyBorder="1" applyAlignment="1">
      <alignment horizontal="center" vertical="center"/>
    </xf>
    <xf numFmtId="0" fontId="0" fillId="85" borderId="84" xfId="0" applyFill="1" applyBorder="1" applyAlignment="1">
      <alignment horizontal="left" vertical="center"/>
    </xf>
    <xf numFmtId="49" fontId="0" fillId="85" borderId="84" xfId="0" applyNumberFormat="1" applyFill="1" applyBorder="1" applyAlignment="1">
      <alignment horizontal="left" vertical="center" wrapText="1"/>
    </xf>
    <xf numFmtId="169" fontId="5" fillId="86" borderId="85" xfId="4" applyFont="1" applyFill="1" applyBorder="1" applyAlignment="1" applyProtection="1">
      <alignment horizontal="left" vertical="center" wrapText="1"/>
      <protection locked="1" hidden="0"/>
    </xf>
    <xf numFmtId="0" fontId="0" fillId="0" borderId="0" xfId="0" applyAlignment="1">
      <alignment horizontal="center" vertical="center" wrapText="1"/>
    </xf>
    <xf numFmtId="0" fontId="13" fillId="3" borderId="2" xfId="3" applyFont="1" applyAlignment="1">
      <alignment horizontal="center" vertical="center" wrapText="1"/>
    </xf>
    <xf numFmtId="0" fontId="18" fillId="0" borderId="0" xfId="0" applyFont="1" applyAlignment="1" applyProtection="1">
      <alignment vertical="center" wrapText="1"/>
      <protection locked="1" hidden="1"/>
    </xf>
    <xf numFmtId="0" fontId="0" fillId="0" borderId="0" xfId="0" applyAlignment="1">
      <alignment vertical="center" wrapText="1"/>
    </xf>
    <xf numFmtId="3" fontId="0" fillId="26" borderId="25" xfId="0" applyNumberFormat="1" applyFill="1" applyBorder="1" applyAlignment="1" applyProtection="1">
      <alignment horizontal="center" vertical="center"/>
      <protection locked="1" hidden="1"/>
    </xf>
    <xf numFmtId="3" fontId="0" fillId="0" borderId="26" xfId="0" applyNumberFormat="1" applyBorder="1" applyAlignment="1" applyProtection="1">
      <alignment horizontal="center" vertical="center"/>
      <protection locked="1" hidden="1"/>
    </xf>
    <xf numFmtId="3" fontId="0" fillId="87" borderId="86" xfId="0" applyNumberFormat="1" applyFill="1" applyBorder="1" applyAlignment="1" applyProtection="1">
      <alignment horizontal="center" vertical="center"/>
      <protection locked="1" hidden="1"/>
    </xf>
    <xf numFmtId="3" fontId="0" fillId="26" borderId="25" xfId="0" applyNumberFormat="1" applyFill="1" applyBorder="1" applyAlignment="1" applyProtection="1">
      <alignment horizontal="center" vertical="center"/>
      <protection locked="0" hidden="0"/>
    </xf>
    <xf numFmtId="3" fontId="0" fillId="0" borderId="26" xfId="0" applyNumberFormat="1" applyBorder="1" applyAlignment="1" applyProtection="1">
      <alignment horizontal="center" vertical="center"/>
      <protection locked="0" hidden="0"/>
    </xf>
    <xf numFmtId="3" fontId="0" fillId="0" borderId="87" xfId="0" applyNumberFormat="1" applyBorder="1" applyAlignment="1" applyProtection="1">
      <alignment horizontal="center" vertical="center"/>
      <protection locked="0" hidden="0"/>
    </xf>
    <xf numFmtId="3" fontId="0" fillId="0" borderId="87" xfId="0" applyNumberFormat="1" applyBorder="1" applyAlignment="1" applyProtection="1">
      <alignment horizontal="center" vertical="center"/>
      <protection locked="1" hidden="1"/>
    </xf>
    <xf numFmtId="0" fontId="5" fillId="79" borderId="78" xfId="0" applyFont="1" applyFill="1"/>
    <xf numFmtId="0" fontId="5" fillId="85" borderId="84" xfId="0" applyFont="1" applyFill="1" applyBorder="1"/>
    <xf numFmtId="169" fontId="5" fillId="89" borderId="88" xfId="4" applyFont="1" applyFill="1" applyBorder="1" applyAlignment="1" applyProtection="1">
      <alignment horizontal="left" vertical="center" wrapText="1"/>
      <protection locked="1" hidden="0"/>
    </xf>
    <xf numFmtId="169" fontId="0" fillId="89" borderId="88" xfId="4" applyFill="1" applyBorder="1" applyAlignment="1" applyProtection="1">
      <alignment horizontal="left" vertical="center" wrapText="1"/>
      <protection locked="1" hidden="0"/>
    </xf>
    <xf numFmtId="0" fontId="20" fillId="0" borderId="0" xfId="0" applyFont="1" applyAlignment="1">
      <alignment horizontal="left" vertical="center" wrapText="1"/>
    </xf>
    <xf numFmtId="169" fontId="0" fillId="90" borderId="89" xfId="4" applyFill="1" applyBorder="1" applyAlignment="1" applyProtection="1">
      <alignment horizontal="left" vertical="center" wrapText="1"/>
      <protection locked="1" hidden="0"/>
    </xf>
    <xf numFmtId="169" fontId="0" fillId="91" borderId="90" xfId="4" applyFill="1" applyBorder="1" applyAlignment="1" applyProtection="1">
      <alignment horizontal="left" vertical="center" wrapText="1"/>
      <protection locked="1" hidden="0"/>
    </xf>
    <xf numFmtId="169" fontId="5" fillId="91" borderId="90" xfId="4" applyFont="1" applyFill="1" applyBorder="1" applyAlignment="1" applyProtection="1">
      <alignment horizontal="left" vertical="center" wrapText="1"/>
      <protection locked="1" hidden="0"/>
    </xf>
    <xf numFmtId="169" fontId="5" fillId="92" borderId="91" xfId="4" applyFont="1" applyFill="1" applyBorder="1" applyAlignment="1" applyProtection="1">
      <alignment horizontal="left" vertical="center" wrapText="1"/>
      <protection locked="1" hidden="0"/>
    </xf>
    <xf numFmtId="169" fontId="5" fillId="93" borderId="92" xfId="4" applyFont="1" applyFill="1" applyBorder="1" applyAlignment="1" applyProtection="1">
      <alignment horizontal="left" vertical="center" wrapText="1"/>
      <protection locked="1" hidden="0"/>
    </xf>
    <xf numFmtId="49" fontId="0" fillId="93" borderId="92" xfId="4" applyNumberFormat="1" applyFill="1" applyBorder="1" applyAlignment="1" applyProtection="1">
      <alignment horizontal="left" vertical="center" wrapText="1"/>
      <protection locked="1" hidden="0"/>
    </xf>
    <xf numFmtId="49" fontId="5" fillId="93" borderId="92" xfId="4" applyNumberFormat="1" applyFont="1" applyFill="1" applyBorder="1" applyAlignment="1" applyProtection="1">
      <alignment horizontal="left" vertical="center" wrapText="1"/>
      <protection locked="1" hidden="0"/>
    </xf>
    <xf numFmtId="169" fontId="0" fillId="93" borderId="92" xfId="4" applyFill="1" applyBorder="1" applyAlignment="1" applyProtection="1">
      <alignment horizontal="left" vertical="center" wrapText="1"/>
      <protection locked="1" hidden="0"/>
    </xf>
    <xf numFmtId="0" fontId="20" fillId="79" borderId="78" xfId="0" applyFont="1" applyFill="1" applyAlignment="1">
      <alignment horizontal="left" vertical="center" wrapText="1"/>
    </xf>
    <xf numFmtId="0" fontId="20" fillId="79" borderId="78" xfId="0" applyFont="1" applyFill="1" applyAlignment="1">
      <alignment horizontal="left" wrapText="1"/>
    </xf>
    <xf numFmtId="0" fontId="20" fillId="79" borderId="78" xfId="0" applyFont="1" applyFill="1" applyAlignment="1">
      <alignment horizontal="left" vertical="top" wrapText="1"/>
    </xf>
    <xf numFmtId="0" fontId="0" fillId="94" borderId="93" xfId="0" applyFill="1" applyAlignment="1" applyProtection="1">
      <alignment vertical="center" wrapText="1"/>
      <protection locked="1" hidden="1"/>
    </xf>
    <xf numFmtId="0" fontId="5" fillId="94" borderId="93" xfId="0" applyFont="1" applyFill="1" applyAlignment="1" applyProtection="1">
      <alignment vertical="center" wrapText="1"/>
      <protection locked="1" hidden="1"/>
    </xf>
    <xf numFmtId="0" fontId="5" fillId="0" borderId="0" xfId="0" applyFont="1" applyAlignment="1" applyProtection="1">
      <alignment vertical="center" wrapText="1"/>
      <protection locked="1" hidden="1"/>
    </xf>
    <xf numFmtId="0" fontId="0" fillId="79" borderId="78" xfId="0" applyFill="1" applyAlignment="1" applyProtection="1">
      <alignment vertical="center" wrapText="1"/>
      <protection locked="1" hidden="1"/>
    </xf>
    <xf numFmtId="3" fontId="5" fillId="95" borderId="94" xfId="0" applyNumberFormat="1" applyFont="1" applyFill="1" applyBorder="1" applyAlignment="1" applyProtection="1">
      <alignment horizontal="right" vertical="center"/>
      <protection locked="1" hidden="1"/>
    </xf>
    <xf numFmtId="49" fontId="0" fillId="0" borderId="0" xfId="9" applyBorder="1" applyAlignment="1" applyProtection="1">
      <alignment horizontal="right" vertical="center" indent="1"/>
      <protection locked="1" hidden="0"/>
      <extLst>
        <ext uri="smNativeData">
          <pm:cellMargin xmlns:pm="smNativeData" id="1714042646" l="0" r="192" t="0" b="0" textRotation="0"/>
        </ext>
      </extLst>
    </xf>
    <xf numFmtId="3" fontId="5" fillId="0" borderId="0" xfId="0" applyNumberFormat="1" applyFont="1" applyAlignment="1" applyProtection="1">
      <alignment horizontal="right" vertical="center"/>
      <protection locked="1" hidden="1"/>
    </xf>
    <xf numFmtId="3" fontId="5" fillId="96" borderId="95" xfId="0" applyNumberFormat="1" applyFont="1" applyFill="1" applyBorder="1" applyAlignment="1" applyProtection="1">
      <alignment horizontal="right" vertical="center"/>
      <protection locked="1" hidden="1"/>
    </xf>
    <xf numFmtId="168" fontId="0" fillId="17" borderId="16" xfId="0" applyNumberFormat="1" applyFill="1" applyBorder="1" applyAlignment="1" applyProtection="1">
      <alignment horizontal="right" vertical="center"/>
      <protection locked="0" hidden="0"/>
    </xf>
    <xf numFmtId="3" fontId="0" fillId="0" borderId="17" xfId="0" applyNumberFormat="1" applyBorder="1" applyAlignment="1" applyProtection="1">
      <alignment horizontal="right" vertical="center"/>
      <protection locked="0" hidden="0"/>
    </xf>
    <xf numFmtId="0" fontId="12" fillId="65" borderId="64" xfId="0" applyFont="1" applyFill="1" applyBorder="1" applyProtection="1">
      <protection locked="1" hidden="1"/>
    </xf>
    <xf numFmtId="0" fontId="12" fillId="66" borderId="65" xfId="0" applyFont="1" applyFill="1" applyBorder="1" applyProtection="1">
      <protection locked="1" hidden="1"/>
    </xf>
    <xf numFmtId="3" fontId="5" fillId="0" borderId="96" xfId="0" applyNumberFormat="1" applyFont="1" applyBorder="1" applyAlignment="1" applyProtection="1">
      <alignment horizontal="right" vertical="center"/>
      <protection locked="1" hidden="1"/>
    </xf>
    <xf numFmtId="3" fontId="5" fillId="0" borderId="97" xfId="0" applyNumberFormat="1" applyFont="1" applyBorder="1" applyAlignment="1" applyProtection="1">
      <alignment horizontal="right" vertical="center"/>
      <protection locked="1" hidden="1"/>
    </xf>
    <xf numFmtId="0" fontId="12" fillId="99" borderId="98" xfId="0" applyFont="1" applyFill="1" applyBorder="1" applyAlignment="1" applyProtection="1">
      <alignment horizontal="center"/>
      <protection locked="1" hidden="1"/>
    </xf>
    <xf numFmtId="0" fontId="12" fillId="100" borderId="99" xfId="0" applyFont="1" applyFill="1" applyBorder="1" applyAlignment="1" applyProtection="1">
      <alignment horizontal="center"/>
      <protection locked="1" hidden="1"/>
    </xf>
    <xf numFmtId="174" fontId="0" fillId="14" borderId="13" xfId="0" applyNumberFormat="1" applyFill="1" applyBorder="1" applyAlignment="1" applyProtection="1">
      <alignment horizontal="right" vertical="center" wrapText="1"/>
      <protection locked="0" hidden="0"/>
    </xf>
    <xf numFmtId="174" fontId="0" fillId="17" borderId="16" xfId="0" applyNumberFormat="1" applyFill="1" applyBorder="1" applyAlignment="1" applyProtection="1">
      <alignment horizontal="right" vertical="center" wrapText="1"/>
      <protection locked="0" hidden="0"/>
    </xf>
    <xf numFmtId="174" fontId="0" fillId="0" borderId="14" xfId="0" applyNumberFormat="1" applyBorder="1" applyAlignment="1" applyProtection="1">
      <alignment horizontal="right" vertical="center" wrapText="1"/>
      <protection locked="0" hidden="0"/>
    </xf>
    <xf numFmtId="174" fontId="0" fillId="0" borderId="15" xfId="0" applyNumberFormat="1" applyBorder="1" applyAlignment="1" applyProtection="1">
      <alignment horizontal="right" vertical="center" wrapText="1"/>
      <protection locked="0" hidden="0"/>
    </xf>
    <xf numFmtId="167" fontId="5" fillId="55" borderId="54" xfId="1" applyFont="1" applyFill="1" applyBorder="1" applyProtection="1">
      <alignment horizontal="center" vertical="center"/>
      <protection locked="1" hidden="0"/>
    </xf>
    <xf numFmtId="3" fontId="5" fillId="55" borderId="54" xfId="0" applyNumberFormat="1" applyFont="1" applyFill="1" applyBorder="1" applyAlignment="1" applyProtection="1">
      <alignment horizontal="right" vertical="center"/>
      <protection locked="1" hidden="1"/>
    </xf>
    <xf numFmtId="3" fontId="5" fillId="101" borderId="100" xfId="0" applyNumberFormat="1" applyFont="1" applyFill="1" applyBorder="1" applyAlignment="1" applyProtection="1">
      <alignment horizontal="right" vertical="center"/>
      <protection locked="1" hidden="1"/>
    </xf>
    <xf numFmtId="3" fontId="0" fillId="0" borderId="6" xfId="0" applyNumberFormat="1" applyBorder="1" applyAlignment="1" applyProtection="1">
      <alignment horizontal="center" vertical="center"/>
      <protection locked="1" hidden="1"/>
    </xf>
    <xf numFmtId="49" fontId="0" fillId="0" borderId="6" xfId="9" applyAlignment="1" applyProtection="1">
      <alignment horizontal="left" vertical="center" indent="1"/>
      <protection locked="1" hidden="0"/>
    </xf>
    <xf numFmtId="0" fontId="0" fillId="0" borderId="6" xfId="0" applyBorder="1" applyAlignment="1" applyProtection="1">
      <alignment horizontal="left" vertical="center"/>
      <protection locked="1" hidden="1"/>
    </xf>
    <xf numFmtId="0" fontId="26" fillId="0" borderId="0" xfId="0" applyFont="1" applyProtection="1">
      <protection locked="1" hidden="1"/>
    </xf>
    <xf numFmtId="0" fontId="25" fillId="0" borderId="0" xfId="0" applyFont="1" applyProtection="1">
      <protection locked="1" hidden="1"/>
    </xf>
    <xf numFmtId="3" fontId="0" fillId="69" borderId="68" xfId="0" applyNumberFormat="1" applyFill="1" applyBorder="1" applyAlignment="1" applyProtection="1">
      <alignment horizontal="right" vertical="center"/>
      <protection locked="0" hidden="0"/>
    </xf>
    <xf numFmtId="167" fontId="5" fillId="0" borderId="101" xfId="1" applyFont="1" applyBorder="1" applyProtection="1">
      <alignment horizontal="center" vertical="center"/>
      <protection locked="1" hidden="0"/>
    </xf>
    <xf numFmtId="3" fontId="0" fillId="0" borderId="102" xfId="0" applyNumberFormat="1" applyBorder="1" applyAlignment="1" applyProtection="1">
      <alignment horizontal="right" vertical="center"/>
      <protection locked="0" hidden="0"/>
    </xf>
    <xf numFmtId="3" fontId="0" fillId="0" borderId="96" xfId="0" applyNumberFormat="1" applyBorder="1" applyAlignment="1" applyProtection="1">
      <alignment horizontal="right" vertical="center"/>
      <protection locked="0" hidden="0"/>
    </xf>
    <xf numFmtId="3" fontId="0" fillId="104" borderId="103" xfId="0" applyNumberFormat="1" applyFill="1" applyBorder="1" applyAlignment="1" applyProtection="1">
      <alignment horizontal="right" vertical="center"/>
      <protection locked="0" hidden="0"/>
    </xf>
    <xf numFmtId="3" fontId="5" fillId="105" borderId="104" xfId="0" applyNumberFormat="1" applyFont="1" applyFill="1" applyBorder="1" applyAlignment="1" applyProtection="1">
      <alignment horizontal="right" vertical="center"/>
      <protection locked="1" hidden="1"/>
    </xf>
    <xf numFmtId="3" fontId="5" fillId="106" borderId="105" xfId="0" applyNumberFormat="1" applyFont="1" applyFill="1" applyBorder="1" applyAlignment="1" applyProtection="1">
      <alignment horizontal="right" vertical="center"/>
      <protection locked="1" hidden="1"/>
    </xf>
    <xf numFmtId="0" fontId="0" fillId="70" borderId="69" xfId="0" applyFill="1" applyAlignment="1">
      <alignment vertical="center"/>
    </xf>
    <xf numFmtId="0" fontId="4" fillId="0" borderId="6" xfId="0" applyFont="1" applyBorder="1" applyAlignment="1" applyProtection="1">
      <alignment horizontal="left" vertical="center"/>
      <protection locked="1" hidden="1"/>
    </xf>
    <xf numFmtId="3" fontId="5" fillId="0" borderId="17" xfId="0" applyNumberFormat="1" applyFont="1" applyBorder="1" applyAlignment="1" applyProtection="1">
      <alignment horizontal="right" vertical="center"/>
      <protection locked="0" hidden="0"/>
    </xf>
    <xf numFmtId="3" fontId="5" fillId="0" borderId="106" xfId="0" applyNumberFormat="1" applyFont="1" applyBorder="1" applyAlignment="1" applyProtection="1">
      <alignment horizontal="right" vertical="center"/>
      <protection locked="0" hidden="0"/>
    </xf>
    <xf numFmtId="3" fontId="5" fillId="0" borderId="107" xfId="0" applyNumberFormat="1" applyFont="1" applyBorder="1" applyAlignment="1" applyProtection="1">
      <alignment horizontal="right" vertical="center"/>
      <protection locked="0" hidden="0"/>
    </xf>
    <xf numFmtId="0" fontId="18" fillId="0" borderId="0" xfId="0" applyFont="1" applyAlignment="1" applyProtection="1">
      <alignment horizontal="right"/>
      <protection locked="1" hidden="1"/>
    </xf>
    <xf numFmtId="0" fontId="18" fillId="0" borderId="0" xfId="0" applyFont="1" applyProtection="1">
      <protection locked="1" hidden="1"/>
    </xf>
    <xf numFmtId="0" fontId="18" fillId="0" borderId="0" xfId="0" applyFont="1" applyAlignment="1" applyProtection="1">
      <alignment horizontal="center" vertical="center"/>
      <protection locked="1" hidden="1"/>
    </xf>
    <xf numFmtId="0" fontId="18" fillId="0" borderId="0" xfId="0" applyFont="1" applyAlignment="1">
      <alignment wrapText="1"/>
    </xf>
    <xf numFmtId="169" fontId="18" fillId="26" borderId="25" xfId="4" applyFont="1" applyFill="1" applyBorder="1" applyProtection="1">
      <alignment horizontal="center" vertical="center" wrapText="1"/>
      <protection locked="1" hidden="0"/>
    </xf>
    <xf numFmtId="3" fontId="0" fillId="0" borderId="21" xfId="0" applyNumberFormat="1" applyBorder="1" applyAlignment="1" applyProtection="1">
      <alignment horizontal="right" vertical="center"/>
      <protection locked="1" hidden="1"/>
    </xf>
    <xf numFmtId="169" fontId="18" fillId="0" borderId="26" xfId="4" applyFont="1" applyBorder="1" applyProtection="1">
      <alignment horizontal="center" vertical="center" wrapText="1"/>
      <protection locked="1" hidden="0"/>
    </xf>
    <xf numFmtId="0" fontId="21" fillId="28" borderId="27" xfId="0" applyFont="1" applyFill="1" applyBorder="1" applyAlignment="1" applyProtection="1">
      <alignment horizontal="center"/>
      <protection locked="1" hidden="1"/>
    </xf>
    <xf numFmtId="169" fontId="18" fillId="56" borderId="55" xfId="4" applyFont="1" applyFill="1" applyBorder="1" applyProtection="1">
      <alignment horizontal="center" vertical="center" wrapText="1"/>
      <protection locked="1" hidden="0"/>
    </xf>
    <xf numFmtId="0" fontId="18" fillId="0" borderId="6" xfId="0" applyFont="1" applyBorder="1" applyAlignment="1" applyProtection="1">
      <alignment horizontal="right" vertical="center"/>
      <protection locked="1" hidden="1"/>
    </xf>
    <xf numFmtId="3" fontId="0" fillId="0" borderId="22" xfId="0" applyNumberFormat="1" applyBorder="1" applyAlignment="1" applyProtection="1">
      <alignment horizontal="right" vertical="center"/>
      <protection locked="1" hidden="1"/>
    </xf>
    <xf numFmtId="3" fontId="0" fillId="14" borderId="13" xfId="0" applyNumberFormat="1" applyFill="1" applyBorder="1" applyAlignment="1" applyProtection="1">
      <alignment horizontal="right" vertical="center" wrapText="1"/>
      <protection locked="1" hidden="1"/>
    </xf>
    <xf numFmtId="3" fontId="0" fillId="17" borderId="16" xfId="0" applyNumberFormat="1" applyFill="1" applyBorder="1" applyAlignment="1" applyProtection="1">
      <alignment horizontal="right" vertical="center" wrapText="1"/>
      <protection locked="1" hidden="1"/>
    </xf>
    <xf numFmtId="169" fontId="5" fillId="0" borderId="29" xfId="4" applyFont="1" applyBorder="1" applyProtection="1">
      <alignment horizontal="center" vertical="center" wrapText="1"/>
      <protection locked="1" hidden="0"/>
    </xf>
    <xf numFmtId="3" fontId="0" fillId="17" borderId="16" xfId="0" applyNumberFormat="1" applyFill="1" applyBorder="1" applyAlignment="1" applyProtection="1">
      <alignment horizontal="right" vertical="center"/>
      <protection locked="1" hidden="1"/>
    </xf>
    <xf numFmtId="3" fontId="0" fillId="0" borderId="15" xfId="0" applyNumberFormat="1" applyBorder="1" applyAlignment="1" applyProtection="1">
      <alignment horizontal="right" vertical="center"/>
      <protection locked="1" hidden="1"/>
    </xf>
    <xf numFmtId="0" fontId="12" fillId="109" borderId="108" xfId="0" applyFont="1" applyFill="1" applyBorder="1" applyAlignment="1" applyProtection="1">
      <alignment horizontal="center"/>
      <protection locked="1" hidden="1"/>
    </xf>
    <xf numFmtId="0" fontId="5" fillId="79" borderId="78" xfId="0" applyFont="1" applyFill="1" applyAlignment="1">
      <alignment horizontal="left" wrapText="1"/>
    </xf>
    <xf numFmtId="0" fontId="5" fillId="85" borderId="84" xfId="0" applyFont="1" applyFill="1" applyBorder="1" applyAlignment="1">
      <alignment horizontal="left"/>
    </xf>
    <xf numFmtId="3" fontId="5" fillId="0" borderId="15" xfId="0" applyNumberFormat="1" applyFont="1" applyBorder="1" applyAlignment="1" applyProtection="1">
      <alignment horizontal="right" vertical="center"/>
      <protection locked="0" hidden="1"/>
    </xf>
    <xf numFmtId="3" fontId="5" fillId="96" borderId="95" xfId="0" applyNumberFormat="1" applyFont="1" applyFill="1" applyBorder="1" applyAlignment="1" applyProtection="1">
      <alignment horizontal="right" vertical="center"/>
      <protection locked="0" hidden="1"/>
    </xf>
    <xf numFmtId="4" fontId="0" fillId="0" borderId="14" xfId="0" applyNumberFormat="1" applyBorder="1" applyAlignment="1" applyProtection="1">
      <alignment horizontal="right" vertical="center"/>
      <protection locked="0" hidden="0"/>
    </xf>
    <xf numFmtId="4" fontId="0" fillId="0" borderId="15" xfId="0" applyNumberFormat="1" applyBorder="1" applyAlignment="1" applyProtection="1">
      <alignment horizontal="right" vertical="center"/>
      <protection locked="0" hidden="0"/>
    </xf>
    <xf numFmtId="4" fontId="0" fillId="55" borderId="54" xfId="0" applyNumberFormat="1" applyFill="1" applyBorder="1" applyAlignment="1" applyProtection="1">
      <alignment horizontal="right" vertical="center"/>
      <protection locked="0" hidden="0"/>
    </xf>
    <xf numFmtId="4" fontId="0" fillId="101" borderId="100" xfId="0" applyNumberFormat="1" applyFill="1" applyBorder="1" applyAlignment="1" applyProtection="1">
      <alignment horizontal="right" vertical="center"/>
      <protection locked="0" hidden="0"/>
    </xf>
    <xf numFmtId="172" fontId="0" fillId="0" borderId="14" xfId="0" applyNumberFormat="1" applyBorder="1" applyAlignment="1" applyProtection="1">
      <alignment horizontal="right" vertical="center"/>
      <protection locked="0" hidden="0"/>
    </xf>
    <xf numFmtId="172" fontId="0" fillId="0" borderId="15" xfId="0" applyNumberFormat="1" applyBorder="1" applyAlignment="1" applyProtection="1">
      <alignment horizontal="right" vertical="center"/>
      <protection locked="0" hidden="0"/>
    </xf>
    <xf numFmtId="0" fontId="12" fillId="110" borderId="109" xfId="0" applyFont="1" applyFill="1" applyBorder="1" applyAlignment="1" applyProtection="1">
      <alignment horizontal="center" vertical="center" wrapText="1"/>
      <protection locked="1" hidden="1"/>
    </xf>
    <xf numFmtId="3" fontId="5" fillId="0" borderId="110" xfId="0" applyNumberFormat="1" applyFont="1" applyBorder="1" applyAlignment="1" applyProtection="1">
      <alignment horizontal="right" vertical="center"/>
      <protection locked="0" hidden="0"/>
    </xf>
    <xf numFmtId="3" fontId="0" fillId="96" borderId="95" xfId="0" applyNumberFormat="1" applyFill="1" applyBorder="1" applyAlignment="1" applyProtection="1">
      <alignment horizontal="right" vertical="center"/>
      <protection locked="0" hidden="1"/>
    </xf>
    <xf numFmtId="3" fontId="0" fillId="0" borderId="15" xfId="0" applyNumberFormat="1" applyBorder="1" applyAlignment="1" applyProtection="1">
      <alignment horizontal="right" vertical="center"/>
      <protection locked="0" hidden="1"/>
    </xf>
    <xf numFmtId="3" fontId="0" fillId="73" borderId="72" xfId="0" applyNumberFormat="1" applyFill="1" applyBorder="1" applyAlignment="1" applyProtection="1">
      <alignment horizontal="right" vertical="center"/>
      <protection locked="1" hidden="1"/>
    </xf>
    <xf numFmtId="3" fontId="0" fillId="50" borderId="49" xfId="0" applyNumberFormat="1" applyFill="1" applyBorder="1" applyAlignment="1" applyProtection="1">
      <alignment horizontal="right" vertical="center"/>
      <protection locked="0" hidden="0"/>
    </xf>
    <xf numFmtId="3" fontId="0" fillId="55" borderId="54" xfId="0" applyNumberFormat="1" applyFill="1" applyBorder="1" applyAlignment="1" applyProtection="1">
      <alignment horizontal="right" vertical="center"/>
      <protection locked="0" hidden="0"/>
    </xf>
    <xf numFmtId="3" fontId="5" fillId="0" borderId="22" xfId="0" applyNumberFormat="1" applyFont="1" applyBorder="1" applyAlignment="1" applyProtection="1">
      <alignment horizontal="right" vertical="center" wrapText="1"/>
      <protection locked="1" hidden="1"/>
    </xf>
    <xf numFmtId="1" fontId="0" fillId="14" borderId="13" xfId="1" applyNumberFormat="1" applyFill="1" applyBorder="1" applyProtection="1">
      <alignment horizontal="center" vertical="center"/>
      <protection locked="0" hidden="1"/>
    </xf>
    <xf numFmtId="3" fontId="5" fillId="0" borderId="96" xfId="0" applyNumberFormat="1" applyFont="1" applyBorder="1" applyAlignment="1" applyProtection="1">
      <alignment horizontal="right" vertical="center" wrapText="1"/>
      <protection locked="1" hidden="1"/>
    </xf>
    <xf numFmtId="167" fontId="5" fillId="0" borderId="96" xfId="1" applyFont="1" applyBorder="1" applyProtection="1">
      <alignment horizontal="center" vertical="center"/>
      <protection locked="1" hidden="0"/>
    </xf>
    <xf numFmtId="167" fontId="5" fillId="112" borderId="111" xfId="1" applyFont="1" applyFill="1" applyBorder="1" applyProtection="1">
      <alignment horizontal="center" vertical="center"/>
      <protection locked="1" hidden="0"/>
    </xf>
    <xf numFmtId="0" fontId="0" fillId="0" borderId="6" xfId="0" applyBorder="1" applyAlignment="1" applyProtection="1">
      <alignment horizontal="center" vertical="center"/>
      <protection locked="1" hidden="1"/>
    </xf>
    <xf numFmtId="174" fontId="0" fillId="55" borderId="54" xfId="0" applyNumberFormat="1" applyFill="1" applyBorder="1" applyAlignment="1" applyProtection="1">
      <alignment horizontal="right" vertical="center" wrapText="1"/>
      <protection locked="0" hidden="0"/>
    </xf>
    <xf numFmtId="174" fontId="0" fillId="101" borderId="100" xfId="0" applyNumberFormat="1" applyFill="1" applyBorder="1" applyAlignment="1" applyProtection="1">
      <alignment horizontal="right" vertical="center" wrapText="1"/>
      <protection locked="0" hidden="0"/>
    </xf>
    <xf numFmtId="0" fontId="27" fillId="0" borderId="0" xfId="0" applyFont="1" applyProtection="1">
      <protection locked="1" hidden="1"/>
    </xf>
    <xf numFmtId="1" fontId="0" fillId="113" borderId="112" xfId="1" applyNumberFormat="1" applyFill="1" applyBorder="1" applyProtection="1">
      <alignment horizontal="center" vertical="center"/>
      <protection locked="0" hidden="1"/>
    </xf>
    <xf numFmtId="1" fontId="0" fillId="0" borderId="14" xfId="1" applyNumberFormat="1" applyBorder="1" applyProtection="1">
      <alignment horizontal="center" vertical="center"/>
      <protection locked="0" hidden="1"/>
    </xf>
    <xf numFmtId="1" fontId="0" fillId="55" borderId="54" xfId="1" applyNumberFormat="1" applyFill="1" applyBorder="1" applyProtection="1">
      <alignment horizontal="center" vertical="center"/>
      <protection locked="0" hidden="1"/>
    </xf>
    <xf numFmtId="173" fontId="0" fillId="14" borderId="13" xfId="13" applyNumberFormat="1" applyFill="1" applyBorder="1" applyAlignment="1" applyProtection="1">
      <alignment horizontal="right" vertical="center"/>
      <protection locked="0" hidden="1"/>
    </xf>
    <xf numFmtId="0" fontId="0" fillId="0" borderId="14" xfId="0" applyBorder="1" applyAlignment="1" applyProtection="1">
      <alignment horizontal="right" vertical="center" wrapText="1"/>
      <protection locked="0" hidden="0"/>
    </xf>
    <xf numFmtId="3" fontId="5" fillId="112" borderId="111" xfId="0" applyNumberFormat="1" applyFont="1" applyFill="1" applyBorder="1" applyAlignment="1" applyProtection="1">
      <alignment horizontal="right" vertical="center" wrapText="1"/>
      <protection locked="1" hidden="1"/>
    </xf>
    <xf numFmtId="3" fontId="5" fillId="114" borderId="113" xfId="0" applyNumberFormat="1" applyFont="1" applyFill="1" applyBorder="1" applyAlignment="1" applyProtection="1">
      <alignment horizontal="right" vertical="center" wrapText="1"/>
      <protection locked="1" hidden="1"/>
    </xf>
    <xf numFmtId="49" fontId="0" fillId="0" borderId="0" xfId="9" applyBorder="1" applyAlignment="1" applyProtection="1">
      <alignment horizontal="left" vertical="center" indent="1"/>
      <protection locked="1" hidden="0"/>
    </xf>
    <xf numFmtId="3" fontId="5" fillId="0" borderId="114" xfId="0" applyNumberFormat="1" applyFont="1" applyBorder="1" applyAlignment="1" applyProtection="1">
      <alignment horizontal="right" vertical="center"/>
      <protection locked="1" hidden="1"/>
    </xf>
    <xf numFmtId="3" fontId="5" fillId="116" borderId="115" xfId="0" applyNumberFormat="1" applyFont="1" applyFill="1" applyBorder="1" applyAlignment="1" applyProtection="1">
      <alignment horizontal="right" vertical="center"/>
      <protection locked="1" hidden="1"/>
    </xf>
    <xf numFmtId="3" fontId="5" fillId="117" borderId="116" xfId="0" applyNumberFormat="1" applyFont="1" applyFill="1" applyBorder="1" applyAlignment="1" applyProtection="1">
      <alignment horizontal="right" vertical="center"/>
      <protection locked="1" hidden="1"/>
    </xf>
    <xf numFmtId="172" fontId="0" fillId="14" borderId="13" xfId="0" applyNumberFormat="1" applyFill="1" applyBorder="1" applyAlignment="1" applyProtection="1">
      <alignment horizontal="right" vertical="center"/>
      <protection locked="0" hidden="0"/>
    </xf>
    <xf numFmtId="172" fontId="0" fillId="17" borderId="16" xfId="0" applyNumberFormat="1" applyFill="1" applyBorder="1" applyAlignment="1" applyProtection="1">
      <alignment horizontal="right" vertical="center"/>
      <protection locked="0" hidden="0"/>
    </xf>
    <xf numFmtId="1" fontId="5" fillId="0" borderId="14" xfId="1" applyNumberFormat="1" applyFont="1" applyBorder="1" applyProtection="1">
      <alignment horizontal="center" vertical="center"/>
      <protection locked="0" hidden="0"/>
    </xf>
    <xf numFmtId="1" fontId="5" fillId="14" borderId="13" xfId="1" applyNumberFormat="1" applyFont="1" applyFill="1" applyBorder="1" applyProtection="1">
      <alignment horizontal="center" vertical="center"/>
      <protection locked="0" hidden="0"/>
    </xf>
    <xf numFmtId="1" fontId="5" fillId="55" borderId="54" xfId="1" applyNumberFormat="1" applyFont="1" applyFill="1" applyBorder="1" applyProtection="1">
      <alignment horizontal="center" vertical="center"/>
      <protection locked="0" hidden="0"/>
    </xf>
    <xf numFmtId="49" fontId="0" fillId="70" borderId="69" xfId="0" applyNumberFormat="1" applyFill="1" applyAlignment="1">
      <alignment horizontal="left" vertical="center" wrapText="1"/>
    </xf>
    <xf numFmtId="0" fontId="0" fillId="70" borderId="69" xfId="0" applyFill="1" applyAlignment="1">
      <alignment horizontal="left" vertical="center" wrapText="1"/>
    </xf>
    <xf numFmtId="169" fontId="0" fillId="118" borderId="117" xfId="4" applyFill="1" applyBorder="1" applyProtection="1">
      <alignment horizontal="center" vertical="center" wrapText="1"/>
      <protection locked="1" hidden="0"/>
    </xf>
    <xf numFmtId="0" fontId="0" fillId="70" borderId="69" xfId="0" applyFill="1" applyAlignment="1">
      <alignment horizontal="left"/>
    </xf>
    <xf numFmtId="0" fontId="5" fillId="70" borderId="69" xfId="0" applyFont="1" applyFill="1" applyAlignment="1" applyProtection="1">
      <alignment vertical="center" wrapText="1"/>
      <protection locked="1" hidden="1"/>
    </xf>
    <xf numFmtId="169" fontId="0" fillId="0" borderId="87" xfId="4" applyBorder="1" applyProtection="1">
      <alignment horizontal="center" vertical="center" wrapText="1"/>
      <protection locked="1" hidden="0"/>
    </xf>
    <xf numFmtId="167" fontId="0" fillId="0" borderId="17" xfId="1" applyBorder="1" applyProtection="1">
      <alignment horizontal="center" vertical="center"/>
      <protection locked="1" hidden="0"/>
    </xf>
    <xf numFmtId="3" fontId="0" fillId="0" borderId="106" xfId="0" applyNumberFormat="1" applyBorder="1" applyAlignment="1" applyProtection="1">
      <alignment horizontal="right" vertical="center"/>
      <protection locked="0" hidden="0"/>
    </xf>
    <xf numFmtId="0" fontId="5" fillId="70" borderId="69" xfId="0" applyFont="1" applyFill="1" applyAlignment="1">
      <alignment horizontal="left"/>
    </xf>
    <xf numFmtId="0" fontId="5" fillId="70" borderId="69" xfId="0" applyFont="1" applyFill="1" applyAlignment="1">
      <alignment horizontal="left" vertical="center"/>
    </xf>
    <xf numFmtId="0" fontId="0" fillId="76" borderId="75" xfId="0" applyFill="1" applyAlignment="1">
      <alignment horizontal="left" vertical="center"/>
    </xf>
    <xf numFmtId="0" fontId="0" fillId="76" borderId="75" xfId="0" applyFill="1" applyAlignment="1" applyProtection="1">
      <alignment vertical="center" wrapText="1"/>
      <protection locked="1" hidden="1"/>
    </xf>
    <xf numFmtId="0" fontId="5" fillId="76" borderId="75" xfId="0" applyFont="1" applyFill="1" applyAlignment="1">
      <alignment horizontal="left" vertical="center"/>
    </xf>
    <xf numFmtId="0" fontId="5" fillId="76" borderId="75" xfId="0" applyFont="1" applyFill="1" applyAlignment="1" applyProtection="1">
      <alignment vertical="center" wrapText="1"/>
      <protection locked="1" hidden="1"/>
    </xf>
    <xf numFmtId="0" fontId="0" fillId="70" borderId="69" xfId="0" applyFill="1" applyAlignment="1">
      <alignment horizontal="center" vertical="center"/>
    </xf>
    <xf numFmtId="0" fontId="0" fillId="0" borderId="0" xfId="0" applyAlignment="1" applyProtection="1">
      <alignment horizontal="left" vertical="center" wrapText="1"/>
      <protection locked="1" hidden="1"/>
    </xf>
    <xf numFmtId="3" fontId="0" fillId="0" borderId="0" xfId="0" applyNumberFormat="1" applyAlignment="1" applyProtection="1">
      <alignment horizontal="right" vertical="center"/>
      <protection locked="0" hidden="0"/>
    </xf>
    <xf numFmtId="0" fontId="0" fillId="0" borderId="0" xfId="0" applyAlignment="1">
      <alignment horizontal="center"/>
    </xf>
    <xf numFmtId="3" fontId="0" fillId="0" borderId="53" xfId="0" applyNumberFormat="1" applyBorder="1" applyAlignment="1" applyProtection="1">
      <alignment horizontal="center" vertical="center"/>
      <protection locked="0" hidden="0"/>
    </xf>
    <xf numFmtId="3" fontId="0" fillId="14" borderId="13" xfId="0" applyNumberFormat="1" applyFill="1" applyBorder="1" applyAlignment="1" applyProtection="1">
      <alignment horizontal="center" vertical="center"/>
      <protection locked="0" hidden="0"/>
    </xf>
    <xf numFmtId="3" fontId="0" fillId="0" borderId="14" xfId="0" applyNumberFormat="1" applyBorder="1" applyAlignment="1" applyProtection="1">
      <alignment horizontal="center" vertical="center"/>
      <protection locked="0" hidden="0"/>
    </xf>
    <xf numFmtId="0" fontId="0" fillId="0" borderId="15" xfId="0" applyBorder="1" applyAlignment="1" applyProtection="1">
      <alignment horizontal="right" vertical="center" wrapText="1"/>
      <protection locked="0" hidden="0"/>
    </xf>
    <xf numFmtId="0" fontId="0" fillId="0" borderId="0" xfId="0" applyAlignment="1" applyProtection="1">
      <alignment horizontal="right" vertical="center" wrapText="1"/>
      <protection locked="1" hidden="1"/>
    </xf>
    <xf numFmtId="0" fontId="2" fillId="37" borderId="36" xfId="6" applyBorder="1" applyAlignment="1" applyProtection="1">
      <alignment horizontal="right" vertical="center" indent="1"/>
      <protection locked="1" hidden="0"/>
      <extLst>
        <ext uri="smNativeData">
          <pm:cellMargin xmlns:pm="smNativeData" id="1714042646" l="0" r="192" t="0" b="0" textRotation="0"/>
        </ext>
      </extLst>
    </xf>
    <xf numFmtId="0" fontId="2" fillId="119" borderId="118" xfId="6" applyBorder="1" applyAlignment="1" applyProtection="1">
      <alignment horizontal="right" vertical="center" indent="1"/>
      <protection locked="1" hidden="0"/>
      <extLst>
        <ext uri="smNativeData">
          <pm:cellMargin xmlns:pm="smNativeData" id="1714042646" l="0" r="192" t="0" b="0" textRotation="0"/>
        </ext>
      </extLst>
    </xf>
    <xf numFmtId="0" fontId="2" fillId="38" borderId="37" xfId="6" applyBorder="1" applyAlignment="1" applyProtection="1">
      <alignment horizontal="right" vertical="center" indent="1"/>
      <protection locked="1" hidden="0"/>
      <extLst>
        <ext uri="smNativeData">
          <pm:cellMargin xmlns:pm="smNativeData" id="1714042646" l="0" r="192" t="0" b="0" textRotation="0"/>
        </ext>
      </extLst>
    </xf>
    <xf numFmtId="0" fontId="3" fillId="0" borderId="6" xfId="6" applyFont="1" applyFill="1" applyBorder="1" applyAlignment="1" applyProtection="1">
      <alignment horizontal="right" vertical="center" indent="1"/>
      <protection locked="1" hidden="1"/>
      <extLst>
        <ext uri="smNativeData">
          <pm:cellMargin xmlns:pm="smNativeData" id="1714042646" l="0" r="192" t="0" b="0" textRotation="0"/>
        </ext>
      </extLst>
    </xf>
    <xf numFmtId="0" fontId="3" fillId="37" borderId="36" xfId="6" applyFont="1" applyBorder="1" applyAlignment="1" applyProtection="1">
      <alignment horizontal="right" vertical="center" indent="1"/>
      <protection locked="1" hidden="0"/>
      <extLst>
        <ext uri="smNativeData">
          <pm:cellMargin xmlns:pm="smNativeData" id="1714042646" l="0" r="192" t="0" b="0" textRotation="0"/>
        </ext>
      </extLst>
    </xf>
    <xf numFmtId="0" fontId="3" fillId="38" borderId="37" xfId="6" applyFont="1" applyBorder="1" applyAlignment="1" applyProtection="1">
      <alignment horizontal="right" vertical="center" indent="1"/>
      <protection locked="1" hidden="0"/>
      <extLst>
        <ext uri="smNativeData">
          <pm:cellMargin xmlns:pm="smNativeData" id="1714042646" l="0" r="192" t="0" b="0" textRotation="0"/>
        </ext>
      </extLst>
    </xf>
    <xf numFmtId="0" fontId="3" fillId="120" borderId="119" xfId="6" applyFont="1" applyBorder="1" applyProtection="1">
      <alignment horizontal="center" vertical="center"/>
      <protection locked="1" hidden="0"/>
    </xf>
    <xf numFmtId="0" fontId="3" fillId="121" borderId="120" xfId="6" applyFont="1" applyBorder="1" applyProtection="1">
      <alignment horizontal="center" vertical="center"/>
      <protection locked="1" hidden="0"/>
    </xf>
    <xf numFmtId="0" fontId="3" fillId="122" borderId="121" xfId="6" applyFont="1" applyBorder="1" applyProtection="1">
      <alignment horizontal="center" vertical="center"/>
      <protection locked="1" hidden="0"/>
    </xf>
    <xf numFmtId="0" fontId="3" fillId="123" borderId="122" xfId="6" applyFont="1" applyBorder="1" applyProtection="1">
      <alignment horizontal="center" vertical="center"/>
      <protection locked="1" hidden="0"/>
    </xf>
    <xf numFmtId="0" fontId="3" fillId="124" borderId="123" xfId="6" applyFont="1" applyBorder="1" applyProtection="1">
      <alignment horizontal="center" vertical="center"/>
      <protection locked="1" hidden="0"/>
    </xf>
    <xf numFmtId="0" fontId="3" fillId="125" borderId="124" xfId="6" applyFont="1" applyBorder="1" applyProtection="1">
      <alignment horizontal="center" vertical="center"/>
      <protection locked="1" hidden="0"/>
    </xf>
    <xf numFmtId="0" fontId="3" fillId="126" borderId="125" xfId="6" applyFont="1" applyBorder="1" applyProtection="1">
      <alignment horizontal="center" vertical="center"/>
      <protection locked="1" hidden="0"/>
    </xf>
    <xf numFmtId="0" fontId="3" fillId="127" borderId="126" xfId="6" applyFont="1" applyBorder="1" applyProtection="1">
      <alignment horizontal="center" vertical="center"/>
      <protection locked="1" hidden="0"/>
    </xf>
    <xf numFmtId="0" fontId="3" fillId="128" borderId="127" xfId="6" applyFont="1" applyBorder="1" applyProtection="1">
      <alignment horizontal="center" vertical="center"/>
      <protection locked="1" hidden="0"/>
    </xf>
    <xf numFmtId="3" fontId="5" fillId="129" borderId="128" xfId="0" applyNumberFormat="1" applyFont="1" applyFill="1" applyBorder="1" applyAlignment="1" applyProtection="1">
      <alignment horizontal="center" vertical="center"/>
      <protection locked="1" hidden="1"/>
    </xf>
    <xf numFmtId="3" fontId="5" fillId="24" borderId="23" xfId="0" applyNumberFormat="1" applyFont="1" applyFill="1" applyBorder="1" applyAlignment="1" applyProtection="1">
      <alignment horizontal="center" vertical="center"/>
      <protection locked="1" hidden="1"/>
    </xf>
    <xf numFmtId="3" fontId="5" fillId="0" borderId="66" xfId="0" applyNumberFormat="1" applyFont="1" applyBorder="1" applyAlignment="1" applyProtection="1">
      <alignment horizontal="center" vertical="center"/>
      <protection locked="1" hidden="1"/>
    </xf>
    <xf numFmtId="3" fontId="5" fillId="0" borderId="21" xfId="0" applyNumberFormat="1" applyFont="1" applyBorder="1" applyAlignment="1" applyProtection="1">
      <alignment horizontal="center" vertical="center"/>
      <protection locked="1" hidden="1"/>
    </xf>
    <xf numFmtId="3" fontId="5" fillId="0" borderId="129" xfId="0" applyNumberFormat="1" applyFont="1" applyBorder="1" applyAlignment="1" applyProtection="1">
      <alignment horizontal="center" vertical="center"/>
      <protection locked="1" hidden="1"/>
    </xf>
    <xf numFmtId="3" fontId="5" fillId="0" borderId="130" xfId="0" applyNumberFormat="1" applyFont="1" applyBorder="1" applyAlignment="1" applyProtection="1">
      <alignment horizontal="center" vertical="center"/>
      <protection locked="1" hidden="1"/>
    </xf>
    <xf numFmtId="0" fontId="0" fillId="0" borderId="66" xfId="0" applyBorder="1" applyAlignment="1" applyProtection="1">
      <alignment horizontal="left" vertical="center" wrapText="1"/>
      <protection locked="1" hidden="1"/>
    </xf>
    <xf numFmtId="0" fontId="0" fillId="0" borderId="131" xfId="0" applyBorder="1" applyAlignment="1" applyProtection="1">
      <alignment horizontal="left" vertical="center" wrapText="1"/>
      <protection locked="1" hidden="1"/>
    </xf>
    <xf numFmtId="0" fontId="0" fillId="0" borderId="21" xfId="0" applyBorder="1" applyAlignment="1" applyProtection="1">
      <alignment horizontal="left" vertical="center" wrapText="1"/>
      <protection locked="1" hidden="1"/>
    </xf>
    <xf numFmtId="0" fontId="0" fillId="129" borderId="128" xfId="0" applyFill="1" applyBorder="1" applyAlignment="1" applyProtection="1">
      <alignment horizontal="left" vertical="center" wrapText="1"/>
      <protection locked="1" hidden="1"/>
    </xf>
    <xf numFmtId="0" fontId="0" fillId="133" borderId="132" xfId="0" applyFill="1" applyBorder="1" applyAlignment="1" applyProtection="1">
      <alignment horizontal="left" vertical="center" wrapText="1"/>
      <protection locked="1" hidden="1"/>
    </xf>
    <xf numFmtId="0" fontId="0" fillId="24" borderId="23" xfId="0" applyFill="1" applyBorder="1" applyAlignment="1" applyProtection="1">
      <alignment horizontal="left" vertical="center" wrapText="1"/>
      <protection locked="1" hidden="1"/>
    </xf>
    <xf numFmtId="0" fontId="4" fillId="0" borderId="0" xfId="0" applyFont="1" applyAlignment="1" applyProtection="1">
      <alignment horizontal="center" vertical="center"/>
      <protection locked="1" hidden="1"/>
    </xf>
    <xf numFmtId="0" fontId="5" fillId="0" borderId="66" xfId="0" applyFont="1" applyBorder="1" applyAlignment="1" applyProtection="1">
      <alignment horizontal="left" vertical="center" wrapText="1"/>
      <protection locked="1" hidden="1"/>
    </xf>
    <xf numFmtId="0" fontId="5" fillId="0" borderId="131" xfId="0" applyFont="1" applyBorder="1" applyAlignment="1" applyProtection="1">
      <alignment horizontal="left" vertical="center" wrapText="1"/>
      <protection locked="1" hidden="1"/>
    </xf>
    <xf numFmtId="0" fontId="5" fillId="0" borderId="21" xfId="0" applyFont="1" applyBorder="1" applyAlignment="1" applyProtection="1">
      <alignment horizontal="left" vertical="center" wrapText="1"/>
      <protection locked="1" hidden="1"/>
    </xf>
    <xf numFmtId="0" fontId="5" fillId="129" borderId="128" xfId="0" applyFont="1" applyFill="1" applyBorder="1" applyAlignment="1" applyProtection="1">
      <alignment horizontal="left" vertical="center" wrapText="1"/>
      <protection locked="1" hidden="1"/>
    </xf>
    <xf numFmtId="0" fontId="5" fillId="133" borderId="132" xfId="0" applyFont="1" applyFill="1" applyBorder="1" applyAlignment="1" applyProtection="1">
      <alignment horizontal="left" vertical="center" wrapText="1"/>
      <protection locked="1" hidden="1"/>
    </xf>
    <xf numFmtId="0" fontId="5" fillId="24" borderId="23" xfId="0" applyFont="1" applyFill="1" applyBorder="1" applyAlignment="1" applyProtection="1">
      <alignment horizontal="left" vertical="center" wrapText="1"/>
      <protection locked="1" hidden="1"/>
    </xf>
    <xf numFmtId="0" fontId="24" fillId="129" borderId="128" xfId="0" applyFont="1" applyFill="1" applyBorder="1" applyAlignment="1" applyProtection="1">
      <alignment horizontal="left" vertical="center" wrapText="1"/>
      <protection locked="1" hidden="1"/>
    </xf>
    <xf numFmtId="0" fontId="24" fillId="133" borderId="132" xfId="0" applyFont="1" applyFill="1" applyBorder="1" applyAlignment="1" applyProtection="1">
      <alignment horizontal="left" vertical="center" wrapText="1"/>
      <protection locked="1" hidden="1"/>
    </xf>
    <xf numFmtId="0" fontId="24" fillId="24" borderId="23" xfId="0" applyFont="1" applyFill="1" applyBorder="1" applyAlignment="1" applyProtection="1">
      <alignment horizontal="left" vertical="center" wrapText="1"/>
      <protection locked="1" hidden="1"/>
    </xf>
    <xf numFmtId="0" fontId="24" fillId="0" borderId="66" xfId="0" applyFont="1" applyBorder="1" applyAlignment="1" applyProtection="1">
      <alignment horizontal="left" vertical="center" wrapText="1"/>
      <protection locked="1" hidden="1"/>
    </xf>
    <xf numFmtId="0" fontId="24" fillId="0" borderId="131" xfId="0" applyFont="1" applyBorder="1" applyAlignment="1" applyProtection="1">
      <alignment horizontal="left" vertical="center" wrapText="1"/>
      <protection locked="1" hidden="1"/>
    </xf>
    <xf numFmtId="0" fontId="24" fillId="0" borderId="21" xfId="0" applyFont="1" applyBorder="1" applyAlignment="1" applyProtection="1">
      <alignment horizontal="left" vertical="center" wrapText="1"/>
      <protection locked="1" hidden="1"/>
    </xf>
    <xf numFmtId="0" fontId="18" fillId="0" borderId="66" xfId="0" applyFont="1" applyBorder="1" applyAlignment="1" applyProtection="1">
      <alignment horizontal="left" vertical="center" wrapText="1"/>
      <protection locked="1" hidden="1"/>
    </xf>
    <xf numFmtId="0" fontId="18" fillId="0" borderId="131" xfId="0" applyFont="1" applyBorder="1" applyAlignment="1" applyProtection="1">
      <alignment horizontal="left" vertical="center" wrapText="1"/>
      <protection locked="1" hidden="1"/>
    </xf>
    <xf numFmtId="0" fontId="18" fillId="0" borderId="21" xfId="0" applyFont="1" applyBorder="1" applyAlignment="1" applyProtection="1">
      <alignment horizontal="left" vertical="center" wrapText="1"/>
      <protection locked="1" hidden="1"/>
    </xf>
    <xf numFmtId="0" fontId="18" fillId="129" borderId="128" xfId="0" applyFont="1" applyFill="1" applyBorder="1" applyAlignment="1" applyProtection="1">
      <alignment horizontal="left" vertical="center" wrapText="1"/>
      <protection locked="1" hidden="1"/>
    </xf>
    <xf numFmtId="0" fontId="18" fillId="133" borderId="132" xfId="0" applyFont="1" applyFill="1" applyBorder="1" applyAlignment="1" applyProtection="1">
      <alignment horizontal="left" vertical="center" wrapText="1"/>
      <protection locked="1" hidden="1"/>
    </xf>
    <xf numFmtId="0" fontId="18" fillId="24" borderId="23" xfId="0" applyFont="1" applyFill="1" applyBorder="1" applyAlignment="1" applyProtection="1">
      <alignment horizontal="left" vertical="center" wrapText="1"/>
      <protection locked="1" hidden="1"/>
    </xf>
    <xf numFmtId="0" fontId="5" fillId="134" borderId="133" xfId="0" applyFont="1" applyFill="1" applyBorder="1" applyAlignment="1" applyProtection="1">
      <alignment horizontal="left" vertical="center" wrapText="1"/>
      <protection locked="1" hidden="1"/>
    </xf>
    <xf numFmtId="0" fontId="5" fillId="135" borderId="134" xfId="0" applyFont="1" applyFill="1" applyBorder="1" applyAlignment="1" applyProtection="1">
      <alignment horizontal="left" vertical="center" wrapText="1"/>
      <protection locked="1" hidden="1"/>
    </xf>
    <xf numFmtId="0" fontId="5" fillId="116" borderId="115" xfId="0" applyFont="1" applyFill="1" applyBorder="1" applyAlignment="1" applyProtection="1">
      <alignment horizontal="left" vertical="center" wrapText="1"/>
      <protection locked="1" hidden="1"/>
    </xf>
    <xf numFmtId="0" fontId="0" fillId="0" borderId="0" xfId="0" applyAlignment="1" applyProtection="1">
      <alignment horizontal="left" wrapText="1"/>
      <protection locked="1" hidden="1"/>
    </xf>
    <xf numFmtId="0" fontId="12" fillId="136" borderId="135" xfId="0" applyFont="1" applyFill="1" applyBorder="1" applyAlignment="1" applyProtection="1">
      <alignment horizontal="center" vertical="center"/>
      <protection locked="1" hidden="1"/>
    </xf>
    <xf numFmtId="0" fontId="12" fillId="137" borderId="136" xfId="0" applyFont="1" applyFill="1" applyBorder="1" applyAlignment="1" applyProtection="1">
      <alignment horizontal="center" vertical="center"/>
      <protection locked="1" hidden="1"/>
    </xf>
    <xf numFmtId="0" fontId="12" fillId="138" borderId="137" xfId="0" applyFont="1" applyFill="1" applyBorder="1" applyAlignment="1" applyProtection="1">
      <alignment horizontal="center" vertical="center"/>
      <protection locked="1" hidden="1"/>
    </xf>
    <xf numFmtId="0" fontId="12" fillId="139" borderId="138" xfId="0" applyFont="1" applyFill="1" applyBorder="1" applyAlignment="1" applyProtection="1">
      <alignment horizontal="center" vertical="center"/>
      <protection locked="1" hidden="1"/>
    </xf>
    <xf numFmtId="0" fontId="12" fillId="140" borderId="139" xfId="0" applyFont="1" applyFill="1" applyBorder="1" applyAlignment="1" applyProtection="1">
      <alignment horizontal="center" vertical="center"/>
      <protection locked="1" hidden="1"/>
    </xf>
    <xf numFmtId="0" fontId="12" fillId="141" borderId="140" xfId="0" applyFont="1" applyFill="1" applyBorder="1" applyAlignment="1" applyProtection="1">
      <alignment horizontal="center" vertical="center"/>
      <protection locked="1" hidden="1"/>
    </xf>
    <xf numFmtId="0" fontId="12" fillId="142" borderId="141" xfId="0" applyFont="1" applyFill="1" applyBorder="1" applyAlignment="1" applyProtection="1">
      <alignment horizontal="center"/>
      <protection locked="1" hidden="1"/>
    </xf>
    <xf numFmtId="0" fontId="12" fillId="143" borderId="142" xfId="0" applyFont="1" applyFill="1" applyBorder="1" applyAlignment="1" applyProtection="1">
      <alignment horizontal="center" vertical="center" wrapText="1"/>
      <protection locked="1" hidden="1"/>
    </xf>
    <xf numFmtId="0" fontId="12" fillId="144" borderId="143" xfId="0" applyFont="1" applyFill="1" applyBorder="1" applyAlignment="1" applyProtection="1">
      <alignment horizontal="center" vertical="center" wrapText="1"/>
      <protection locked="1" hidden="1"/>
    </xf>
    <xf numFmtId="0" fontId="12" fillId="145" borderId="144" xfId="0" applyFont="1" applyFill="1" applyBorder="1" applyAlignment="1" applyProtection="1">
      <alignment horizontal="center" vertical="center" wrapText="1"/>
      <protection locked="1" hidden="1"/>
    </xf>
    <xf numFmtId="0" fontId="12" fillId="146" borderId="145" xfId="0" applyFont="1" applyFill="1" applyBorder="1" applyAlignment="1" applyProtection="1">
      <alignment horizontal="center" vertical="center" wrapText="1"/>
      <protection locked="1" hidden="1"/>
    </xf>
    <xf numFmtId="0" fontId="12" fillId="147" borderId="146" xfId="0" applyFont="1" applyFill="1" applyBorder="1" applyAlignment="1" applyProtection="1">
      <alignment horizontal="center" vertical="center"/>
      <protection locked="1" hidden="1"/>
    </xf>
    <xf numFmtId="0" fontId="12" fillId="148" borderId="147" xfId="0" applyFont="1" applyFill="1" applyBorder="1" applyAlignment="1" applyProtection="1">
      <alignment horizontal="center" vertical="center" wrapText="1"/>
      <protection locked="1" hidden="1"/>
    </xf>
    <xf numFmtId="0" fontId="12" fillId="149" borderId="148" xfId="0" applyFont="1" applyFill="1" applyBorder="1" applyAlignment="1" applyProtection="1">
      <alignment horizontal="center" vertical="center" wrapText="1"/>
      <protection locked="1" hidden="1"/>
    </xf>
    <xf numFmtId="49" fontId="5" fillId="0" borderId="6" xfId="9" applyFont="1" applyAlignment="1" applyProtection="1">
      <alignment horizontal="left" vertical="center" indent="1"/>
      <protection locked="1" hidden="0"/>
    </xf>
    <xf numFmtId="0" fontId="21" fillId="148" borderId="147" xfId="0" applyFont="1" applyFill="1" applyBorder="1" applyAlignment="1" applyProtection="1">
      <alignment horizontal="center" vertical="center" wrapText="1"/>
      <protection locked="1" hidden="1"/>
    </xf>
    <xf numFmtId="0" fontId="21" fillId="149" borderId="148" xfId="0" applyFont="1" applyFill="1" applyBorder="1" applyAlignment="1" applyProtection="1">
      <alignment horizontal="center" vertical="center" wrapText="1"/>
      <protection locked="1" hidden="1"/>
    </xf>
    <xf numFmtId="0" fontId="0" fillId="0" borderId="6" xfId="10" applyAlignment="1" applyProtection="1">
      <alignment horizontal="left" vertical="center" indent="1"/>
      <protection locked="1" hidden="0"/>
    </xf>
    <xf numFmtId="0" fontId="5" fillId="0" borderId="129" xfId="0" applyFont="1" applyBorder="1" applyAlignment="1" applyProtection="1">
      <alignment horizontal="left" vertical="center" wrapText="1"/>
      <protection locked="1" hidden="1"/>
    </xf>
    <xf numFmtId="0" fontId="5" fillId="0" borderId="149" xfId="0" applyFont="1" applyBorder="1" applyAlignment="1" applyProtection="1">
      <alignment horizontal="left" vertical="center" wrapText="1"/>
      <protection locked="1" hidden="1"/>
    </xf>
    <xf numFmtId="0" fontId="5" fillId="0" borderId="130" xfId="0" applyFont="1" applyBorder="1" applyAlignment="1" applyProtection="1">
      <alignment horizontal="left" vertical="center" wrapText="1"/>
      <protection locked="1" hidden="1"/>
    </xf>
    <xf numFmtId="0" fontId="12" fillId="151" borderId="150" xfId="0" applyFont="1" applyFill="1" applyBorder="1" applyAlignment="1" applyProtection="1">
      <alignment horizontal="center" vertical="center" wrapText="1"/>
      <protection locked="1" hidden="1"/>
    </xf>
    <xf numFmtId="0" fontId="12" fillId="136" borderId="135" xfId="0" applyFont="1" applyFill="1" applyBorder="1" applyAlignment="1" applyProtection="1">
      <alignment horizontal="center" vertical="center" wrapText="1"/>
      <protection locked="1" hidden="1"/>
    </xf>
    <xf numFmtId="0" fontId="12" fillId="138" borderId="137" xfId="0" applyFont="1" applyFill="1" applyBorder="1" applyAlignment="1" applyProtection="1">
      <alignment horizontal="center" vertical="center" wrapText="1"/>
      <protection locked="1" hidden="1"/>
    </xf>
    <xf numFmtId="0" fontId="12" fillId="139" borderId="138" xfId="0" applyFont="1" applyFill="1" applyBorder="1" applyAlignment="1" applyProtection="1">
      <alignment horizontal="center" vertical="center" wrapText="1"/>
      <protection locked="1" hidden="1"/>
    </xf>
    <xf numFmtId="0" fontId="12" fillId="141" borderId="140" xfId="0" applyFont="1" applyFill="1" applyBorder="1" applyAlignment="1" applyProtection="1">
      <alignment horizontal="center" vertical="center" wrapText="1"/>
      <protection locked="1" hidden="1"/>
    </xf>
    <xf numFmtId="0" fontId="12" fillId="147" borderId="146" xfId="0" applyFont="1" applyFill="1" applyBorder="1" applyAlignment="1" applyProtection="1">
      <alignment horizontal="center" vertical="center" wrapText="1"/>
      <protection locked="1" hidden="1"/>
    </xf>
    <xf numFmtId="0" fontId="0" fillId="0" borderId="0" xfId="0" applyAlignment="1">
      <alignment horizontal="right" vertical="center"/>
    </xf>
    <xf numFmtId="0" fontId="0" fillId="0" borderId="6" xfId="0" applyBorder="1" applyAlignment="1" applyProtection="1">
      <alignment horizontal="center"/>
      <protection locked="1" hidden="1"/>
    </xf>
    <xf numFmtId="0" fontId="21" fillId="152" borderId="151" xfId="0" applyFont="1" applyFill="1" applyBorder="1" applyAlignment="1" applyProtection="1">
      <alignment horizontal="center" vertical="center" wrapText="1"/>
      <protection locked="1" hidden="1"/>
    </xf>
    <xf numFmtId="0" fontId="21" fillId="153" borderId="152" xfId="0" applyFont="1" applyFill="1" applyBorder="1" applyAlignment="1" applyProtection="1">
      <alignment horizontal="center" vertical="center" wrapText="1"/>
      <protection locked="1" hidden="1"/>
    </xf>
    <xf numFmtId="0" fontId="21" fillId="154" borderId="153" xfId="0" applyFont="1" applyFill="1" applyBorder="1" applyAlignment="1" applyProtection="1">
      <alignment horizontal="center" vertical="center"/>
      <protection locked="1" hidden="1"/>
    </xf>
    <xf numFmtId="0" fontId="21" fillId="137" borderId="136" xfId="0" applyFont="1" applyFill="1" applyBorder="1" applyAlignment="1" applyProtection="1">
      <alignment horizontal="center" vertical="center"/>
      <protection locked="1" hidden="1"/>
    </xf>
    <xf numFmtId="0" fontId="21" fillId="155" borderId="154" xfId="0" applyFont="1" applyFill="1" applyBorder="1" applyAlignment="1" applyProtection="1">
      <alignment horizontal="center" vertical="center"/>
      <protection locked="1" hidden="1"/>
    </xf>
    <xf numFmtId="0" fontId="21" fillId="156" borderId="155" xfId="0" applyFont="1" applyFill="1" applyBorder="1" applyAlignment="1" applyProtection="1">
      <alignment horizontal="center" vertical="center"/>
      <protection locked="1" hidden="1"/>
    </xf>
    <xf numFmtId="0" fontId="21" fillId="157" borderId="156" xfId="0" applyFont="1" applyFill="1" applyBorder="1" applyAlignment="1" applyProtection="1">
      <alignment horizontal="center" vertical="center"/>
      <protection locked="1" hidden="1"/>
    </xf>
    <xf numFmtId="0" fontId="21" fillId="158" borderId="157" xfId="0" applyFont="1" applyFill="1" applyBorder="1" applyAlignment="1" applyProtection="1">
      <alignment horizontal="center" vertical="center"/>
      <protection locked="1" hidden="1"/>
    </xf>
    <xf numFmtId="0" fontId="21" fillId="159" borderId="158" xfId="0" applyFont="1" applyFill="1" applyBorder="1" applyAlignment="1" applyProtection="1">
      <alignment horizontal="center"/>
      <protection locked="1" hidden="1"/>
    </xf>
    <xf numFmtId="0" fontId="21" fillId="160" borderId="159" xfId="0" applyFont="1" applyFill="1" applyBorder="1" applyAlignment="1" applyProtection="1">
      <alignment horizontal="center"/>
      <protection locked="1" hidden="1"/>
    </xf>
    <xf numFmtId="0" fontId="21" fillId="161" borderId="160" xfId="0" applyFont="1" applyFill="1" applyBorder="1" applyAlignment="1" applyProtection="1">
      <alignment horizontal="center"/>
      <protection locked="1" hidden="1"/>
    </xf>
    <xf numFmtId="0" fontId="5" fillId="0" borderId="161" xfId="0" applyFont="1" applyBorder="1" applyAlignment="1" applyProtection="1">
      <alignment horizontal="left" vertical="center" wrapText="1"/>
      <protection locked="1" hidden="1"/>
    </xf>
    <xf numFmtId="0" fontId="5" fillId="0" borderId="162" xfId="0" applyFont="1" applyBorder="1" applyAlignment="1" applyProtection="1">
      <alignment horizontal="left" vertical="center" wrapText="1"/>
      <protection locked="1" hidden="1"/>
    </xf>
    <xf numFmtId="0" fontId="5" fillId="0" borderId="163" xfId="0" applyFont="1" applyBorder="1" applyAlignment="1" applyProtection="1">
      <alignment horizontal="left" vertical="center" wrapText="1"/>
      <protection locked="1" hidden="1"/>
    </xf>
    <xf numFmtId="0" fontId="0" fillId="0" borderId="164" xfId="10" applyBorder="1" applyAlignment="1" applyProtection="1">
      <alignment horizontal="left" vertical="center" indent="1"/>
      <protection locked="1" hidden="0"/>
    </xf>
    <xf numFmtId="0" fontId="12" fillId="166" borderId="165" xfId="0" applyFont="1" applyFill="1" applyBorder="1" applyAlignment="1" applyProtection="1">
      <alignment horizontal="center" vertical="center" wrapText="1"/>
      <protection locked="1" hidden="1"/>
    </xf>
    <xf numFmtId="0" fontId="12" fillId="167" borderId="166" xfId="0" applyFont="1" applyFill="1" applyBorder="1" applyAlignment="1" applyProtection="1">
      <alignment horizontal="center" vertical="center" wrapText="1"/>
      <protection locked="1" hidden="1"/>
    </xf>
    <xf numFmtId="0" fontId="18" fillId="168" borderId="167" xfId="0" applyFont="1" applyFill="1" applyBorder="1" applyAlignment="1" applyProtection="1">
      <alignment horizontal="left" vertical="center" wrapText="1"/>
      <protection locked="1" hidden="1"/>
    </xf>
    <xf numFmtId="0" fontId="18" fillId="169" borderId="168" xfId="0" applyFont="1" applyFill="1" applyBorder="1" applyAlignment="1" applyProtection="1">
      <alignment horizontal="left" vertical="center" wrapText="1"/>
      <protection locked="1" hidden="1"/>
    </xf>
    <xf numFmtId="0" fontId="18" fillId="170" borderId="169" xfId="0" applyFont="1" applyFill="1" applyBorder="1" applyAlignment="1" applyProtection="1">
      <alignment horizontal="left" vertical="center" wrapText="1"/>
      <protection locked="1" hidden="1"/>
    </xf>
    <xf numFmtId="0" fontId="12" fillId="171" borderId="170" xfId="0" applyFont="1" applyFill="1" applyBorder="1" applyAlignment="1" applyProtection="1">
      <alignment horizontal="center" vertical="center"/>
      <protection locked="1" hidden="1"/>
    </xf>
    <xf numFmtId="0" fontId="12" fillId="172" borderId="171" xfId="0" applyFont="1" applyFill="1" applyBorder="1" applyAlignment="1" applyProtection="1">
      <alignment horizontal="center" vertical="center"/>
      <protection locked="1" hidden="1"/>
    </xf>
    <xf numFmtId="0" fontId="0" fillId="0" borderId="14" xfId="0" applyBorder="1" applyAlignment="1" applyProtection="1">
      <alignment horizontal="left" vertical="center" wrapText="1"/>
      <protection locked="1" hidden="1"/>
    </xf>
    <xf numFmtId="0" fontId="0" fillId="14" borderId="13" xfId="0" applyFill="1" applyBorder="1" applyAlignment="1" applyProtection="1">
      <alignment horizontal="left" vertical="center" wrapText="1"/>
      <protection locked="1" hidden="1"/>
    </xf>
    <xf numFmtId="0" fontId="8" fillId="0" borderId="0" xfId="0" applyFont="1" applyAlignment="1" applyProtection="1">
      <alignment horizontal="center" vertical="center"/>
      <protection locked="1" hidden="1"/>
    </xf>
    <xf numFmtId="0" fontId="12" fillId="173" borderId="172" xfId="0" applyFont="1" applyFill="1" applyBorder="1" applyAlignment="1" applyProtection="1">
      <alignment horizontal="center" vertical="center" wrapText="1"/>
      <protection locked="1" hidden="1"/>
    </xf>
    <xf numFmtId="0" fontId="12" fillId="174" borderId="173" xfId="0" applyFont="1" applyFill="1" applyBorder="1" applyAlignment="1" applyProtection="1">
      <alignment horizontal="center" vertical="center"/>
      <protection locked="1" hidden="1"/>
    </xf>
    <xf numFmtId="0" fontId="12" fillId="175" borderId="174" xfId="0" applyFont="1" applyFill="1" applyBorder="1" applyAlignment="1" applyProtection="1">
      <alignment horizontal="center" vertical="center" wrapText="1"/>
      <protection locked="1" hidden="1"/>
    </xf>
    <xf numFmtId="0" fontId="12" fillId="176" borderId="175" xfId="0" applyFont="1" applyFill="1" applyBorder="1" applyAlignment="1" applyProtection="1">
      <alignment horizontal="center" vertical="center" wrapText="1"/>
      <protection locked="1" hidden="1"/>
    </xf>
    <xf numFmtId="0" fontId="12" fillId="173" borderId="172" xfId="0" applyFont="1" applyFill="1" applyBorder="1" applyAlignment="1" applyProtection="1">
      <alignment horizontal="center" vertical="center"/>
      <protection locked="1" hidden="1"/>
    </xf>
    <xf numFmtId="0" fontId="12" fillId="19" borderId="18" xfId="0" applyFont="1" applyFill="1" applyBorder="1" applyAlignment="1" applyProtection="1">
      <alignment horizontal="center" vertical="center"/>
      <protection locked="1" hidden="1"/>
    </xf>
    <xf numFmtId="0" fontId="5" fillId="112" borderId="111" xfId="0" applyFont="1" applyFill="1" applyBorder="1" applyAlignment="1" applyProtection="1">
      <alignment horizontal="left" vertical="center" wrapText="1"/>
      <protection locked="1" hidden="1"/>
    </xf>
    <xf numFmtId="49" fontId="0" fillId="0" borderId="6" xfId="9" applyAlignment="1" applyProtection="1">
      <alignment horizontal="center" vertical="center" indent="0"/>
      <protection locked="1" hidden="0"/>
      <extLst>
        <ext uri="smNativeData">
          <pm:cellMargin xmlns:pm="smNativeData" id="1714042646" l="0" r="0" t="0" b="0" textRotation="0"/>
        </ext>
      </extLst>
    </xf>
    <xf numFmtId="0" fontId="18" fillId="14" borderId="13" xfId="0" applyFont="1" applyFill="1" applyBorder="1" applyAlignment="1" applyProtection="1">
      <alignment horizontal="left" vertical="center" wrapText="1"/>
      <protection locked="1" hidden="1"/>
    </xf>
    <xf numFmtId="0" fontId="0" fillId="55" borderId="54" xfId="0" applyFill="1" applyBorder="1" applyAlignment="1" applyProtection="1">
      <alignment horizontal="left" vertical="center" wrapText="1"/>
      <protection locked="1" hidden="1"/>
    </xf>
    <xf numFmtId="0" fontId="5" fillId="14" borderId="13" xfId="0" applyFont="1" applyFill="1" applyBorder="1" applyAlignment="1" applyProtection="1">
      <alignment horizontal="left" vertical="center" wrapText="1"/>
      <protection locked="1" hidden="1"/>
    </xf>
    <xf numFmtId="0" fontId="5" fillId="0" borderId="14" xfId="0" applyFont="1" applyBorder="1" applyAlignment="1" applyProtection="1">
      <alignment horizontal="left" vertical="center" wrapText="1"/>
      <protection locked="1" hidden="1"/>
    </xf>
    <xf numFmtId="49" fontId="5" fillId="0" borderId="0" xfId="9" applyFont="1" applyBorder="1" applyAlignment="1" applyProtection="1">
      <alignment horizontal="left" vertical="center" indent="1"/>
      <protection locked="1" hidden="0"/>
    </xf>
    <xf numFmtId="49" fontId="0" fillId="0" borderId="0" xfId="9" applyBorder="1" applyAlignment="1" applyProtection="1">
      <alignment horizontal="center" vertical="center" indent="0"/>
      <protection locked="1" hidden="0"/>
      <extLst>
        <ext uri="smNativeData">
          <pm:cellMargin xmlns:pm="smNativeData" id="1714042646" l="0" r="0" t="0" b="0" textRotation="0"/>
        </ext>
      </extLst>
    </xf>
    <xf numFmtId="0" fontId="5" fillId="55" borderId="54" xfId="0" applyFont="1" applyFill="1" applyBorder="1" applyAlignment="1" applyProtection="1">
      <alignment horizontal="left" vertical="center" wrapText="1"/>
      <protection locked="1" hidden="1"/>
    </xf>
    <xf numFmtId="0" fontId="5" fillId="0" borderId="53" xfId="0" applyFont="1" applyBorder="1" applyAlignment="1" applyProtection="1">
      <alignment horizontal="left" vertical="center" wrapText="1"/>
      <protection locked="1" hidden="1"/>
    </xf>
    <xf numFmtId="49" fontId="0" fillId="0" borderId="0" xfId="9" applyBorder="1" applyAlignment="1" applyProtection="1">
      <alignment horizontal="right" vertical="center" wrapText="1" indent="1"/>
      <protection locked="1" hidden="0"/>
      <extLst>
        <ext uri="smNativeData">
          <pm:cellMargin xmlns:pm="smNativeData" id="1714042646" l="0" r="192" t="0" b="0" textRotation="0"/>
        </ext>
      </extLst>
    </xf>
    <xf numFmtId="0" fontId="12" fillId="177" borderId="176" xfId="0" applyFont="1" applyFill="1" applyBorder="1" applyAlignment="1" applyProtection="1">
      <alignment horizontal="center" vertical="center"/>
      <protection locked="1" hidden="1"/>
    </xf>
    <xf numFmtId="0" fontId="0" fillId="0" borderId="53" xfId="0" applyBorder="1" applyAlignment="1" applyProtection="1">
      <alignment horizontal="left" vertical="center" wrapText="1"/>
      <protection locked="1" hidden="1"/>
    </xf>
    <xf numFmtId="0" fontId="0" fillId="0" borderId="129" xfId="0" applyBorder="1" applyAlignment="1" applyProtection="1">
      <alignment horizontal="left" vertical="center" wrapText="1"/>
      <protection locked="1" hidden="1"/>
    </xf>
    <xf numFmtId="0" fontId="0" fillId="0" borderId="149" xfId="0" applyBorder="1" applyAlignment="1" applyProtection="1">
      <alignment horizontal="left" vertical="center" wrapText="1"/>
      <protection locked="1" hidden="1"/>
    </xf>
    <xf numFmtId="0" fontId="0" fillId="0" borderId="130" xfId="0" applyBorder="1" applyAlignment="1" applyProtection="1">
      <alignment horizontal="left" vertical="center" wrapText="1"/>
      <protection locked="1" hidden="1"/>
    </xf>
    <xf numFmtId="49" fontId="0" fillId="0" borderId="164" xfId="9" applyBorder="1" applyAlignment="1" applyProtection="1">
      <alignment horizontal="left" vertical="center" indent="1"/>
      <protection locked="1" hidden="0"/>
    </xf>
    <xf numFmtId="0" fontId="5" fillId="178" borderId="177" xfId="0" applyFont="1" applyFill="1" applyBorder="1" applyAlignment="1" applyProtection="1">
      <alignment vertical="center" wrapText="1"/>
      <protection locked="1" hidden="1"/>
    </xf>
    <xf numFmtId="0" fontId="5" fillId="169" borderId="168" xfId="0" applyFont="1" applyFill="1" applyBorder="1" applyAlignment="1" applyProtection="1">
      <alignment vertical="center" wrapText="1"/>
      <protection locked="1" hidden="1"/>
    </xf>
    <xf numFmtId="0" fontId="5" fillId="170" borderId="169" xfId="0" applyFont="1" applyFill="1" applyBorder="1" applyAlignment="1" applyProtection="1">
      <alignment vertical="center" wrapText="1"/>
      <protection locked="1" hidden="1"/>
    </xf>
    <xf numFmtId="0" fontId="0" fillId="0" borderId="178" xfId="0" applyBorder="1" applyAlignment="1" applyProtection="1">
      <alignment vertical="center" wrapText="1"/>
      <protection locked="1" hidden="1"/>
    </xf>
    <xf numFmtId="0" fontId="0" fillId="0" borderId="131" xfId="0" applyBorder="1" applyAlignment="1" applyProtection="1">
      <alignment vertical="center" wrapText="1"/>
      <protection locked="1" hidden="1"/>
    </xf>
    <xf numFmtId="0" fontId="0" fillId="0" borderId="21" xfId="0" applyBorder="1" applyAlignment="1" applyProtection="1">
      <alignment vertical="center" wrapText="1"/>
      <protection locked="1" hidden="1"/>
    </xf>
    <xf numFmtId="0" fontId="5" fillId="0" borderId="179" xfId="0" applyFont="1" applyBorder="1" applyAlignment="1" applyProtection="1">
      <alignment vertical="center" wrapText="1"/>
      <protection locked="1" hidden="1"/>
    </xf>
    <xf numFmtId="0" fontId="5" fillId="0" borderId="162" xfId="0" applyFont="1" applyBorder="1" applyAlignment="1" applyProtection="1">
      <alignment vertical="center" wrapText="1"/>
      <protection locked="1" hidden="1"/>
    </xf>
    <xf numFmtId="0" fontId="5" fillId="0" borderId="163" xfId="0" applyFont="1" applyBorder="1" applyAlignment="1" applyProtection="1">
      <alignment vertical="center" wrapText="1"/>
      <protection locked="1" hidden="1"/>
    </xf>
    <xf numFmtId="0" fontId="5" fillId="181" borderId="180" xfId="0" applyFont="1" applyFill="1" applyBorder="1" applyAlignment="1" applyProtection="1">
      <alignment vertical="center" wrapText="1"/>
      <protection locked="1" hidden="1"/>
    </xf>
    <xf numFmtId="0" fontId="5" fillId="133" borderId="132" xfId="0" applyFont="1" applyFill="1" applyBorder="1" applyAlignment="1" applyProtection="1">
      <alignment vertical="center" wrapText="1"/>
      <protection locked="1" hidden="1"/>
    </xf>
    <xf numFmtId="0" fontId="5" fillId="24" borderId="23" xfId="0" applyFont="1" applyFill="1" applyBorder="1" applyAlignment="1" applyProtection="1">
      <alignment vertical="center" wrapText="1"/>
      <protection locked="1" hidden="1"/>
    </xf>
    <xf numFmtId="0" fontId="0" fillId="181" borderId="180" xfId="0" applyFill="1" applyBorder="1" applyAlignment="1" applyProtection="1">
      <alignment vertical="center" wrapText="1"/>
      <protection locked="1" hidden="1"/>
    </xf>
    <xf numFmtId="0" fontId="0" fillId="133" borderId="132" xfId="0" applyFill="1" applyBorder="1" applyAlignment="1" applyProtection="1">
      <alignment vertical="center" wrapText="1"/>
      <protection locked="1" hidden="1"/>
    </xf>
    <xf numFmtId="0" fontId="0" fillId="24" borderId="23" xfId="0" applyFill="1" applyBorder="1" applyAlignment="1" applyProtection="1">
      <alignment vertical="center" wrapText="1"/>
      <protection locked="1" hidden="1"/>
    </xf>
    <xf numFmtId="0" fontId="12" fillId="182" borderId="181" xfId="0" applyFont="1" applyFill="1" applyBorder="1" applyAlignment="1" applyProtection="1">
      <alignment horizontal="center" wrapText="1"/>
      <protection locked="1" hidden="1"/>
    </xf>
    <xf numFmtId="0" fontId="12" fillId="183" borderId="182" xfId="0" applyFont="1" applyFill="1" applyBorder="1" applyAlignment="1" applyProtection="1">
      <alignment horizontal="center" wrapText="1"/>
      <protection locked="1" hidden="1"/>
    </xf>
    <xf numFmtId="0" fontId="12" fillId="184" borderId="183" xfId="0" applyFont="1" applyFill="1" applyBorder="1" applyAlignment="1" applyProtection="1">
      <alignment horizontal="center" wrapText="1"/>
      <protection locked="1" hidden="1"/>
    </xf>
    <xf numFmtId="0" fontId="12" fillId="185" borderId="184" xfId="0" applyFont="1" applyFill="1" applyBorder="1" applyAlignment="1" applyProtection="1">
      <alignment horizontal="center" vertical="center"/>
      <protection locked="1" hidden="1"/>
    </xf>
    <xf numFmtId="0" fontId="12" fillId="186" borderId="185" xfId="0" applyFont="1" applyFill="1" applyBorder="1" applyAlignment="1" applyProtection="1">
      <alignment horizontal="center" vertical="center"/>
      <protection locked="1" hidden="1"/>
    </xf>
    <xf numFmtId="0" fontId="12" fillId="187" borderId="186" xfId="0" applyFont="1" applyFill="1" applyBorder="1" applyAlignment="1" applyProtection="1">
      <alignment horizontal="center" vertical="center"/>
      <protection locked="1" hidden="1"/>
    </xf>
    <xf numFmtId="0" fontId="12" fillId="188" borderId="187" xfId="0" applyFont="1" applyFill="1" applyBorder="1" applyAlignment="1" applyProtection="1">
      <alignment horizontal="center" vertical="center" wrapText="1"/>
      <protection locked="1" hidden="1"/>
    </xf>
    <xf numFmtId="0" fontId="12" fillId="137" borderId="136" xfId="0" applyFont="1" applyFill="1" applyBorder="1" applyAlignment="1" applyProtection="1">
      <alignment horizontal="center" vertical="center" wrapText="1"/>
      <protection locked="1" hidden="1"/>
    </xf>
    <xf numFmtId="0" fontId="12" fillId="189" borderId="188" xfId="0" applyFont="1" applyFill="1" applyBorder="1" applyAlignment="1" applyProtection="1">
      <alignment horizontal="center" vertical="center" wrapText="1"/>
      <protection locked="1" hidden="1"/>
    </xf>
    <xf numFmtId="0" fontId="12" fillId="140" borderId="139" xfId="0" applyFont="1" applyFill="1" applyBorder="1" applyAlignment="1" applyProtection="1">
      <alignment horizontal="center" vertical="center" wrapText="1"/>
      <protection locked="1" hidden="1"/>
    </xf>
    <xf numFmtId="0" fontId="4" fillId="6" borderId="5" xfId="8" applyFont="1" applyProtection="1">
      <alignment horizontal="left" vertical="center"/>
      <protection locked="1" hidden="0"/>
    </xf>
    <xf numFmtId="169" fontId="0" fillId="0" borderId="0" xfId="0" applyNumberFormat="1" applyAlignment="1">
      <alignment horizontal="center" vertical="center"/>
    </xf>
    <xf numFmtId="49" fontId="0" fillId="0" borderId="0" xfId="0" applyNumberFormat="1" applyAlignment="1">
      <alignment horizontal="center" vertical="center"/>
    </xf>
    <xf numFmtId="49" fontId="0" fillId="79" borderId="78" xfId="0" applyNumberFormat="1" applyFill="1" applyAlignment="1">
      <alignment horizontal="center" vertical="center"/>
    </xf>
    <xf numFmtId="3" fontId="0" fillId="0" borderId="0" xfId="0" applyNumberFormat="1"/>
    <xf numFmtId="165" fontId="0" fillId="0" borderId="0" xfId="0" applyNumberFormat="1"/>
    <xf numFmtId="3" fontId="0" fillId="0" borderId="0" xfId="0" applyNumberFormat="1" applyAlignment="1" applyProtection="1">
      <alignment horizontal="right"/>
      <protection locked="1" hidden="1"/>
    </xf>
    <xf numFmtId="3" fontId="0" fillId="0" borderId="6" xfId="0" applyNumberFormat="1" applyBorder="1" applyAlignment="1" applyProtection="1">
      <alignment horizontal="right"/>
      <protection locked="1" hidden="1"/>
    </xf>
    <xf numFmtId="3" fontId="0" fillId="0" borderId="0" xfId="0" applyNumberFormat="1"/>
    <xf numFmtId="174" fontId="0" fillId="0" borderId="0" xfId="0" applyNumberFormat="1"/>
    <xf numFmtId="3" fontId="0" fillId="0" borderId="0" xfId="0" applyNumberFormat="1" applyAlignment="1" applyProtection="1">
      <alignment horizontal="right"/>
      <protection locked="1" hidden="1"/>
    </xf>
    <xf numFmtId="4" fontId="0" fillId="0" borderId="0" xfId="0" applyNumberFormat="1"/>
    <xf numFmtId="172" fontId="0" fillId="0" borderId="0" xfId="0" applyNumberFormat="1"/>
    <xf numFmtId="0" fontId="0" fillId="0" borderId="0" xfId="0" applyAlignment="1" quotePrefix="1">
      <alignment/>
    </xf>
    <xf numFmtId="169" fontId="0" fillId="89" borderId="88" xfId="4" applyFill="1" applyBorder="1" applyAlignment="1" applyProtection="1" quotePrefix="1">
      <alignment horizontal="left" vertical="center" wrapText="1"/>
      <protection locked="1" hidden="0"/>
    </xf>
    <xf numFmtId="169" fontId="5" fillId="89" borderId="88" xfId="4" applyFont="1" applyFill="1" applyBorder="1" applyAlignment="1" applyProtection="1" quotePrefix="1">
      <alignment horizontal="left" vertical="center" wrapText="1"/>
      <protection locked="1" hidden="0"/>
    </xf>
    <xf numFmtId="0" fontId="20" fillId="64" borderId="63" xfId="0" applyFont="1" applyFill="1" applyBorder="1" applyAlignment="1" quotePrefix="1">
      <alignment horizontal="left" vertical="center" wrapText="1"/>
    </xf>
    <xf numFmtId="0" fontId="0" fillId="77" borderId="76" xfId="0" applyFill="1" applyAlignment="1" quotePrefix="1">
      <alignment horizontal="left" vertical="center"/>
    </xf>
    <xf numFmtId="169" fontId="0" fillId="64" borderId="63" xfId="4" applyFill="1" applyBorder="1" applyAlignment="1" applyProtection="1" quotePrefix="1">
      <alignment horizontal="left" vertical="center" wrapText="1"/>
      <protection locked="1" hidden="0"/>
    </xf>
  </cellXfs>
  <cellStyles count="14">
    <cellStyle name="Normal" xfId="0" builtinId="0" customBuiltin="1"/>
    <cellStyle name="Aop" xfId="1"/>
    <cellStyle name="Calculation" xfId="2" builtinId="22" customBuiltin="1"/>
    <cellStyle name="Good" xfId="3" builtinId="26" customBuiltin="1"/>
    <cellStyle name="Grupa" xfId="4"/>
    <cellStyle name="Hyperlink" xfId="5" builtinId="8" customBuiltin="1"/>
    <cellStyle name="UnosBroj" xfId="6"/>
    <cellStyle name="UnosPodataka" xfId="7"/>
    <cellStyle name="UnosTekst" xfId="8"/>
    <cellStyle name="Zaglavlje" xfId="9"/>
    <cellStyle name="ZiroRacun" xfId="10"/>
    <cellStyle name="ZiroRacunUnos" xfId="11"/>
    <cellStyle name="Input" xfId="12" builtinId="20" customBuiltin="1"/>
    <cellStyle name="Comma" xfId="13" builtinId="3" customBuiltin="1"/>
  </cellStyles>
  <dxfs count="118">
    <dxf>
      <font>
        <color rgb="FFFF0000"/>
        <extLst>
          <ext uri="smNativeData">
            <pm:charSpec xmlns:pm="smNativeData" id="1714042646" fgClr="FF0000">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ont>
        <strike/>
        <extLst>
          <ext uri="smNativeData">
            <pm:charSpec xmlns:pm="smNativeData" id="1714042646" strike="1">
              <pm:latin/>
              <pm:cs/>
              <pm:ea/>
            </pm:charSpec>
          </ext>
        </extLst>
      </font>
    </dxf>
    <dxf>
      <fill>
        <patternFill patternType="solid">
          <bgColor rgb="FFF2DCDB"/>
          <extLst>
            <ext uri="smNativeData">
              <pm:shade xmlns:pm="smNativeData" id="1714042646" type="1" fgLvl="100" fgClr="00F2DCDB" bgLvl="100" bgClr="FFFFFFFF"/>
            </ext>
          </extLst>
        </patternFill>
      </fill>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
      <border>
        <bottom style="thin">
          <color rgb="FF000000"/>
        </bottom>
        <extLst>
          <ext uri="smNativeData">
            <pm:border xmlns:pm="smNativeData" id="1714042646">
              <pm:line position="bottom" type="1" style="0" width="20" dist="20" width2="20" rgb="000000"/>
            </pm:border>
          </ext>
        </extLst>
      </border>
    </dxf>
  </dxfs>
  <tableStyles count="0"/>
  <extLst>
    <ext uri="smNativeData">
      <pm:charStyles xmlns:pm="smNativeData" id="1714042646" count="1">
        <pm:charStyle name="Normal" fontId="0" Id="1"/>
      </pm:charStyles>
      <pm:colors xmlns:pm="smNativeData" id="1714042646" count="27">
        <pm:color name="Color 24" rgb="FA7D00"/>
        <pm:color name="Color 25" rgb="006100"/>
        <pm:color name="Color 26" rgb="454F67"/>
        <pm:color name="Color 27" rgb="963634"/>
        <pm:color name="Color 28" rgb="C0504D"/>
        <pm:color name="Color 29" rgb="3F3F76"/>
        <pm:color name="Color 30" rgb="EAEAEA"/>
        <pm:color name="Color 31" rgb="F2F2F2"/>
        <pm:color name="Color 32" rgb="C6EFCE"/>
        <pm:color name="Color 33" rgb="DDDDDD"/>
        <pm:color name="Color 34" rgb="FFCC99"/>
        <pm:color name="Color 35" rgb="92CDDC"/>
        <pm:color name="Color 36" rgb="00B0F0"/>
        <pm:color name="Color 37" rgb="92D050"/>
        <pm:color name="Color 38" rgb="B7DEE8"/>
        <pm:color name="Color 39" rgb="FCD5B4"/>
        <pm:color name="Color 40" rgb="E4E4E4"/>
        <pm:color name="Color 41" rgb="E8E8E8"/>
        <pm:color name="Color 42" rgb="BFBFBF"/>
        <pm:color name="Color 43" rgb="F2DCDB"/>
        <pm:color name="Color 44" rgb="DCE6F1"/>
        <pm:color name="Color 45" rgb="B8CCE4"/>
        <pm:color name="Color 46" rgb="4F81BD"/>
        <pm:color name="Color 47" rgb="F79646"/>
        <pm:color name="Color 48" rgb="B2B2B2"/>
        <pm:color name="Color 49" rgb="F7F7F7"/>
        <pm:color name="Color 50" rgb="EFEFEF"/>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drawings/_rels/drawing1.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2.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3.xml.rels><?xml version="1.0" encoding="UTF-8" standalone="yes" ?>
<Relationships xmlns="http://schemas.openxmlformats.org/package/2006/relationships"><Relationship Id="rId1" Type="http://schemas.openxmlformats.org/officeDocument/2006/relationships/hyperlink" Target="#&apos;02a&apos;!C12"/><Relationship Id="rId2" Type="http://schemas.openxmlformats.org/officeDocument/2006/relationships/hyperlink" Target="#&apos;02b&apos;!C12"/><Relationship Id="rId3" Type="http://schemas.openxmlformats.org/officeDocument/2006/relationships/hyperlink" Target="#&apos;03&apos;!C12"/><Relationship Id="rId4" Type="http://schemas.openxmlformats.org/officeDocument/2006/relationships/hyperlink" Target="#&apos;04&apos;!C12"/><Relationship Id="rId5" Type="http://schemas.openxmlformats.org/officeDocument/2006/relationships/hyperlink" Target="#&apos;05&apos;!C12"/><Relationship Id="rId6" Type="http://schemas.openxmlformats.org/officeDocument/2006/relationships/hyperlink" Target="#Osnovni_Podaci!B5"/><Relationship Id="rId7" Type="http://schemas.openxmlformats.org/officeDocument/2006/relationships/hyperlink" Target="#Uputstvo!B5"/><Relationship Id="rId8" Type="http://schemas.openxmlformats.org/officeDocument/2006/relationships/hyperlink" Target="#&apos;01&apos;!C12"/></Relationships>
</file>

<file path=xl/drawings/_rels/drawing4.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5.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6.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7.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8.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9.xml.rels><?xml version="1.0" encoding="UTF-8" standalone="yes" ?>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366395</xdr:colOff>
      <xdr:row>0</xdr:row>
      <xdr:rowOff>47625</xdr:rowOff>
    </xdr:from>
    <xdr:to>
      <xdr:col>18</xdr:col>
      <xdr:colOff>123825</xdr:colOff>
      <xdr:row>4</xdr:row>
      <xdr:rowOff>0</xdr:rowOff>
    </xdr:to>
    <xdr:grpSp>
      <xdr:nvGrpSpPr>
        <xdr:cNvPr id="9" name="Okvir Navigacija"/>
        <xdr:cNvGrpSpPr>
          <a:extLst>
            <a:ext uri="smNativeData">
              <pm:smNativeData xmlns:pm="smNativeData" val="SMDATA_4_FjcqZhMAAAAlAAAAAQAAAIsBAAAAkAAAAEgAAACQAAAASAAAAAAAAAAAAAAAAAAAABcAAAAUAAAAAAAAAAAAAAD/fwAA/38AAAAAAAAJAAAABAAAAMe+W3ohAAAAMAAAACwAAAAAAAAAAAAAAA4BAAQEAAAAEgAAAAAA2ABBAgAASwAAAA1BAAAlBAAAAgAAAA=="/>
            </a:ext>
          </a:extLst>
        </xdr:cNvGrpSpPr>
      </xdr:nvGrpSpPr>
      <xdr:grpSpPr>
        <a:xfrm>
          <a:off x="366395" y="47625"/>
          <a:ext cx="10574655" cy="673735"/>
          <a:chOff x="366395" y="47625"/>
          <a:chExt cx="10574655" cy="673735"/>
        </a:xfrm>
      </xdr:grpSpPr>
      <xdr:sp macro="" fLocksText="0">
        <xdr:nvSpPr>
          <xdr:cNvPr id="10" name="Link BS">
            <a:hlinkClick xmlns:r="http://schemas.openxmlformats.org/officeDocument/2006/relationships" r:id="rId1"/>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8cAAAHAQAAWwkAAEUBAAAAAAAA"/>
              </a:ext>
            </a:extLst>
          </xdr:cNvSpPr>
        </xdr:nvSpPr>
        <xdr:spPr>
          <a:xfrm>
            <a:off x="4571365" y="167005"/>
            <a:ext cx="152082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11" name="Link BU">
            <a:hlinkClick xmlns:r="http://schemas.openxmlformats.org/officeDocument/2006/relationships" r:id="rId2"/>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EmAAAHAQAAzAsAAEUBAAAAAAAA"/>
              </a:ext>
            </a:extLst>
          </xdr:cNvSpPr>
        </xdr:nvSpPr>
        <xdr:spPr>
          <a:xfrm>
            <a:off x="6188075" y="167005"/>
            <a:ext cx="191770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12" name="Link ODGP">
            <a:hlinkClick xmlns:r="http://schemas.openxmlformats.org/officeDocument/2006/relationships" r:id="rId3"/>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PodAACiAgAAVh4AAEUBAAAAAAAA"/>
              </a:ext>
            </a:extLst>
          </xdr:cNvSpPr>
        </xdr:nvSpPr>
        <xdr:spPr>
          <a:xfrm>
            <a:off x="4872990" y="427990"/>
            <a:ext cx="493141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13" name="Link BTG">
            <a:hlinkClick xmlns:r="http://schemas.openxmlformats.org/officeDocument/2006/relationships" r:id="rId4"/>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QyAAAHAQAAfg4AAEUBAAAAAAAA"/>
              </a:ext>
            </a:extLst>
          </xdr:cNvSpPr>
        </xdr:nvSpPr>
        <xdr:spPr>
          <a:xfrm>
            <a:off x="8201660" y="167005"/>
            <a:ext cx="235585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14" name="Link Aneks">
            <a:hlinkClick xmlns:r="http://schemas.openxmlformats.org/officeDocument/2006/relationships" r:id="rId5"/>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MDAACiAgAApQUAAEUBAAAAAAAA"/>
              </a:ext>
            </a:extLst>
          </xdr:cNvSpPr>
        </xdr:nvSpPr>
        <xdr:spPr>
          <a:xfrm>
            <a:off x="489585" y="427990"/>
            <a:ext cx="91757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15" name="Link BPK">
            <a:hlinkClick xmlns:r="http://schemas.openxmlformats.org/officeDocument/2006/relationships" r:id="rId6"/>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G5lPC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GsJAACiAgAAzRMAAEUBAAAAAAAA"/>
              </a:ext>
            </a:extLst>
          </xdr:cNvSpPr>
        </xdr:nvSpPr>
        <xdr:spPr>
          <a:xfrm>
            <a:off x="1530985" y="427990"/>
            <a:ext cx="321881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6" name="Link Osnovni podaci">
            <a:hlinkClick xmlns:r="http://schemas.openxmlformats.org/officeDocument/2006/relationships" r:id="rId7"/>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ERAAAHAQAABwoAAEUBAAAAAAAA"/>
              </a:ext>
            </a:extLst>
          </xdr:cNvSpPr>
        </xdr:nvSpPr>
        <xdr:spPr>
          <a:xfrm>
            <a:off x="2845435" y="167005"/>
            <a:ext cx="163004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7" name="Link Uputstvo">
            <a:hlinkClick xmlns:r="http://schemas.openxmlformats.org/officeDocument/2006/relationships" r:id="rId8"/>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MDAAAHAQAA5w0AAEUBAAAAAAAA"/>
              </a:ext>
            </a:extLst>
          </xdr:cNvSpPr>
        </xdr:nvSpPr>
        <xdr:spPr>
          <a:xfrm>
            <a:off x="489585" y="167005"/>
            <a:ext cx="225996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365125</xdr:colOff>
      <xdr:row>0</xdr:row>
      <xdr:rowOff>0</xdr:rowOff>
    </xdr:from>
    <xdr:to>
      <xdr:col>27</xdr:col>
      <xdr:colOff>1600200</xdr:colOff>
      <xdr:row>3</xdr:row>
      <xdr:rowOff>38735</xdr:rowOff>
    </xdr:to>
    <xdr:grpSp>
      <xdr:nvGrpSpPr>
        <xdr:cNvPr id="7" name="Group 9"/>
        <xdr:cNvGrpSpPr>
          <a:extLst>
            <a:ext uri="smNativeData">
              <pm:smNativeData xmlns:pm="smNativeData" val="SMDATA_4_FjcqZhMAAAAlAAAAAQAAAIsBAAAAkAAAAEgAAACQAAAASAAAAAAAAAAAAAAAAAAAABcAAAAUAAAAAAAAAAAAAAD/fwAA/38AAAAAAAAJAAAABAAAAAAAAAAhAAAAMAAAACwAAAAAAAAAAAAAAAAA/AMDAAAAGwAAAL0AngI/AgAAAAAAAJg4AAALBQAAAAAAAA=="/>
            </a:ext>
          </a:extLst>
        </xdr:cNvGrpSpPr>
      </xdr:nvGrpSpPr>
      <xdr:grpSpPr>
        <a:xfrm>
          <a:off x="365125" y="0"/>
          <a:ext cx="9199880" cy="819785"/>
          <a:chOff x="365125" y="0"/>
          <a:chExt cx="9199880" cy="819785"/>
        </a:xfrm>
      </xdr:grpSpPr>
      <xdr:sp macro="" fLocksText="0">
        <xdr:nvSpPr>
          <xdr:cNvPr id="8" name="Link BS">
            <a:hlinkClick xmlns:r="http://schemas.openxmlformats.org/officeDocument/2006/relationships" r:id="rId1"/>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cXAADSAAAA+QgAAIcBAAAAAAAA"/>
              </a:ext>
            </a:extLst>
          </xdr:cNvSpPr>
        </xdr:nvSpPr>
        <xdr:spPr>
          <a:xfrm>
            <a:off x="3753485" y="133350"/>
            <a:ext cx="1458595" cy="24828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9" name="Link BU">
            <a:hlinkClick xmlns:r="http://schemas.openxmlformats.org/officeDocument/2006/relationships" r:id="rId2"/>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DsgAADDAAAAjQsAAIYBAAAAAAAA"/>
              </a:ext>
            </a:extLst>
          </xdr:cNvSpPr>
        </xdr:nvSpPr>
        <xdr:spPr>
          <a:xfrm>
            <a:off x="5239385" y="123825"/>
            <a:ext cx="1877695" cy="2476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10" name="Link ODGP">
            <a:hlinkClick xmlns:r="http://schemas.openxmlformats.org/officeDocument/2006/relationships" r:id="rId3"/>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DYgAACFAgAA5RkAAKQBAAAAAAAA"/>
              </a:ext>
            </a:extLst>
          </xdr:cNvSpPr>
        </xdr:nvSpPr>
        <xdr:spPr>
          <a:xfrm>
            <a:off x="5236210" y="409575"/>
            <a:ext cx="4209415" cy="2667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11" name="Link BTG">
            <a:hlinkClick xmlns:r="http://schemas.openxmlformats.org/officeDocument/2006/relationships" r:id="rId4"/>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IsAADKAAAANg4AAG8BAAAAAAAA"/>
              </a:ext>
            </a:extLst>
          </xdr:cNvSpPr>
        </xdr:nvSpPr>
        <xdr:spPr>
          <a:xfrm>
            <a:off x="7153910" y="128270"/>
            <a:ext cx="2310130" cy="23304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12" name="Link Aneks">
            <a:hlinkClick xmlns:r="http://schemas.openxmlformats.org/officeDocument/2006/relationships" r:id="rId5"/>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QCAACZAgAADwwAAJABAAAAAAAA"/>
              </a:ext>
            </a:extLst>
          </xdr:cNvSpPr>
        </xdr:nvSpPr>
        <xdr:spPr>
          <a:xfrm>
            <a:off x="398780" y="422275"/>
            <a:ext cx="1960245" cy="2540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13" name="Link BPK">
            <a:hlinkClick xmlns:r="http://schemas.openxmlformats.org/officeDocument/2006/relationships" r:id="rId6"/>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McOAACIAgAAZhEAALABAAAAAAAA"/>
              </a:ext>
            </a:extLst>
          </xdr:cNvSpPr>
        </xdr:nvSpPr>
        <xdr:spPr>
          <a:xfrm>
            <a:off x="2402205" y="411480"/>
            <a:ext cx="2828290" cy="2743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4" name="Link Osnovni podaci">
            <a:hlinkClick xmlns:r="http://schemas.openxmlformats.org/officeDocument/2006/relationships" r:id="rId7"/>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N0OAADSAAAAFggAAIUBAAAAAAAA"/>
              </a:ext>
            </a:extLst>
          </xdr:cNvSpPr>
        </xdr:nvSpPr>
        <xdr:spPr>
          <a:xfrm>
            <a:off x="2416175" y="133350"/>
            <a:ext cx="1314450" cy="2470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5" name="Link Uputstvo">
            <a:hlinkClick xmlns:r="http://schemas.openxmlformats.org/officeDocument/2006/relationships" r:id="rId8"/>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EUCAAC+AAAAWwwAAJoBAAAAAAAA"/>
              </a:ext>
            </a:extLst>
          </xdr:cNvSpPr>
        </xdr:nvSpPr>
        <xdr:spPr>
          <a:xfrm>
            <a:off x="368935" y="120650"/>
            <a:ext cx="2008505" cy="2603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6</xdr:col>
      <xdr:colOff>47625</xdr:colOff>
      <xdr:row>0</xdr:row>
      <xdr:rowOff>144780</xdr:rowOff>
    </xdr:from>
    <xdr:to>
      <xdr:col>7</xdr:col>
      <xdr:colOff>942975</xdr:colOff>
      <xdr:row>2</xdr:row>
      <xdr:rowOff>19050</xdr:rowOff>
    </xdr:to>
    <xdr:sp macro="" fLocksText="0">
      <xdr:nvSpPr>
        <xdr:cNvPr id="10" name="Link BU">
          <a:hlinkClick xmlns:r="http://schemas.openxmlformats.org/officeDocument/2006/relationships" r:id="rId1"/>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NgMsAAIAAAAHAAAAbABnA0ceAADkAAAAVAwAAHIBAAACAAAA"/>
            </a:ext>
          </a:extLst>
        </xdr:cNvSpPr>
      </xdr:nvSpPr>
      <xdr:spPr>
        <a:xfrm>
          <a:off x="4921885" y="144780"/>
          <a:ext cx="2004060" cy="2349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57150</xdr:colOff>
      <xdr:row>2</xdr:row>
      <xdr:rowOff>38100</xdr:rowOff>
    </xdr:from>
    <xdr:to>
      <xdr:col>11</xdr:col>
      <xdr:colOff>571500</xdr:colOff>
      <xdr:row>3</xdr:row>
      <xdr:rowOff>66675</xdr:rowOff>
    </xdr:to>
    <xdr:sp macro="" fLocksText="0">
      <xdr:nvSpPr>
        <xdr:cNvPr id="9" name="Link ODGP">
          <a:hlinkClick xmlns:r="http://schemas.openxmlformats.org/officeDocument/2006/relationships" r:id="rId2"/>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2AA1AAMAAAALAAAAewHnAlYeAAB0AgAAExwAAEkBAAACAAAA"/>
            </a:ext>
          </a:extLst>
        </xdr:cNvSpPr>
      </xdr:nvSpPr>
      <xdr:spPr>
        <a:xfrm>
          <a:off x="4931410" y="398780"/>
          <a:ext cx="4563745" cy="2089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7</xdr:col>
      <xdr:colOff>990600</xdr:colOff>
      <xdr:row>0</xdr:row>
      <xdr:rowOff>144780</xdr:rowOff>
    </xdr:from>
    <xdr:to>
      <xdr:col>11</xdr:col>
      <xdr:colOff>581025</xdr:colOff>
      <xdr:row>2</xdr:row>
      <xdr:rowOff>47625</xdr:rowOff>
    </xdr:to>
    <xdr:sp macro="" fLocksText="0">
      <xdr:nvSpPr>
        <xdr:cNvPr id="8" name="Link BTG">
          <a:hlinkClick xmlns:r="http://schemas.openxmlformats.org/officeDocument/2006/relationships" r:id="rId3"/>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NgOTAwIAAAALAAAADgHzAuYqAADkAAAAkg8AAJ8BAAACAAAA"/>
            </a:ext>
          </a:extLst>
        </xdr:cNvSpPr>
      </xdr:nvSpPr>
      <xdr:spPr>
        <a:xfrm>
          <a:off x="6973570" y="144780"/>
          <a:ext cx="2531110" cy="2635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114300</xdr:colOff>
      <xdr:row>2</xdr:row>
      <xdr:rowOff>57150</xdr:rowOff>
    </xdr:from>
    <xdr:to>
      <xdr:col>3</xdr:col>
      <xdr:colOff>581660</xdr:colOff>
      <xdr:row>3</xdr:row>
      <xdr:rowOff>38100</xdr:rowOff>
    </xdr:to>
    <xdr:sp macro="" fLocksText="0">
      <xdr:nvSpPr>
        <xdr:cNvPr id="7" name="Link Aneks">
          <a:hlinkClick xmlns:r="http://schemas.openxmlformats.org/officeDocument/2006/relationships" r:id="rId4"/>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RQFhAAMAAAADAAAA2AAZAsoCAACSAgAAUAoAAP4AAAACAAAA"/>
            </a:ext>
          </a:extLst>
        </xdr:cNvSpPr>
      </xdr:nvSpPr>
      <xdr:spPr>
        <a:xfrm>
          <a:off x="453390" y="417830"/>
          <a:ext cx="1676400" cy="16129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565150</xdr:colOff>
      <xdr:row>2</xdr:row>
      <xdr:rowOff>47625</xdr:rowOff>
    </xdr:from>
    <xdr:to>
      <xdr:col>6</xdr:col>
      <xdr:colOff>27940</xdr:colOff>
      <xdr:row>3</xdr:row>
      <xdr:rowOff>47625</xdr:rowOff>
    </xdr:to>
    <xdr:sp macro="" fLocksText="0">
      <xdr:nvSpPr>
        <xdr:cNvPr id="6" name="Link BPK">
          <a:hlinkClick xmlns:r="http://schemas.openxmlformats.org/officeDocument/2006/relationships" r:id="rId5"/>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DgEKAgMAAAAGAAAADgEaAAANAACDAgAAKBEAABwBAAACAAAA"/>
            </a:ext>
          </a:extLst>
        </xdr:cNvSpPr>
      </xdr:nvSpPr>
      <xdr:spPr>
        <a:xfrm>
          <a:off x="2113280" y="408305"/>
          <a:ext cx="2788920"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527050</xdr:colOff>
      <xdr:row>0</xdr:row>
      <xdr:rowOff>151765</xdr:rowOff>
    </xdr:from>
    <xdr:to>
      <xdr:col>4</xdr:col>
      <xdr:colOff>648335</xdr:colOff>
      <xdr:row>2</xdr:row>
      <xdr:rowOff>10160</xdr:rowOff>
    </xdr:to>
    <xdr:sp macro="" fLocksText="0">
      <xdr:nvSpPr>
        <xdr:cNvPr id="5" name="Link Osnovni podaci">
          <a:hlinkClick xmlns:r="http://schemas.openxmlformats.org/officeDocument/2006/relationships" r:id="rId6"/>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XgPnAQIAAAAEAAAAOgBXAsQMAADvAAAAkQcAAFkBAAACAAAA"/>
            </a:ext>
          </a:extLst>
        </xdr:cNvSpPr>
      </xdr:nvSpPr>
      <xdr:spPr>
        <a:xfrm>
          <a:off x="2075180" y="151765"/>
          <a:ext cx="122999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114300</xdr:colOff>
      <xdr:row>0</xdr:row>
      <xdr:rowOff>151765</xdr:rowOff>
    </xdr:from>
    <xdr:to>
      <xdr:col>3</xdr:col>
      <xdr:colOff>552450</xdr:colOff>
      <xdr:row>2</xdr:row>
      <xdr:rowOff>10160</xdr:rowOff>
    </xdr:to>
    <xdr:sp macro="" fLocksText="0">
      <xdr:nvSpPr>
        <xdr:cNvPr id="4" name="Link Uputstvo">
          <a:hlinkClick xmlns:r="http://schemas.openxmlformats.org/officeDocument/2006/relationships" r:id="rId7"/>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CAAAAXgNhAAIAAAADAAAAOgD+AcoCAADvAAAAIgoAAFkBAAACAAAA"/>
            </a:ext>
          </a:extLst>
        </xdr:cNvSpPr>
      </xdr:nvSpPr>
      <xdr:spPr>
        <a:xfrm>
          <a:off x="453390" y="151765"/>
          <a:ext cx="1647190"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twoCellAnchor editAs="absolute">
    <xdr:from>
      <xdr:col>4</xdr:col>
      <xdr:colOff>699135</xdr:colOff>
      <xdr:row>0</xdr:row>
      <xdr:rowOff>151765</xdr:rowOff>
    </xdr:from>
    <xdr:to>
      <xdr:col>6</xdr:col>
      <xdr:colOff>27940</xdr:colOff>
      <xdr:row>2</xdr:row>
      <xdr:rowOff>19050</xdr:rowOff>
    </xdr:to>
    <xdr:sp macro="" fLocksText="0">
      <xdr:nvSpPr>
        <xdr:cNvPr id="3" name="Link BS">
          <a:hlinkClick xmlns:r="http://schemas.openxmlformats.org/officeDocument/2006/relationships" r:id="rId8"/>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EAAAAXgOGAgIAAAAGAAAAbAAaAKUUAADvAAAAgwkAAGcBAAACAAAA"/>
            </a:ext>
          </a:extLst>
        </xdr:cNvSpPr>
      </xdr:nvSpPr>
      <xdr:spPr>
        <a:xfrm>
          <a:off x="3355975" y="151765"/>
          <a:ext cx="1546225" cy="22796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4</xdr:col>
      <xdr:colOff>742950</xdr:colOff>
      <xdr:row>0</xdr:row>
      <xdr:rowOff>152400</xdr:rowOff>
    </xdr:from>
    <xdr:to>
      <xdr:col>6</xdr:col>
      <xdr:colOff>209550</xdr:colOff>
      <xdr:row>2</xdr:row>
      <xdr:rowOff>28575</xdr:rowOff>
    </xdr:to>
    <xdr:sp macro="" fLocksText="0">
      <xdr:nvSpPr>
        <xdr:cNvPr id="10" name="Link BS">
          <a:hlinkClick xmlns:r="http://schemas.openxmlformats.org/officeDocument/2006/relationships" r:id="rId1"/>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EAAAAxAO6AgIAAAAGAAAAtQDFAJMUAADwAAAAIgoAADsBAAAAAAAA"/>
            </a:ext>
          </a:extLst>
        </xdr:cNvSpPr>
      </xdr:nvSpPr>
      <xdr:spPr>
        <a:xfrm>
          <a:off x="3344545" y="152400"/>
          <a:ext cx="164719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xdr:twoCellAnchor>
  <xdr:twoCellAnchor>
    <xdr:from>
      <xdr:col>6</xdr:col>
      <xdr:colOff>248285</xdr:colOff>
      <xdr:row>0</xdr:row>
      <xdr:rowOff>152400</xdr:rowOff>
    </xdr:from>
    <xdr:to>
      <xdr:col>7</xdr:col>
      <xdr:colOff>1143000</xdr:colOff>
      <xdr:row>2</xdr:row>
      <xdr:rowOff>19050</xdr:rowOff>
    </xdr:to>
    <xdr:sp macro="" fLocksText="0">
      <xdr:nvSpPr>
        <xdr:cNvPr id="9" name="Link BU">
          <a:hlinkClick xmlns:r="http://schemas.openxmlformats.org/officeDocument/2006/relationships" r:id="rId2"/>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xAPpAAIAAAAHAAAAeAAXBPIeAADwAAAADgwAACwBAAAAAAAA"/>
            </a:ext>
          </a:extLst>
        </xdr:cNvSpPr>
      </xdr:nvSpPr>
      <xdr:spPr>
        <a:xfrm>
          <a:off x="5030470" y="152400"/>
          <a:ext cx="195961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xdr:twoCellAnchor>
  <xdr:twoCellAnchor>
    <xdr:from>
      <xdr:col>6</xdr:col>
      <xdr:colOff>257810</xdr:colOff>
      <xdr:row>2</xdr:row>
      <xdr:rowOff>26670</xdr:rowOff>
    </xdr:from>
    <xdr:to>
      <xdr:col>11</xdr:col>
      <xdr:colOff>304800</xdr:colOff>
      <xdr:row>3</xdr:row>
      <xdr:rowOff>85725</xdr:rowOff>
    </xdr:to>
    <xdr:sp macro="" fLocksText="0">
      <xdr:nvSpPr>
        <xdr:cNvPr id="8" name="Link ODGP">
          <a:hlinkClick xmlns:r="http://schemas.openxmlformats.org/officeDocument/2006/relationships" r:id="rId3"/>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qQDyAAMAAAALAAAAHgJOAQEfAAAoAgAAOhsAAFwBAAAAAAAA"/>
            </a:ext>
          </a:extLst>
        </xdr:cNvSpPr>
      </xdr:nvSpPr>
      <xdr:spPr>
        <a:xfrm>
          <a:off x="5039995" y="350520"/>
          <a:ext cx="4425950" cy="2209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xdr:twoCellAnchor>
  <xdr:twoCellAnchor>
    <xdr:from>
      <xdr:col>8</xdr:col>
      <xdr:colOff>28575</xdr:colOff>
      <xdr:row>0</xdr:row>
      <xdr:rowOff>132080</xdr:rowOff>
    </xdr:from>
    <xdr:to>
      <xdr:col>11</xdr:col>
      <xdr:colOff>304800</xdr:colOff>
      <xdr:row>2</xdr:row>
      <xdr:rowOff>19050</xdr:rowOff>
    </xdr:to>
    <xdr:sp macro="" fLocksText="0">
      <xdr:nvSpPr>
        <xdr:cNvPr id="7" name="Link BTG">
          <a:hlinkClick xmlns:r="http://schemas.openxmlformats.org/officeDocument/2006/relationships" r:id="rId4"/>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IAAAAQwNAAAIAAAALAAAAeABOAS0rAADQAAAADg8AAEwBAAAAAAAA"/>
            </a:ext>
          </a:extLst>
        </xdr:cNvSpPr>
      </xdr:nvSpPr>
      <xdr:spPr>
        <a:xfrm>
          <a:off x="7018655" y="132080"/>
          <a:ext cx="2447290" cy="2108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xdr:twoCellAnchor>
  <xdr:twoCellAnchor>
    <xdr:from>
      <xdr:col>2</xdr:col>
      <xdr:colOff>23495</xdr:colOff>
      <xdr:row>2</xdr:row>
      <xdr:rowOff>19050</xdr:rowOff>
    </xdr:from>
    <xdr:to>
      <xdr:col>3</xdr:col>
      <xdr:colOff>533400</xdr:colOff>
      <xdr:row>3</xdr:row>
      <xdr:rowOff>76200</xdr:rowOff>
    </xdr:to>
    <xdr:sp macro="" fLocksText="0">
      <xdr:nvSpPr>
        <xdr:cNvPr id="6" name="Link Aneks">
          <a:hlinkClick xmlns:r="http://schemas.openxmlformats.org/officeDocument/2006/relationships" r:id="rId5"/>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eAAUAAMAAAADAAAA4gH1AQECAAAcAgAAkwoAAFkBAAAAAAAA"/>
            </a:ext>
          </a:extLst>
        </xdr:cNvSpPr>
      </xdr:nvSpPr>
      <xdr:spPr>
        <a:xfrm>
          <a:off x="325755" y="342900"/>
          <a:ext cx="171894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xdr:twoCellAnchor>
  <xdr:twoCellAnchor>
    <xdr:from>
      <xdr:col>3</xdr:col>
      <xdr:colOff>581660</xdr:colOff>
      <xdr:row>2</xdr:row>
      <xdr:rowOff>28575</xdr:rowOff>
    </xdr:from>
    <xdr:to>
      <xdr:col>6</xdr:col>
      <xdr:colOff>219075</xdr:colOff>
      <xdr:row>3</xdr:row>
      <xdr:rowOff>85725</xdr:rowOff>
    </xdr:to>
    <xdr:sp macro="" fLocksText="0">
      <xdr:nvSpPr>
        <xdr:cNvPr id="5" name="Link BPK">
          <a:hlinkClick xmlns:r="http://schemas.openxmlformats.org/officeDocument/2006/relationships" r:id="rId6"/>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tQAiAgMAAAAGAAAAHgLOAOAMAAArAgAA5BEAAFkBAAAAAAAA"/>
            </a:ext>
          </a:extLst>
        </xdr:cNvSpPr>
      </xdr:nvSpPr>
      <xdr:spPr>
        <a:xfrm>
          <a:off x="2092960" y="352425"/>
          <a:ext cx="2908300"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xdr:twoCellAnchor>
  <xdr:twoCellAnchor>
    <xdr:from>
      <xdr:col>3</xdr:col>
      <xdr:colOff>542925</xdr:colOff>
      <xdr:row>0</xdr:row>
      <xdr:rowOff>142875</xdr:rowOff>
    </xdr:from>
    <xdr:to>
      <xdr:col>4</xdr:col>
      <xdr:colOff>723900</xdr:colOff>
      <xdr:row>2</xdr:row>
      <xdr:rowOff>28575</xdr:rowOff>
    </xdr:to>
    <xdr:sp macro="" fLocksText="0">
      <xdr:nvSpPr>
        <xdr:cNvPr id="4" name="Link Osnovni podaci">
          <a:hlinkClick xmlns:r="http://schemas.openxmlformats.org/officeDocument/2006/relationships" r:id="rId7"/>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iAP+AQIAAAAEAAAAtQCoAqMMAADhAAAA0gcAAEoBAAAAAAAA"/>
            </a:ext>
          </a:extLst>
        </xdr:cNvSpPr>
      </xdr:nvSpPr>
      <xdr:spPr>
        <a:xfrm>
          <a:off x="2054225" y="142875"/>
          <a:ext cx="1271270" cy="2095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xdr:twoCellAnchor>
  <xdr:twoCellAnchor>
    <xdr:from>
      <xdr:col>0</xdr:col>
      <xdr:colOff>314325</xdr:colOff>
      <xdr:row>0</xdr:row>
      <xdr:rowOff>142875</xdr:rowOff>
    </xdr:from>
    <xdr:to>
      <xdr:col>3</xdr:col>
      <xdr:colOff>495300</xdr:colOff>
      <xdr:row>2</xdr:row>
      <xdr:rowOff>28575</xdr:rowOff>
    </xdr:to>
    <xdr:sp macro="" fLocksText="0">
      <xdr:nvSpPr>
        <xdr:cNvPr id="3" name="Link Uputstvo">
          <a:hlinkClick xmlns:r="http://schemas.openxmlformats.org/officeDocument/2006/relationships" r:id="rId8"/>
        </xdr:cNvPr>
        <xdr:cNvSpPr>
          <a:extLst>
            <a:ext uri="smNativeData">
              <pm:smNativeData xmlns:pm="smNativeData" val="SMDATA_13_FjcqZh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iAMpBAIAAAADAAAAtQDRAdwBAADhAAAAfAoAAEoBAAAAAAAA"/>
            </a:ext>
          </a:extLst>
        </xdr:cNvSpPr>
      </xdr:nvSpPr>
      <xdr:spPr>
        <a:xfrm>
          <a:off x="302260" y="142875"/>
          <a:ext cx="1704340" cy="2095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160020</xdr:colOff>
      <xdr:row>1</xdr:row>
      <xdr:rowOff>9525</xdr:rowOff>
    </xdr:from>
    <xdr:to>
      <xdr:col>6</xdr:col>
      <xdr:colOff>724535</xdr:colOff>
      <xdr:row>2</xdr:row>
      <xdr:rowOff>38100</xdr:rowOff>
    </xdr:to>
    <xdr:sp macro="" fLocksText="0">
      <xdr:nvSpPr>
        <xdr:cNvPr id="10" name="Link BS">
          <a:hlinkClick xmlns:r="http://schemas.openxmlformats.org/officeDocument/2006/relationships" r:id="rId1"/>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FAAAAPAChAAIAAAAGAAAA8QDaApcUAAAOAQAAugkAACwBAAACAAAA"/>
            </a:ext>
          </a:extLst>
        </xdr:cNvSpPr>
      </xdr:nvSpPr>
      <xdr:spPr>
        <a:xfrm>
          <a:off x="3347085" y="171450"/>
          <a:ext cx="158115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editAs="absolute">
    <xdr:from>
      <xdr:col>6</xdr:col>
      <xdr:colOff>766445</xdr:colOff>
      <xdr:row>1</xdr:row>
      <xdr:rowOff>0</xdr:rowOff>
    </xdr:from>
    <xdr:to>
      <xdr:col>9</xdr:col>
      <xdr:colOff>190500</xdr:colOff>
      <xdr:row>2</xdr:row>
      <xdr:rowOff>28575</xdr:rowOff>
    </xdr:to>
    <xdr:sp macro="" fLocksText="0">
      <xdr:nvSpPr>
        <xdr:cNvPr id="9" name="Link BU">
          <a:hlinkClick xmlns:r="http://schemas.openxmlformats.org/officeDocument/2006/relationships" r:id="rId2"/>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GAAAAAAAEAwIAAAAJAAAAtQDVAJMeAAD/AAAAyAsAACwBAAACAAAA"/>
            </a:ext>
          </a:extLst>
        </xdr:cNvSpPr>
      </xdr:nvSpPr>
      <xdr:spPr>
        <a:xfrm>
          <a:off x="4970145" y="161925"/>
          <a:ext cx="191516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762635</xdr:colOff>
      <xdr:row>2</xdr:row>
      <xdr:rowOff>57150</xdr:rowOff>
    </xdr:from>
    <xdr:to>
      <xdr:col>11</xdr:col>
      <xdr:colOff>586105</xdr:colOff>
      <xdr:row>3</xdr:row>
      <xdr:rowOff>95250</xdr:rowOff>
    </xdr:to>
    <xdr:sp macro="" fLocksText="0">
      <xdr:nvSpPr>
        <xdr:cNvPr id="8" name="Link ODGP">
          <a:hlinkClick xmlns:r="http://schemas.openxmlformats.org/officeDocument/2006/relationships" r:id="rId3"/>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aQEAAwMAAAALAAAAWgJZAo0eAABYAgAABBoAADsBAAACAAAA"/>
            </a:ext>
          </a:extLst>
        </xdr:cNvSpPr>
      </xdr:nvSpPr>
      <xdr:spPr>
        <a:xfrm>
          <a:off x="4966335" y="381000"/>
          <a:ext cx="422910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9</xdr:col>
      <xdr:colOff>238125</xdr:colOff>
      <xdr:row>0</xdr:row>
      <xdr:rowOff>142875</xdr:rowOff>
    </xdr:from>
    <xdr:to>
      <xdr:col>11</xdr:col>
      <xdr:colOff>602615</xdr:colOff>
      <xdr:row>2</xdr:row>
      <xdr:rowOff>38100</xdr:rowOff>
    </xdr:to>
    <xdr:sp macro="" fLocksText="0">
      <xdr:nvSpPr>
        <xdr:cNvPr id="7" name="Link BTG">
          <a:hlinkClick xmlns:r="http://schemas.openxmlformats.org/officeDocument/2006/relationships" r:id="rId4"/>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JAAAAiAMKAQIAAAALAAAA8QBqAqYqAADhAAAABQ4AAFkBAAACAAAA"/>
            </a:ext>
          </a:extLst>
        </xdr:cNvSpPr>
      </xdr:nvSpPr>
      <xdr:spPr>
        <a:xfrm>
          <a:off x="6932930" y="142875"/>
          <a:ext cx="227901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116205</xdr:colOff>
      <xdr:row>2</xdr:row>
      <xdr:rowOff>57150</xdr:rowOff>
    </xdr:from>
    <xdr:to>
      <xdr:col>3</xdr:col>
      <xdr:colOff>1009650</xdr:colOff>
      <xdr:row>3</xdr:row>
      <xdr:rowOff>95250</xdr:rowOff>
    </xdr:to>
    <xdr:sp macro="" fLocksText="0">
      <xdr:nvSpPr>
        <xdr:cNvPr id="6" name="Link Aneks">
          <a:hlinkClick xmlns:r="http://schemas.openxmlformats.org/officeDocument/2006/relationships" r:id="rId5"/>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aQGVAAMAAAADAAAAWgL5A+kCAABYAgAAZgoAADsBAAACAAAA"/>
            </a:ext>
          </a:extLst>
        </xdr:cNvSpPr>
      </xdr:nvSpPr>
      <xdr:spPr>
        <a:xfrm>
          <a:off x="473075" y="381000"/>
          <a:ext cx="169037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1016635</xdr:colOff>
      <xdr:row>2</xdr:row>
      <xdr:rowOff>57150</xdr:rowOff>
    </xdr:from>
    <xdr:to>
      <xdr:col>6</xdr:col>
      <xdr:colOff>733425</xdr:colOff>
      <xdr:row>3</xdr:row>
      <xdr:rowOff>85725</xdr:rowOff>
    </xdr:to>
    <xdr:sp macro="" fLocksText="0">
      <xdr:nvSpPr>
        <xdr:cNvPr id="5" name="Link BPK">
          <a:hlinkClick xmlns:r="http://schemas.openxmlformats.org/officeDocument/2006/relationships" r:id="rId6"/>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aQEABAMAAAAGAAAAHgLjAloNAABYAgAABREAACwBAAACAAAA"/>
            </a:ext>
          </a:extLst>
        </xdr:cNvSpPr>
      </xdr:nvSpPr>
      <xdr:spPr>
        <a:xfrm>
          <a:off x="2170430" y="381000"/>
          <a:ext cx="276669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1016635</xdr:colOff>
      <xdr:row>1</xdr:row>
      <xdr:rowOff>9525</xdr:rowOff>
    </xdr:from>
    <xdr:to>
      <xdr:col>5</xdr:col>
      <xdr:colOff>133350</xdr:colOff>
      <xdr:row>2</xdr:row>
      <xdr:rowOff>19050</xdr:rowOff>
    </xdr:to>
    <xdr:sp macro="" fLocksText="0">
      <xdr:nvSpPr>
        <xdr:cNvPr id="4" name="Link Osnovni podaci">
          <a:hlinkClick xmlns:r="http://schemas.openxmlformats.org/officeDocument/2006/relationships" r:id="rId7"/>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DAAAAPAAABAIAAAAFAAAAeACGAFoNAAAOAQAAEwcAAA4BAAACAAAA"/>
            </a:ext>
          </a:extLst>
        </xdr:cNvSpPr>
      </xdr:nvSpPr>
      <xdr:spPr>
        <a:xfrm>
          <a:off x="2170430" y="171450"/>
          <a:ext cx="1149985" cy="1714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116205</xdr:colOff>
      <xdr:row>1</xdr:row>
      <xdr:rowOff>0</xdr:rowOff>
    </xdr:from>
    <xdr:to>
      <xdr:col>3</xdr:col>
      <xdr:colOff>981075</xdr:colOff>
      <xdr:row>2</xdr:row>
      <xdr:rowOff>28575</xdr:rowOff>
    </xdr:to>
    <xdr:sp macro="" fLocksText="0">
      <xdr:nvSpPr>
        <xdr:cNvPr id="3" name="Link Uputstvo">
          <a:hlinkClick xmlns:r="http://schemas.openxmlformats.org/officeDocument/2006/relationships" r:id="rId8"/>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CAAAAAACVAAIAAAADAAAAtQDcA+kCAAD/AAAAOQoAACwBAAACAAAA"/>
            </a:ext>
          </a:extLst>
        </xdr:cNvSpPr>
      </xdr:nvSpPr>
      <xdr:spPr>
        <a:xfrm>
          <a:off x="473075" y="161925"/>
          <a:ext cx="166179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257175</xdr:colOff>
      <xdr:row>0</xdr:row>
      <xdr:rowOff>28575</xdr:rowOff>
    </xdr:from>
    <xdr:to>
      <xdr:col>11</xdr:col>
      <xdr:colOff>379730</xdr:colOff>
      <xdr:row>3</xdr:row>
      <xdr:rowOff>109855</xdr:rowOff>
    </xdr:to>
    <xdr:grpSp>
      <xdr:nvGrpSpPr>
        <xdr:cNvPr id="3" name="Group 1"/>
        <xdr:cNvGrpSpPr>
          <a:extLst>
            <a:ext uri="smNativeData">
              <pm:smNativeData xmlns:pm="smNativeData" val="SMDATA_4_FjcqZhMAAAAlAAAAAQAAAIsBAAAAkAAAAEgAAACQAAAASAAAAAAAAAAAAAAAAAAAABcAAAAUAAAAAAAAAAAAAAD/fwAA/38AAAAAAAAJAAAABAAAACwATAAhAAAAMAAAACwAAAAAAAAAAAAAAKIAoAMDAAAACwAAAHACaAGVAQAALQAAAIs4AADUAwAAAAAAAA=="/>
            </a:ext>
          </a:extLst>
        </xdr:cNvGrpSpPr>
      </xdr:nvGrpSpPr>
      <xdr:grpSpPr>
        <a:xfrm>
          <a:off x="257175" y="28575"/>
          <a:ext cx="9191625" cy="622300"/>
          <a:chOff x="257175" y="28575"/>
          <a:chExt cx="9191625" cy="622300"/>
        </a:xfrm>
      </xdr:grpSpPr>
      <xdr:sp macro="" fLocksText="0">
        <xdr:nvSpPr>
          <xdr:cNvPr id="4" name="Link BS">
            <a:hlinkClick xmlns:r="http://schemas.openxmlformats.org/officeDocument/2006/relationships" r:id="rId1"/>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QXAAD7AAAAwwkAACsBAAAAAAAA"/>
              </a:ext>
            </a:extLst>
          </xdr:cNvSpPr>
        </xdr:nvSpPr>
        <xdr:spPr>
          <a:xfrm>
            <a:off x="3822700" y="159385"/>
            <a:ext cx="1586865" cy="18986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5" name="Link BU">
            <a:hlinkClick xmlns:r="http://schemas.openxmlformats.org/officeDocument/2006/relationships" r:id="rId2"/>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vg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GYhAADrAAAAyQwAADsBAAAAAAAA"/>
              </a:ext>
            </a:extLst>
          </xdr:cNvSpPr>
        </xdr:nvSpPr>
        <xdr:spPr>
          <a:xfrm>
            <a:off x="5429250" y="149225"/>
            <a:ext cx="2078355"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6" name="Link ODGP">
            <a:hlinkClick xmlns:r="http://schemas.openxmlformats.org/officeDocument/2006/relationships" r:id="rId3"/>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K0B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ghAABSAgAAYxgAAAwBAAAAAAAA"/>
              </a:ext>
            </a:extLst>
          </xdr:cNvSpPr>
        </xdr:nvSpPr>
        <xdr:spPr>
          <a:xfrm>
            <a:off x="5440680" y="377190"/>
            <a:ext cx="3964305" cy="1701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7" name="Link BTG">
            <a:hlinkClick xmlns:r="http://schemas.openxmlformats.org/officeDocument/2006/relationships" r:id="rId4"/>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OMD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wuAADcAAAAVwsAACwBAAAAAAAA"/>
              </a:ext>
            </a:extLst>
          </xdr:cNvSpPr>
        </xdr:nvSpPr>
        <xdr:spPr>
          <a:xfrm>
            <a:off x="7556500" y="139700"/>
            <a:ext cx="184340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8" name="Link Aneks">
            <a:hlinkClick xmlns:r="http://schemas.openxmlformats.org/officeDocument/2006/relationships" r:id="rId5"/>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wCAABmAgAANQwAAC4BAAAAAAAA"/>
              </a:ext>
            </a:extLst>
          </xdr:cNvSpPr>
        </xdr:nvSpPr>
        <xdr:spPr>
          <a:xfrm>
            <a:off x="342900" y="389890"/>
            <a:ext cx="1984375" cy="19177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9" name="Link BPK">
            <a:hlinkClick xmlns:r="http://schemas.openxmlformats.org/officeDocument/2006/relationships" r:id="rId6"/>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OEC6AM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JQOAABYAgAArxIAACEBAAAAAAAA"/>
              </a:ext>
            </a:extLst>
          </xdr:cNvSpPr>
        </xdr:nvSpPr>
        <xdr:spPr>
          <a:xfrm>
            <a:off x="2369820" y="381000"/>
            <a:ext cx="3037205" cy="1835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0" name="Link Osnovni podaci">
            <a:hlinkClick xmlns:r="http://schemas.openxmlformats.org/officeDocument/2006/relationships" r:id="rId7"/>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JkOAADsAAAAmggAADoBAAAAAAAA"/>
              </a:ext>
            </a:extLst>
          </xdr:cNvSpPr>
        </xdr:nvSpPr>
        <xdr:spPr>
          <a:xfrm>
            <a:off x="2372995" y="149860"/>
            <a:ext cx="1398270" cy="19939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1" name="Link Uputstvo">
            <a:hlinkClick xmlns:r="http://schemas.openxmlformats.org/officeDocument/2006/relationships" r:id="rId8"/>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wCAADcAAAAGwwAACwBAAAAAAAA"/>
              </a:ext>
            </a:extLst>
          </xdr:cNvSpPr>
        </xdr:nvSpPr>
        <xdr:spPr>
          <a:xfrm>
            <a:off x="342900" y="139700"/>
            <a:ext cx="196786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57785</xdr:colOff>
      <xdr:row>1</xdr:row>
      <xdr:rowOff>152400</xdr:rowOff>
    </xdr:to>
    <xdr:sp macro="" fLocksText="0">
      <xdr:nvSpPr>
        <xdr:cNvPr id="10" name="Link BS">
          <a:hlinkClick xmlns:r="http://schemas.openxmlformats.org/officeDocument/2006/relationships" r:id="rId1"/>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MANQ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EAAAAAACxAgEAAAAGAAAAYQM2ANoUAAAcAQAAQgkAAPAAAAACAAAA"/>
            </a:ext>
          </a:extLst>
        </xdr:cNvSpPr>
      </xdr:nvSpPr>
      <xdr:spPr>
        <a:xfrm>
          <a:off x="3389630" y="180340"/>
          <a:ext cx="1504950" cy="1524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editAs="absolute">
    <xdr:from>
      <xdr:col>6</xdr:col>
      <xdr:colOff>86360</xdr:colOff>
      <xdr:row>0</xdr:row>
      <xdr:rowOff>142875</xdr:rowOff>
    </xdr:from>
    <xdr:to>
      <xdr:col>7</xdr:col>
      <xdr:colOff>904875</xdr:colOff>
      <xdr:row>2</xdr:row>
      <xdr:rowOff>0</xdr:rowOff>
    </xdr:to>
    <xdr:sp macro="" fLocksText="0">
      <xdr:nvSpPr>
        <xdr:cNvPr id="9" name="Link BU">
          <a:hlinkClick xmlns:r="http://schemas.openxmlformats.org/officeDocument/2006/relationships" r:id="rId2"/>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HIAAGk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KwNRAAIAAAAHAAAAAABSA0keAADhAAAAvgsAAFcBAAACAAAA"/>
            </a:ext>
          </a:extLst>
        </xdr:cNvSpPr>
      </xdr:nvSpPr>
      <xdr:spPr>
        <a:xfrm>
          <a:off x="4923155" y="142875"/>
          <a:ext cx="1908810"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86360</xdr:colOff>
      <xdr:row>2</xdr:row>
      <xdr:rowOff>47625</xdr:rowOff>
    </xdr:from>
    <xdr:to>
      <xdr:col>9</xdr:col>
      <xdr:colOff>409575</xdr:colOff>
      <xdr:row>3</xdr:row>
      <xdr:rowOff>47625</xdr:rowOff>
    </xdr:to>
    <xdr:sp macro="" fLocksText="0">
      <xdr:nvSpPr>
        <xdr:cNvPr id="8" name="Link ODGP">
          <a:hlinkClick xmlns:r="http://schemas.openxmlformats.org/officeDocument/2006/relationships" r:id="rId3"/>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lCFso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DgFRAAMAAAAJAAAADgHKAUkeAACDAgAAOBIAABwBAAACAAAA"/>
            </a:ext>
          </a:extLst>
        </xdr:cNvSpPr>
      </xdr:nvSpPr>
      <xdr:spPr>
        <a:xfrm>
          <a:off x="4923155" y="408305"/>
          <a:ext cx="2961640"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7</xdr:col>
      <xdr:colOff>934085</xdr:colOff>
      <xdr:row>0</xdr:row>
      <xdr:rowOff>142875</xdr:rowOff>
    </xdr:from>
    <xdr:to>
      <xdr:col>10</xdr:col>
      <xdr:colOff>809625</xdr:colOff>
      <xdr:row>2</xdr:row>
      <xdr:rowOff>0</xdr:rowOff>
    </xdr:to>
    <xdr:sp macro="" fLocksText="0">
      <xdr:nvSpPr>
        <xdr:cNvPr id="7" name="Link BTG">
          <a:hlinkClick xmlns:r="http://schemas.openxmlformats.org/officeDocument/2006/relationships" r:id="rId4"/>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FsB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KwNtAwIAAAAKAAAAAACJAzUqAADhAAAAZQ4AAFcBAAACAAAA"/>
            </a:ext>
          </a:extLst>
        </xdr:cNvSpPr>
      </xdr:nvSpPr>
      <xdr:spPr>
        <a:xfrm>
          <a:off x="6861175" y="142875"/>
          <a:ext cx="2339975"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161925</xdr:colOff>
      <xdr:row>2</xdr:row>
      <xdr:rowOff>47625</xdr:rowOff>
    </xdr:from>
    <xdr:to>
      <xdr:col>3</xdr:col>
      <xdr:colOff>571500</xdr:colOff>
      <xdr:row>3</xdr:row>
      <xdr:rowOff>47625</xdr:rowOff>
    </xdr:to>
    <xdr:sp macro="" fLocksText="0">
      <xdr:nvSpPr>
        <xdr:cNvPr id="6" name="Link Aneks">
          <a:hlinkClick xmlns:r="http://schemas.openxmlformats.org/officeDocument/2006/relationships" r:id="rId5"/>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I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DgGEAAMAAAADAAAADgEZAukCAACDAgAAPQoAABwBAAACAAAA"/>
            </a:ext>
          </a:extLst>
        </xdr:cNvSpPr>
      </xdr:nvSpPr>
      <xdr:spPr>
        <a:xfrm>
          <a:off x="473075" y="408305"/>
          <a:ext cx="1664335"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637540</xdr:colOff>
      <xdr:row>2</xdr:row>
      <xdr:rowOff>47625</xdr:rowOff>
    </xdr:from>
    <xdr:to>
      <xdr:col>6</xdr:col>
      <xdr:colOff>60960</xdr:colOff>
      <xdr:row>3</xdr:row>
      <xdr:rowOff>38100</xdr:rowOff>
    </xdr:to>
    <xdr:sp macro="" fLocksText="0">
      <xdr:nvSpPr>
        <xdr:cNvPr id="5" name="Link BPK">
          <a:hlinkClick xmlns:r="http://schemas.openxmlformats.org/officeDocument/2006/relationships" r:id="rId6"/>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DgFXAgMAAAAGAAAA2AA5AI4NAACDAgAAkxAAAA0BAAACAAAA"/>
            </a:ext>
          </a:extLst>
        </xdr:cNvSpPr>
      </xdr:nvSpPr>
      <xdr:spPr>
        <a:xfrm>
          <a:off x="2203450" y="408305"/>
          <a:ext cx="2694305" cy="1708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591185</xdr:colOff>
      <xdr:row>0</xdr:row>
      <xdr:rowOff>152400</xdr:rowOff>
    </xdr:from>
    <xdr:to>
      <xdr:col>4</xdr:col>
      <xdr:colOff>685800</xdr:colOff>
      <xdr:row>2</xdr:row>
      <xdr:rowOff>0</xdr:rowOff>
    </xdr:to>
    <xdr:sp macro="" fLocksText="0">
      <xdr:nvSpPr>
        <xdr:cNvPr id="4" name="Link Osnovni podaci">
          <a:hlinkClick xmlns:r="http://schemas.openxmlformats.org/officeDocument/2006/relationships" r:id="rId7"/>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YQMrAgIAAAAEAAAAAACEAkUNAADwAAAASgcAAEgBAAACAAAA"/>
            </a:ext>
          </a:extLst>
        </xdr:cNvSpPr>
      </xdr:nvSpPr>
      <xdr:spPr>
        <a:xfrm>
          <a:off x="2157095" y="152400"/>
          <a:ext cx="1184910" cy="2082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151765</xdr:colOff>
      <xdr:row>0</xdr:row>
      <xdr:rowOff>142875</xdr:rowOff>
    </xdr:from>
    <xdr:to>
      <xdr:col>3</xdr:col>
      <xdr:colOff>561975</xdr:colOff>
      <xdr:row>2</xdr:row>
      <xdr:rowOff>0</xdr:rowOff>
    </xdr:to>
    <xdr:sp macro="" fLocksText="0">
      <xdr:nvSpPr>
        <xdr:cNvPr id="3" name="Link Uputstvo">
          <a:hlinkClick xmlns:r="http://schemas.openxmlformats.org/officeDocument/2006/relationships" r:id="rId8"/>
        </xdr:cNvPr>
        <xdr:cNvSpPr>
          <a:extLst>
            <a:ext uri="smNativeData">
              <pm:smNativeData xmlns:pm="smNativeData" val="SMDATA_13_FjcqZh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CAAAAKwN8AAIAAAADAAAAAAAQAtkCAADhAAAAPgoAAFcBAAACAAAA"/>
            </a:ext>
          </a:extLst>
        </xdr:cNvSpPr>
      </xdr:nvSpPr>
      <xdr:spPr>
        <a:xfrm>
          <a:off x="462915" y="142875"/>
          <a:ext cx="1664970"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4" name="Okvir Navigacija"/>
        <xdr:cNvGrpSpPr>
          <a:extLst>
            <a:ext uri="smNativeData">
              <pm:smNativeData xmlns:pm="smNativeData" val="SMDATA_4_FjcqZhMAAAAlAAAAAQAAAIsBAAAAkAAAAEgAAACQAAAASAAAAAAAAAAAAAAAAAAAABcAAAAUAAAAAAAAAAAAAAD/fwAA/38AAAAAAAAJAAAABAAAAAAAAAAhAAAAMAAAACwAAAAAAAAAAgAAAA4BiwADAAAADAAAAGEDUwJDAgAASwAAAGJFAAD5AwAAAgAAAA=="/>
            </a:ext>
          </a:extLst>
        </xdr:cNvGrpSpPr>
      </xdr:nvGrpSpPr>
      <xdr:grpSpPr>
        <a:xfrm>
          <a:off x="367665" y="47625"/>
          <a:ext cx="11278870" cy="645795"/>
          <a:chOff x="367665" y="47625"/>
          <a:chExt cx="11278870" cy="645795"/>
        </a:xfrm>
      </xdr:grpSpPr>
      <xdr:sp macro="" fLocksText="0">
        <xdr:nvSpPr>
          <xdr:cNvPr id="5" name="Link BS">
            <a:hlinkClick xmlns:r="http://schemas.openxmlformats.org/officeDocument/2006/relationships" r:id="rId1"/>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NodAAAAAQAA+gkAADgBAAAAAAAA"/>
              </a:ext>
            </a:extLst>
          </xdr:cNvSpPr>
        </xdr:nvSpPr>
        <xdr:spPr>
          <a:xfrm>
            <a:off x="4852670" y="162560"/>
            <a:ext cx="162179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6" name="Link BU">
            <a:hlinkClick xmlns:r="http://schemas.openxmlformats.org/officeDocument/2006/relationships" r:id="rId2"/>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Elk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UoAAAAAQAAlQwAADgBAAAAAAAA"/>
              </a:ext>
            </a:extLst>
          </xdr:cNvSpPr>
        </xdr:nvSpPr>
        <xdr:spPr>
          <a:xfrm>
            <a:off x="6576695" y="162560"/>
            <a:ext cx="2045335"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7" name="Link ODGP">
            <a:hlinkClick xmlns:r="http://schemas.openxmlformats.org/officeDocument/2006/relationships" r:id="rId3"/>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soAACaAgAAnhwAACcBAAAAAAAA"/>
              </a:ext>
            </a:extLst>
          </xdr:cNvSpPr>
        </xdr:nvSpPr>
        <xdr:spPr>
          <a:xfrm>
            <a:off x="6580505" y="422910"/>
            <a:ext cx="4652010" cy="1873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8" name="Link BTG">
            <a:hlinkClick xmlns:r="http://schemas.openxmlformats.org/officeDocument/2006/relationships" r:id="rId4"/>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EMD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Ks1AAAAAQAAdg8AADgBAAAAAAAA"/>
              </a:ext>
            </a:extLst>
          </xdr:cNvSpPr>
        </xdr:nvSpPr>
        <xdr:spPr>
          <a:xfrm>
            <a:off x="8724265" y="162560"/>
            <a:ext cx="251333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9" name="Link Aneks">
            <a:hlinkClick xmlns:r="http://schemas.openxmlformats.org/officeDocument/2006/relationships" r:id="rId5"/>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GAI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IDAACKAgAAAA8AADcBAAAAAAAA"/>
              </a:ext>
            </a:extLst>
          </xdr:cNvSpPr>
        </xdr:nvSpPr>
        <xdr:spPr>
          <a:xfrm>
            <a:off x="499110" y="412750"/>
            <a:ext cx="2438400" cy="19748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10" name="Link BPK">
            <a:hlinkClick xmlns:r="http://schemas.openxmlformats.org/officeDocument/2006/relationships" r:id="rId6"/>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HcD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KISAAB6AgAAXRUAAEcBAAAAAAAA"/>
              </a:ext>
            </a:extLst>
          </xdr:cNvSpPr>
        </xdr:nvSpPr>
        <xdr:spPr>
          <a:xfrm>
            <a:off x="3028950" y="402590"/>
            <a:ext cx="3472815" cy="20764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1" name="Link Osnovni podaci">
            <a:hlinkClick xmlns:r="http://schemas.openxmlformats.org/officeDocument/2006/relationships" r:id="rId7"/>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QQ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cSAAAAAQAAsgoAADgBAAAAAAAA"/>
              </a:ext>
            </a:extLst>
          </xdr:cNvSpPr>
        </xdr:nvSpPr>
        <xdr:spPr>
          <a:xfrm>
            <a:off x="3011805" y="162560"/>
            <a:ext cx="173863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2" name="Link Uputstvo">
            <a:hlinkClick xmlns:r="http://schemas.openxmlformats.org/officeDocument/2006/relationships" r:id="rId8"/>
          </xdr:cNvPr>
          <xdr:cNvSpPr>
            <a:extLst>
              <a:ext uri="smNativeData">
                <pm:smNativeData xmlns:pm="smNativeData" val="SMDATA_13_FjcqZh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IDAAAAAQAA1A4AADgBAAAAAAAA"/>
              </a:ext>
            </a:extLst>
          </xdr:cNvSpPr>
        </xdr:nvSpPr>
        <xdr:spPr>
          <a:xfrm>
            <a:off x="499110" y="162560"/>
            <a:ext cx="241046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248285</xdr:colOff>
      <xdr:row>2</xdr:row>
      <xdr:rowOff>90805</xdr:rowOff>
    </xdr:from>
    <xdr:to>
      <xdr:col>29</xdr:col>
      <xdr:colOff>530225</xdr:colOff>
      <xdr:row>14</xdr:row>
      <xdr:rowOff>41275</xdr:rowOff>
    </xdr:to>
    <xdr:pic macro="">
      <xdr:nvPicPr>
        <xdr:cNvPr id="4" name="Picture 2"/>
        <xdr:cNvPicPr>
          <a:picLocks noChangeAspect="1"/>
          <a:extLst>
            <a:ext uri="smNativeData">
              <pm:smNativeData xmlns:pm="smNativeData" val="SMDATA_15_FjcqZhMAAAAlAAAAEQAAAK0AAAAAkAAAAEgAAACQAAAASAAAAAAAAAAAAAAAAAAAAAEAAABQAAAAAAAAAAAA4D8AAAAAAADgPwAAAAAAAOA/AAAAAAAA4D8AAAAAAADgPwAAAAAAAOA/AAAAAAAA4D8AAAAAAADgPwAAAAAAAOA/AAAAAAAA4D8CAAAAjAAAAAAAAAAAAAAA////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CAAAAEAAAAAQCPwEOAAAAHQAAAOoAngM4NgAAAQQAAOQ0AAACDQAAAQAAAA=="/>
            </a:ext>
          </a:extLst>
        </xdr:cNvPicPr>
      </xdr:nvPicPr>
      <xdr:blipFill>
        <a:blip xmlns:r="http://schemas.openxmlformats.org/officeDocument/2006/relationships" r:embed="rId1"/>
        <a:stretch>
          <a:fillRect/>
        </a:stretch>
      </xdr:blipFill>
      <xdr:spPr>
        <a:xfrm>
          <a:off x="8813800" y="650875"/>
          <a:ext cx="8597900" cy="2114550"/>
        </a:xfrm>
        <a:prstGeom prst="rect">
          <a:avLst/>
        </a:prstGeom>
        <a:noFill/>
        <a:ln w="9525" cap="flat">
          <a:noFill/>
          <a:prstDash val="solid"/>
          <a:headEnd type="none" w="med" len="med"/>
          <a:tailEnd type="none" w="med" len="med"/>
        </a:ln>
        <a:effectLst/>
      </xdr:spPr>
    </xdr:pic>
    <xdr:clientData/>
  </xdr:twoCellAnchor>
</xdr:wsDr>
</file>

<file path=xl/tables/table1.xml><?xml version="1.0" encoding="utf-8"?>
<table xmlns="http://schemas.openxmlformats.org/spreadsheetml/2006/main" id="1" name="T_Prevod" displayName="T_Prevod" ref="A1:I110" totalsRowShown="0">
  <autoFilter ref="A1:I110"/>
  <tableColumns count="9">
    <tableColumn id="1" name="Grupa" totalsRowLabel="Total"/>
    <tableColumn id="2" name="Naziv Celije"/>
    <tableColumn id="3" name="Latinica"/>
    <tableColumn id="4" name="Ћирилица"/>
    <tableColumn id="5" name="English"/>
    <tableColumn id="6" name="Русский"/>
    <tableColumn id="7" name="Prikaz"/>
    <tableColumn id="8" name="Kolona za pravljenje imena"/>
    <tableColumn id="9" name="Kontrola broj" totalsRowFunction="sum"/>
  </tableColumns>
  <tableStyleInfo name="TableStyleMedium9" showFirstColumn="0" showLastColumn="0" showRowStripes="1" showColumnStripes="0"/>
</table>
</file>

<file path=xl/tables/table10.xml><?xml version="1.0" encoding="utf-8"?>
<table xmlns="http://schemas.openxmlformats.org/spreadsheetml/2006/main" id="10" name="T_Baza_BPK" displayName="T_Baza_BPK" ref="A1:S35" totalsRowShown="0">
  <autoFilter ref="A1:S35"/>
  <tableColumns count="19">
    <tableColumn id="1" name="Id" totalsRowLabel="Total"/>
    <tableColumn id="2" name="Bilans"/>
    <tableColumn id="3" name="MB"/>
    <tableColumn id="4" name="JIB"/>
    <tableColumn id="5" name="Konsolidovan"/>
    <tableColumn id="6" name="AOP"/>
    <tableColumn id="7" name="Godina"/>
    <tableColumn id="8" name="Datum"/>
    <tableColumn id="9" name="Vrsta_izvjestaja"/>
    <tableColumn id="10" name="3"/>
    <tableColumn id="11" name="4"/>
    <tableColumn id="12" name="5"/>
    <tableColumn id="13" name="6"/>
    <tableColumn id="14" name="7"/>
    <tableColumn id="15" name="8"/>
    <tableColumn id="16" name="9"/>
    <tableColumn id="17" name="10"/>
    <tableColumn id="18" name="11"/>
    <tableColumn id="19" name="12" totalsRowFunction="sum"/>
  </tableColumns>
  <tableStyleInfo name="TableStyleMedium9" showFirstColumn="0" showLastColumn="0" showRowStripes="1" showColumnStripes="0"/>
</table>
</file>

<file path=xl/tables/table11.xml><?xml version="1.0" encoding="utf-8"?>
<table xmlns="http://schemas.openxmlformats.org/spreadsheetml/2006/main" id="11" name="T_ApifImport" displayName="T_ApifImport" ref="B1:P441" totalsRowShown="0">
  <tableColumns count="15">
    <tableColumn id="1" name="Id izvještaja" totalsRowLabel="Total"/>
    <tableColumn id="2" name="AOP"/>
    <tableColumn id="3" name="Napomena"/>
    <tableColumn id="4" name="Kolona1"/>
    <tableColumn id="5" name="Kolona2"/>
    <tableColumn id="6" name="Kolona3"/>
    <tableColumn id="7" name="Kolona4"/>
    <tableColumn id="8" name="Kolona5"/>
    <tableColumn id="9" name="Kolona6"/>
    <tableColumn id="10" name="Kolona7"/>
    <tableColumn id="11" name="Kolona8"/>
    <tableColumn id="12" name="Kolona9"/>
    <tableColumn id="13" name="Kolona10"/>
    <tableColumn id="14" name="ld"/>
    <tableColumn id="15" name="Bilans" totalsRowFunction="sum"/>
  </tableColumns>
  <tableStyleInfo name="TableStyleMedium9" showFirstColumn="0" showLastColumn="0" showRowStripes="1" showColumnStripes="0"/>
</table>
</file>

<file path=xl/tables/table2.xml><?xml version="1.0" encoding="utf-8"?>
<table xmlns="http://schemas.openxmlformats.org/spreadsheetml/2006/main" id="2" name="T_Aop" displayName="T_Aop" ref="A1:P453" totalsRowShown="0">
  <autoFilter ref="A1:P453"/>
  <tableColumns count="16">
    <tableColumn id="1" name="Id" totalsRowLabel="Total"/>
    <tableColumn id="2" name="Bilans"/>
    <tableColumn id="3" name="Aop nivo"/>
    <tableColumn id="4" name="AOP"/>
    <tableColumn id="5" name="Grupa Prikaz"/>
    <tableColumn id="6" name="Pozicija Prikaz"/>
    <tableColumn id="7" name="Pozicija Srpski - latinica"/>
    <tableColumn id="8" name="Pozicija Srpski - cirilica"/>
    <tableColumn id="9" name="Pozicija Engleski"/>
    <tableColumn id="10" name="Pozicija Руски"/>
    <tableColumn id="11" name="Grupa Sr - latinica"/>
    <tableColumn id="12" name="Grupa Sr - cirilica"/>
    <tableColumn id="13" name="Grupa En"/>
    <tableColumn id="14" name="Grupa Rus"/>
    <tableColumn id="15" name="Bold"/>
    <tableColumn id="16" name="Visina reda" totalsRowFunction="sum"/>
  </tableColumns>
  <tableStyleInfo name="TableStyleMedium9" showFirstColumn="0" showLastColumn="0" showRowStripes="1" showColumnStripes="0"/>
</table>
</file>

<file path=xl/tables/table3.xml><?xml version="1.0" encoding="utf-8"?>
<table xmlns="http://schemas.openxmlformats.org/spreadsheetml/2006/main" id="3" name="T_ApifKolone" displayName="T_ApifKolone" ref="AA2:AD33" totalsRowShown="0">
  <autoFilter ref="AA2:AD33"/>
  <tableColumns count="4">
    <tableColumn id="1" name="LookupText" totalsRowLabel="Total"/>
    <tableColumn id="2" name="Bilans"/>
    <tableColumn id="3" name="ApifKolona"/>
    <tableColumn id="4" name="LookupBroj" totalsRowFunction="sum"/>
  </tableColumns>
  <tableStyleInfo name="TableStyleMedium9" showFirstColumn="0" showLastColumn="0" showRowStripes="1" showColumnStripes="0"/>
</table>
</file>

<file path=xl/tables/table4.xml><?xml version="1.0" encoding="utf-8"?>
<table xmlns="http://schemas.openxmlformats.org/spreadsheetml/2006/main" id="4" name="T_Jezik" displayName="T_Jezik" ref="B2:C6" totalsRowShown="0">
  <autoFilter ref="B2:C6"/>
  <tableColumns count="2">
    <tableColumn id="1" name="Jezik_Id" totalsRowLabel="Total"/>
    <tableColumn id="2" name="Jezik" totalsRowFunction="sum"/>
  </tableColumns>
  <tableStyleInfo name="TableStyleMedium9" showFirstColumn="0" showLastColumn="0" showRowStripes="1" showColumnStripes="0"/>
</table>
</file>

<file path=xl/tables/table5.xml><?xml version="1.0" encoding="utf-8"?>
<table xmlns="http://schemas.openxmlformats.org/spreadsheetml/2006/main" id="5" name="T_Datum_BPK" displayName="T_Datum_BPK" ref="S2:Y6" totalsRowShown="0">
  <autoFilter ref="S2:Y6"/>
  <tableColumns count="7">
    <tableColumn id="1" name="Opis Datum IOPK" totalsRowLabel="Total"/>
    <tableColumn id="2" name="Godina"/>
    <tableColumn id="3" name="Mjesec"/>
    <tableColumn id="4" name="Dan"/>
    <tableColumn id="5" name="Datum"/>
    <tableColumn id="6" name="Datum format"/>
    <tableColumn id="7" name="Datum format eng" totalsRowFunction="sum"/>
  </tableColumns>
  <tableStyleInfo name="TableStyleMedium9" showFirstColumn="0" showLastColumn="0" showRowStripes="1" showColumnStripes="0"/>
</table>
</file>

<file path=xl/tables/table6.xml><?xml version="1.0" encoding="utf-8"?>
<table xmlns="http://schemas.openxmlformats.org/spreadsheetml/2006/main" id="6" name="T_Misljenje" displayName="T_Misljenje" ref="E2:F6" totalsRowShown="0">
  <autoFilter ref="E2:F6"/>
  <tableColumns count="2">
    <tableColumn id="1" name="Misljenje_Id" totalsRowLabel="Total"/>
    <tableColumn id="2" name="Opis" totalsRowFunction="sum"/>
  </tableColumns>
  <tableStyleInfo name="TableStyleMedium9" showFirstColumn="0" showLastColumn="0" showRowStripes="1" showColumnStripes="0"/>
</table>
</file>

<file path=xl/tables/table7.xml><?xml version="1.0" encoding="utf-8"?>
<table xmlns="http://schemas.openxmlformats.org/spreadsheetml/2006/main" id="7" name="T_Bilansi" displayName="T_Bilansi" ref="N2:Q9" totalsRowShown="0">
  <autoFilter ref="N2:Q9"/>
  <tableColumns count="4">
    <tableColumn id="1" name="Bilans" totalsRowLabel="Total"/>
    <tableColumn id="2" name="Min Id"/>
    <tableColumn id="3" name="Max Id"/>
    <tableColumn id="4" name="APIF_Id" totalsRowFunction="sum"/>
  </tableColumns>
  <tableStyleInfo name="TableStyleMedium9" showFirstColumn="0" showLastColumn="0" showRowStripes="1" showColumnStripes="0"/>
</table>
</file>

<file path=xl/tables/table8.xml><?xml version="1.0" encoding="utf-8"?>
<table xmlns="http://schemas.openxmlformats.org/spreadsheetml/2006/main" id="8" name="T_Vrsta_izvjestaja" displayName="T_Vrsta_izvjestaja" ref="H2:L6" totalsRowShown="0">
  <autoFilter ref="H2:L6"/>
  <tableColumns count="5">
    <tableColumn id="1" name="Datum izvještaja" totalsRowLabel="Total"/>
    <tableColumn id="2" name="Vrsta_Id"/>
    <tableColumn id="3" name="Vrsta izvještaja"/>
    <tableColumn id="4" name="Mjesec"/>
    <tableColumn id="5" name="Dan" totalsRowFunction="sum"/>
  </tableColumns>
  <tableStyleInfo name="TableStyleMedium9" showFirstColumn="0" showLastColumn="0" showRowStripes="1" showColumnStripes="0"/>
</table>
</file>

<file path=xl/tables/table9.xml><?xml version="1.0" encoding="utf-8"?>
<table xmlns="http://schemas.openxmlformats.org/spreadsheetml/2006/main" id="9" name="T_Baza" displayName="T_Baza" ref="A1:N408" totalsRowShown="0">
  <autoFilter ref="A1:N408"/>
  <tableColumns count="14">
    <tableColumn id="1" name="Id" totalsRowLabel="Total"/>
    <tableColumn id="2" name="Bilans"/>
    <tableColumn id="3" name="Vrsta_izvjestaja"/>
    <tableColumn id="4" name="MB"/>
    <tableColumn id="5" name="JIB"/>
    <tableColumn id="6" name="Konsolidovan"/>
    <tableColumn id="7" name="Datum"/>
    <tableColumn id="8" name="AOP"/>
    <tableColumn id="9" name="Godina"/>
    <tableColumn id="10" name="Napomena"/>
    <tableColumn id="11" name="Bruto"/>
    <tableColumn id="12" name="Ispravka"/>
    <tableColumn id="13" name="Neto"/>
    <tableColumn id="14" name="NetoPr" totalsRowFunction="sum"/>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 Id="rId2" Type="http://schemas.openxmlformats.org/officeDocument/2006/relationships/comments" Target="../comments1.xml"/><Relationship Id="rId3" Type="http://schemas.openxmlformats.org/officeDocument/2006/relationships/vmlDrawing" Target="../drawings/vmlDrawing1.vml"/></Relationships>
</file>

<file path=xl/worksheets/_rels/sheet10.xml.rels><?xml version="1.0" encoding="UTF-8" standalone="yes" ?>
<Relationships xmlns="http://schemas.openxmlformats.org/package/2006/relationships"><Relationship Id="rId1" Type="http://schemas.openxmlformats.org/officeDocument/2006/relationships/drawing" Target="../drawings/drawing8.xml"/><Relationship Id="rId2" Type="http://schemas.openxmlformats.org/officeDocument/2006/relationships/comments" Target="../comments3.xml"/><Relationship Id="rId3" Type="http://schemas.openxmlformats.org/officeDocument/2006/relationships/vmlDrawing" Target="../drawings/vmlDrawing9.vml"/></Relationships>
</file>

<file path=xl/worksheets/_rels/sheet11.xml.rels><?xml version="1.0" encoding="UTF-8" standalone="yes" ?>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10.vml"/><Relationship Id="rId3" Type="http://schemas.openxmlformats.org/officeDocument/2006/relationships/table" Target="../tables/table3.xml"/><Relationship Id="rId4" Type="http://schemas.openxmlformats.org/officeDocument/2006/relationships/table" Target="../tables/table4.x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 Id="rId8" Type="http://schemas.openxmlformats.org/officeDocument/2006/relationships/table" Target="../tables/table8.xml"/></Relationships>
</file>

<file path=xl/worksheets/_rels/sheet12.xml.rels><?xml version="1.0" encoding="UTF-8" standalone="yes" ?>
<Relationships xmlns="http://schemas.openxmlformats.org/package/2006/relationships"><Relationship Id="rId1" Type="http://schemas.openxmlformats.org/officeDocument/2006/relationships/table" Target="../tables/table9.xml"/></Relationships>
</file>

<file path=xl/worksheets/_rels/sheet13.xml.rels><?xml version="1.0" encoding="UTF-8" standalone="yes" ?>
<Relationships xmlns="http://schemas.openxmlformats.org/package/2006/relationships"><Relationship Id="rId1" Type="http://schemas.openxmlformats.org/officeDocument/2006/relationships/table" Target="../tables/table10.xml"/></Relationships>
</file>

<file path=xl/worksheets/_rels/sheet14.xml.rels><?xml version="1.0" encoding="UTF-8" standalone="yes" ?>
<Relationships xmlns="http://schemas.openxmlformats.org/package/2006/relationships"><Relationship Id="rId1" Type="http://schemas.openxmlformats.org/officeDocument/2006/relationships/drawing" Target="../drawings/drawing9.xml"/><Relationship Id="rId2" Type="http://schemas.openxmlformats.org/officeDocument/2006/relationships/comments" Target="../comments5.xml"/><Relationship Id="rId3" Type="http://schemas.openxmlformats.org/officeDocument/2006/relationships/vmlDrawing" Target="../drawings/vmlDrawing11.vml"/><Relationship Id="rId4" Type="http://schemas.openxmlformats.org/officeDocument/2006/relationships/table" Target="../tables/table11.xml"/></Relationships>
</file>

<file path=xl/worksheets/_rels/sheet2.xml.rels><?xml version="1.0" encoding="UTF-8" standalone="yes" ?>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s>
</file>

<file path=xl/worksheets/_rels/sheet3.xml.rels><?xml version="1.0" encoding="UTF-8" standalone="yes" ?>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3.vml"/></Relationships>
</file>

<file path=xl/worksheets/_rels/sheet4.xml.rels><?xml version="1.0" encoding="UTF-8" standalone="yes" ?>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4.vml"/></Relationships>
</file>

<file path=xl/worksheets/_rels/sheet5.xml.rels><?xml version="1.0" encoding="UTF-8" standalone="yes" ?>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5.vml"/></Relationships>
</file>

<file path=xl/worksheets/_rels/sheet6.xml.rels><?xml version="1.0" encoding="UTF-8" standalone="yes" ?>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6.vml"/></Relationships>
</file>

<file path=xl/worksheets/_rels/sheet7.xml.rels><?xml version="1.0" encoding="UTF-8" standalone="yes" ?>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7.vml"/></Relationships>
</file>

<file path=xl/worksheets/_rels/sheet8.xml.rels><?xml version="1.0" encoding="UTF-8" standalone="yes" ?>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8.vml"/><Relationship Id="rId3"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B2B2B2"/>
    <pageSetUpPr fitToPage="1"/>
  </sheetPr>
  <dimension ref="A1:U62"/>
  <sheetViews>
    <sheetView showGridLines="0" showRowColHeaders="0" view="normal" workbookViewId="0">
      <pane ySplit="4" topLeftCell="A41" activePane="bottomLeft" state="frozen"/>
      <selection pane="bottomLeft" activeCell="K21" sqref="K21"/>
    </sheetView>
  </sheetViews>
  <sheetFormatPr defaultRowHeight="14.20" zeroHeight="1"/>
  <cols>
    <col min="1" max="1" width="5.712871" customWidth="1" style="22"/>
    <col min="2" max="4" width="10.425743" customWidth="1" style="22"/>
    <col min="5" max="17" width="9.425743" customWidth="1" style="22"/>
    <col min="18" max="22" width="9.138614" customWidth="1" style="22"/>
    <col min="23" max="16384" width="8.742574" hidden="1" style="22">
      <extLst>
        <ext uri="smNativeData">
          <pm:columnDef xmlns:pm="smNativeData" id="1714042646" min="23" max="16384" hidden="1" collapsedDB="0" collapsedOL="0"/>
        </ext>
      </extLst>
    </col>
  </cols>
  <sheetData>
    <row r="1" spans="1:1"/>
    <row r="2" spans="1:1"/>
    <row r="3" spans="1:1"/>
    <row r="4" spans="1:1"/>
    <row r="5" spans="2:21">
      <c r="B5" s="112" t="s">
        <v>0</v>
      </c>
      <c r="C5" s="112"/>
      <c r="D5" s="112"/>
      <c r="E5" s="112"/>
      <c r="F5" s="112"/>
      <c r="G5" s="112"/>
      <c r="H5" s="112"/>
      <c r="I5" s="112"/>
      <c r="J5" s="112"/>
      <c r="K5" s="112"/>
      <c r="L5" s="112"/>
      <c r="M5" s="112"/>
      <c r="N5" s="112"/>
      <c r="O5" s="112"/>
      <c r="P5" s="112"/>
      <c r="Q5" s="112"/>
      <c r="R5" s="112"/>
      <c r="S5" s="112"/>
      <c r="T5" s="112"/>
      <c r="U5" s="112"/>
    </row>
    <row r="6" spans="2:17">
      <c r="B6" s="111" t="s">
        <v>1</v>
      </c>
      <c r="C6" s="112"/>
      <c r="D6" s="112"/>
      <c r="E6" s="112"/>
      <c r="F6" s="112"/>
      <c r="G6" s="112"/>
      <c r="H6" s="112"/>
      <c r="I6" s="112"/>
      <c r="J6" s="112"/>
      <c r="K6" s="112"/>
      <c r="L6" s="112"/>
      <c r="M6" s="112"/>
      <c r="N6" s="112"/>
      <c r="O6" s="112"/>
      <c r="P6" s="112"/>
      <c r="Q6" s="112"/>
    </row>
    <row r="7" spans="2:2">
      <c r="B7" s="110" t="s">
        <v>2</v>
      </c>
    </row>
    <row r="8" spans="2:7">
      <c r="B8" s="319" t="s">
        <v>3</v>
      </c>
      <c r="C8" s="320"/>
      <c r="D8" s="320"/>
      <c r="E8" s="320"/>
      <c r="F8" s="320"/>
      <c r="G8" s="320"/>
    </row>
    <row r="9" spans="2:2">
      <c r="B9" s="110" t="s">
        <v>4</v>
      </c>
    </row>
    <row r="10" spans="2:2">
      <c r="B10" s="110" t="s">
        <v>5</v>
      </c>
    </row>
    <row r="11" spans="2:2">
      <c r="B11" s="110"/>
    </row>
    <row r="12" spans="2:2">
      <c r="B12" s="111" t="s">
        <v>6</v>
      </c>
    </row>
    <row r="13" spans="2:2">
      <c r="B13" s="110" t="s">
        <v>7</v>
      </c>
    </row>
    <row r="14" spans="2:2">
      <c r="B14" s="110"/>
    </row>
    <row r="15" spans="2:13">
      <c r="B15" s="165" t="s">
        <v>8</v>
      </c>
      <c r="C15" s="104"/>
      <c r="D15" s="104"/>
      <c r="E15" s="104"/>
      <c r="F15" s="104"/>
      <c r="G15" s="104"/>
      <c r="H15" s="104"/>
      <c r="I15" s="104"/>
      <c r="J15" s="104"/>
      <c r="K15" s="104"/>
      <c r="L15" s="104"/>
      <c r="M15" s="166"/>
    </row>
    <row r="16" spans="2:13">
      <c r="B16" s="167" t="s">
        <v>9</v>
      </c>
      <c r="M16" s="168"/>
    </row>
    <row r="17" spans="2:13">
      <c r="B17" s="169" t="s">
        <v>10</v>
      </c>
      <c r="M17" s="168"/>
    </row>
    <row r="18" spans="2:13">
      <c r="B18" s="170" t="s">
        <v>11</v>
      </c>
      <c r="C18" s="49"/>
      <c r="D18" s="49"/>
      <c r="E18" s="49"/>
      <c r="F18" s="49"/>
      <c r="G18" s="49"/>
      <c r="H18" s="49"/>
      <c r="I18" s="49"/>
      <c r="J18" s="49"/>
      <c r="K18" s="49"/>
      <c r="L18" s="49"/>
      <c r="M18" s="171"/>
    </row>
    <row r="19" spans="1:1"/>
    <row r="20" spans="2:2">
      <c r="B20" s="111" t="s">
        <v>12</v>
      </c>
    </row>
    <row r="21" spans="2:2">
      <c r="B21" s="110" t="s">
        <v>13</v>
      </c>
    </row>
    <row r="22" spans="2:2">
      <c r="B22" s="110" t="s">
        <v>14</v>
      </c>
    </row>
    <row r="23" spans="2:2">
      <c r="B23" s="113" t="s">
        <v>15</v>
      </c>
    </row>
    <row r="24" spans="2:2">
      <c r="B24" s="110"/>
    </row>
    <row r="25" spans="2:2">
      <c r="B25" s="111" t="s">
        <v>16</v>
      </c>
    </row>
    <row r="26" spans="2:2">
      <c r="B26" s="110" t="s">
        <v>17</v>
      </c>
    </row>
    <row r="27" spans="2:2">
      <c r="B27" s="110"/>
    </row>
    <row r="28" spans="2:2">
      <c r="B28" s="111" t="s">
        <v>18</v>
      </c>
    </row>
    <row r="29" spans="2:2">
      <c r="B29" s="110" t="s">
        <v>19</v>
      </c>
    </row>
    <row r="30" spans="2:2">
      <c r="B30" s="110"/>
    </row>
    <row r="31" spans="2:2">
      <c r="B31" s="111" t="s">
        <v>20</v>
      </c>
    </row>
    <row r="32" spans="2:2">
      <c r="B32" s="110" t="s">
        <v>21</v>
      </c>
    </row>
    <row r="33" spans="2:2">
      <c r="B33" s="110"/>
    </row>
    <row r="34" spans="2:2">
      <c r="B34" s="111" t="s">
        <v>22</v>
      </c>
    </row>
    <row r="35" spans="2:2">
      <c r="B35" s="110" t="s">
        <v>23</v>
      </c>
    </row>
    <row r="36" spans="2:2">
      <c r="B36" s="110"/>
    </row>
    <row r="37" spans="2:2">
      <c r="B37" s="111" t="s">
        <v>24</v>
      </c>
    </row>
    <row r="38" spans="2:2">
      <c r="B38" s="110" t="s">
        <v>25</v>
      </c>
    </row>
    <row r="39" spans="2:2">
      <c r="B39" s="110" t="s">
        <v>26</v>
      </c>
    </row>
    <row r="40" spans="2:2">
      <c r="B40" s="110" t="s">
        <v>27</v>
      </c>
    </row>
    <row r="41" spans="2:2">
      <c r="B41" s="110" t="s">
        <v>28</v>
      </c>
    </row>
    <row r="42" spans="2:2">
      <c r="B42" s="110" t="s">
        <v>29</v>
      </c>
    </row>
    <row r="43" spans="2:2">
      <c r="B43" s="110"/>
    </row>
    <row r="44" spans="2:2">
      <c r="B44" s="110"/>
    </row>
    <row r="45" spans="2:2">
      <c r="B45" s="111" t="s">
        <v>30</v>
      </c>
    </row>
    <row r="46" spans="2:4">
      <c r="B46" s="161" t="s">
        <v>31</v>
      </c>
      <c r="C46" s="161" t="s">
        <v>32</v>
      </c>
      <c r="D46" s="161" t="s">
        <v>33</v>
      </c>
    </row>
    <row r="47" spans="2:5">
      <c r="B47" s="164" t="s">
        <v>34</v>
      </c>
      <c r="C47" s="162">
        <f aca="1">--(VLOOKUP(66,Lookup_BSa,5,0)=VLOOKUP(169,Lookup_BSp,5,0))</f>
        <v>1</v>
      </c>
      <c r="D47" s="162">
        <f aca="1">--(VLOOKUP(66,Lookup_BSa,6,0)=VLOOKUP(169,Lookup_BSp,6,0))</f>
        <v>1</v>
      </c>
      <c r="E47" s="160" t="s">
        <v>35</v>
      </c>
    </row>
    <row r="48" spans="2:5">
      <c r="B48" s="164" t="s">
        <v>36</v>
      </c>
      <c r="C48" s="162">
        <f aca="1">--(VLOOKUP(67,Lookup_BSa,5,0)=VLOOKUP(170,Lookup_BSp,5,0))</f>
        <v>1</v>
      </c>
      <c r="D48" s="162">
        <f aca="1">--(VLOOKUP(67,Lookup_BSa,6,0)=VLOOKUP(170,Lookup_BSp,6,0))</f>
        <v>1</v>
      </c>
      <c r="E48" s="160" t="s">
        <v>37</v>
      </c>
    </row>
    <row r="49" spans="2:5">
      <c r="B49" s="164" t="s">
        <v>38</v>
      </c>
      <c r="C49" s="162">
        <f aca="1">--(VLOOKUP(316,Lookup_BUa,3,0)=VLOOKUP(126,Lookup_BSp,5,0))</f>
        <v>0</v>
      </c>
      <c r="D49" s="162" t="str">
        <f aca="1">IF(ID_Izvjestaj=4,--(VLOOKUP(316,Lookup_BUa,4,0)=VLOOKUP(126,Lookup_BSp,6,0)),"")</f>
        <v/>
      </c>
      <c r="E49" s="160" t="s">
        <v>39</v>
      </c>
    </row>
    <row r="50" spans="2:5">
      <c r="B50" s="164" t="s">
        <v>40</v>
      </c>
      <c r="C50" s="162">
        <f aca="1">--(VLOOKUP(317,Lookup_BUa,3,0)=VLOOKUP(130,Lookup_BSp,5,0))</f>
        <v>1</v>
      </c>
      <c r="D50" s="162" t="str">
        <f aca="1">IF(ID_Izvjestaj=4,--(VLOOKUP(317,Lookup_BUa,4,0)=VLOOKUP(130,Lookup_BSp,6,0)),"")</f>
        <v/>
      </c>
      <c r="E50" s="160" t="s">
        <v>41</v>
      </c>
    </row>
    <row r="51" spans="2:5">
      <c r="B51" s="164" t="s">
        <v>42</v>
      </c>
      <c r="C51" s="162">
        <f aca="1">--(VLOOKUP(568,Lookup_BTG,3,0)=VLOOKUP(61,Lookup_BSa,5,0))</f>
        <v>1</v>
      </c>
      <c r="D51" s="162" t="str">
        <f aca="1">IF(ID_Izvjestaj=4,--(VLOOKUP(568,Lookup_BTG,4,0)=VLOOKUP(61,Lookup_BSa,6,0)),"")</f>
        <v/>
      </c>
      <c r="E51" s="160" t="s">
        <v>43</v>
      </c>
    </row>
    <row r="52" spans="2:5">
      <c r="B52" s="164" t="s">
        <v>44</v>
      </c>
      <c r="C52" s="163"/>
      <c r="D52" s="162">
        <f aca="1">--(IF(VLOOKUP(101,Lookup_BSp,6,0)&gt;0,VLOOKUP(913,Lookup_BPK,9,0)=VLOOKUP(101,Lookup_BSp,6,0),TRUE))</f>
        <v>0</v>
      </c>
      <c r="E52" s="160" t="s">
        <v>45</v>
      </c>
    </row>
    <row r="53" spans="2:5">
      <c r="B53" s="164" t="s">
        <v>46</v>
      </c>
      <c r="C53" s="162">
        <f aca="1">--(IF(VLOOKUP(101,Lookup_BSp,5,0)&gt;0,VLOOKUP(925,Lookup_BPK,9,0)=VLOOKUP(101,Lookup_BSp,5,0),TRUE))</f>
        <v>1</v>
      </c>
      <c r="D53" s="162"/>
      <c r="E53" s="160" t="s">
        <v>47</v>
      </c>
    </row>
    <row r="54" spans="2:2">
      <c r="B54" s="110"/>
    </row>
    <row r="55" spans="2:2">
      <c r="B55" s="111" t="s">
        <v>48</v>
      </c>
    </row>
    <row r="56" spans="2:2">
      <c r="B56" s="110" t="s">
        <v>49</v>
      </c>
    </row>
    <row r="57" spans="1:2">
      <c r="A57" s="22" t="s">
        <v>50</v>
      </c>
      <c r="B57" s="110"/>
    </row>
    <row r="58" spans="1:1"/>
    <row r="59" spans="2:6">
      <c r="B59" s="111" t="s">
        <v>51</v>
      </c>
      <c r="C59" s="111"/>
      <c r="D59" s="111"/>
      <c r="E59" s="111"/>
      <c r="F59" s="111"/>
    </row>
    <row r="60" spans="1:1"/>
    <row r="61" spans="1:1"/>
    <row r="62" spans="1:1"/>
  </sheetData>
  <sheetProtection algorithmName="SHA-512" hashValue="wZJ+iTl1o1rs+PtESAp/tr4xcAnNok/6wfxjy3S868dL01KALeHGR3byShtmpNGBfLKGWQCAEpxSmyK2kbV0pw==" saltValue="KHfiDtOAeld9DtrGwv7FYg==" spinCount="100000" sheet="1" autoFilter="0"/>
  <mergeCells count="1">
    <mergeCell ref="B5:U5"/>
  </mergeCells>
  <conditionalFormatting sqref="C47:D53">
    <cfRule type="expression" dxfId="0" priority="1" stopIfTrue="1">
      <formula>C47=0</formula>
    </cfRule>
  </conditionalFormatting>
  <printOptions>
    <extLst>
      <ext uri="smNativeData">
        <pm:pageFlags xmlns:pm="smNativeData" id="1714042646" printRowHead="0" printColHead="0" printHeadLine="0" printFootLine="0" autoHeightHeader="0" autoHeightFooter="0" fitToPageBoth="1"/>
      </ext>
    </extLst>
  </printOptions>
  <pageMargins left="0.393750" right="0.393750" top="0.393750" bottom="0.393750" header="0.511806" footer="0.511806"/>
  <pageSetup paperSize="9" scale="59" fitToWidth="0" fitToHeight="1" orientation="landscape"/>
  <header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drawing r:id="rId1"/>
  <legacyDrawing r:id="rId3"/>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B2B2B2"/>
  </sheetPr>
  <dimension ref="A1:S65"/>
  <sheetViews>
    <sheetView showGridLines="0" showRowColHeaders="0" view="normal" topLeftCell="F1" workbookViewId="0">
      <pane ySplit="4" topLeftCell="A35" activePane="bottomLeft" state="frozen"/>
      <selection pane="bottomLeft" activeCell="O45" sqref="O45"/>
    </sheetView>
  </sheetViews>
  <sheetFormatPr defaultRowHeight="14.20" zeroHeight="1"/>
  <cols>
    <col min="1" max="1" width="5.287129" customWidth="1" style="22"/>
    <col min="2" max="2" width="11.287129" hidden="1" customWidth="1" style="22">
      <extLst>
        <ext uri="smNativeData">
          <pm:columnDef xmlns:pm="smNativeData" id="1714042646" min="2" max="2" hidden="1" collapsedDB="0" collapsedOL="0"/>
        </ext>
      </extLst>
    </col>
    <col min="3" max="3" width="3.287129" customWidth="1" style="22"/>
    <col min="4" max="4" width="19.712871" customWidth="1" style="22"/>
    <col min="5" max="6" width="28.851485" customWidth="1" style="22"/>
    <col min="7" max="7" width="7.138614" customWidth="1" style="22"/>
    <col min="8" max="14" width="15.851485" customWidth="1" style="22"/>
    <col min="15" max="15" width="15.712871" customWidth="1" style="22"/>
    <col min="16" max="16" width="14.425743" customWidth="1" style="22"/>
    <col min="17" max="17" width="14.425743" customWidth="1" style="22"/>
    <col min="18" max="18" width="5.712871" customWidth="1" style="22"/>
    <col min="19" max="19" width="9.138614" hidden="1" customWidth="1" style="22">
      <extLst>
        <ext uri="smNativeData">
          <pm:columnDef xmlns:pm="smNativeData" id="1714042646" min="19" max="19" hidden="1" collapsedDB="0" collapsedOL="0"/>
        </ext>
      </extLst>
    </col>
    <col min="20" max="16384" width="8.742574" hidden="1" style="22">
      <extLst>
        <ext uri="smNativeData">
          <pm:columnDef xmlns:pm="smNativeData" id="1714042646" min="20" max="16384" hidden="1" collapsedDB="0" collapsedOL="0"/>
        </ext>
      </extLst>
    </col>
  </cols>
  <sheetData>
    <row r="1" spans="1:1"/>
    <row r="2" spans="1:1"/>
    <row r="3" spans="1:1"/>
    <row r="4" spans="1:1"/>
    <row r="5" spans="4:17">
      <c r="D5" s="464" t="str">
        <f aca="1">Zaglavlje_Naziv_preduzeca</f>
        <v>Naziv privrednog društva, zadruge, drugog pravnog lica ili preduzetnika: </v>
      </c>
      <c r="E5" s="464"/>
      <c r="F5" s="464"/>
      <c r="O5" s="25" t="s">
        <v>50</v>
      </c>
      <c r="P5" s="298" t="str">
        <f aca="1">Podatak_MB</f>
        <v>1062280</v>
      </c>
      <c r="Q5" s="298"/>
    </row>
    <row r="6" spans="4:17">
      <c r="D6" s="464"/>
      <c r="E6" s="464"/>
      <c r="F6" s="464"/>
      <c r="Q6" s="54" t="str">
        <f aca="1">Zaglavlje_MB</f>
        <v>Matični broj</v>
      </c>
    </row>
    <row r="7" spans="4:17" ht="15" customHeight="1">
      <c r="D7" s="479" t="str">
        <f aca="1">Podatak_Naziv_preduzeca</f>
        <v>Napredak a.d. Pelagićevo</v>
      </c>
      <c r="E7" s="479"/>
      <c r="F7" s="479"/>
      <c r="P7" s="298" t="str">
        <f aca="1">Podatak_Sifra_djelatnosti</f>
        <v>01.11</v>
      </c>
      <c r="Q7" s="298"/>
    </row>
    <row r="8" spans="4:17">
      <c r="D8" s="24" t="str">
        <f aca="1">Zaglavlje_Sjediste</f>
        <v>Sjedište:</v>
      </c>
      <c r="E8" s="317" t="str">
        <f aca="1">Podatak_Sjediste</f>
        <v>Pelagićevo</v>
      </c>
      <c r="F8" s="317"/>
      <c r="Q8" s="54" t="str">
        <f aca="1">Zaglavlje_Sifra_djelatnosti</f>
        <v>Šifra djelatnosti</v>
      </c>
    </row>
    <row r="9" spans="4:17">
      <c r="D9" s="407" t="str">
        <f aca="1">Zaglavlje_Ziro_racun</f>
        <v>Račun kod ovlašćene organizacije za platni promet:</v>
      </c>
      <c r="E9" s="407"/>
      <c r="F9" s="407"/>
      <c r="H9" s="24"/>
      <c r="Q9" s="298" t="str">
        <f aca="1">Podatak_JIB</f>
        <v>4400471400001</v>
      </c>
    </row>
    <row r="10" spans="4:17">
      <c r="D10" s="482" t="str">
        <f aca="1">Podatak_Ziro_racun_1</f>
        <v>554-005-00000031-83</v>
      </c>
      <c r="E10" s="482"/>
      <c r="F10" s="482"/>
      <c r="Q10" s="54" t="str">
        <f aca="1">Zaglavlje_JIB</f>
        <v>JIB</v>
      </c>
    </row>
    <row r="11" spans="3:8">
      <c r="C11" s="194"/>
      <c r="D11" s="482" t="str">
        <f aca="1">Podatak_Ziro_racun_2</f>
        <v>562-011-00000477-77</v>
      </c>
      <c r="E11" s="482"/>
      <c r="F11" s="482"/>
      <c r="H11" s="24"/>
    </row>
    <row r="12" spans="3:6">
      <c r="C12" s="194"/>
      <c r="D12" s="508" t="str">
        <f aca="1">Podatak_Ziro_racun_3</f>
        <v/>
      </c>
      <c r="E12" s="508"/>
      <c r="F12" s="508"/>
    </row>
    <row r="13" spans="3:17">
      <c r="C13" s="194"/>
      <c r="D13" s="508" t="str">
        <f aca="1">Podatak_Ziro_racun_4</f>
        <v/>
      </c>
      <c r="E13" s="508"/>
      <c r="F13" s="508"/>
      <c r="P13"/>
      <c r="Q13"/>
    </row>
    <row r="14" spans="3:17">
      <c r="C14" s="194"/>
      <c r="D14" s="442" t="str">
        <f aca="1">IF(Id_Konsolidovani,Nazivi_bilansa_Konsolidovani_naziv&amp;LOWER(Nazivi_bilansa_BPK),Nazivi_bilansa_BPK)</f>
        <v>IZVJEŠTAJ O PROMJENAMA NA KAPITALU</v>
      </c>
      <c r="E14" s="442"/>
      <c r="F14" s="442"/>
      <c r="G14" s="442"/>
      <c r="H14" s="442"/>
      <c r="I14" s="442"/>
      <c r="J14" s="442"/>
      <c r="K14" s="442"/>
      <c r="L14" s="442"/>
      <c r="M14" s="442"/>
      <c r="N14" s="442"/>
      <c r="O14" s="442"/>
      <c r="P14" s="442"/>
      <c r="Q14" s="442"/>
    </row>
    <row r="15" spans="3:17">
      <c r="C15" s="194"/>
      <c r="D15" s="52" t="str">
        <f aca="1">Datumi_Datum_BPK</f>
        <v>za period koji se završava na dan 31.03.2024. godine</v>
      </c>
      <c r="E15" s="52"/>
      <c r="F15" s="52"/>
      <c r="G15" s="52"/>
      <c r="H15" s="52"/>
      <c r="I15" s="52"/>
      <c r="J15" s="52"/>
      <c r="K15" s="52"/>
      <c r="L15" s="52"/>
      <c r="M15" s="52"/>
      <c r="N15" s="52"/>
      <c r="O15" s="52"/>
      <c r="P15" s="52"/>
      <c r="Q15" s="52"/>
    </row>
    <row r="16" spans="3:17">
      <c r="C16" s="194"/>
      <c r="D16" s="24"/>
      <c r="E16" s="24"/>
      <c r="F16" s="24"/>
      <c r="G16" s="24"/>
      <c r="H16" s="24"/>
      <c r="I16" s="24"/>
      <c r="J16" s="24"/>
      <c r="K16" s="24"/>
      <c r="L16" s="24"/>
      <c r="M16" s="24"/>
      <c r="N16" s="24"/>
      <c r="O16" s="24"/>
      <c r="P16" s="24"/>
      <c r="Q16" s="54" t="str">
        <f aca="1">Tabele_zaglavlje_Valuta</f>
        <v>- u konvertibilnim markama -</v>
      </c>
    </row>
    <row r="17" spans="3:17">
      <c r="C17" s="194"/>
      <c r="D17" s="563" t="str">
        <f aca="1">Tabele_zaglavlje_BPK1</f>
        <v>VRSTA PROMJENE NA KAPITALU</v>
      </c>
      <c r="E17" s="564"/>
      <c r="F17" s="488"/>
      <c r="G17" s="477" t="str">
        <f aca="1">Tabele_zaglavlje_Oznaka_aop</f>
        <v>Oznaka za AOP</v>
      </c>
      <c r="H17" s="560" t="str">
        <f aca="1">Tabele_zaglavlje_BPK0</f>
        <v>KAPITAL KOJI PRIPADA VLASNICIMA MATIČNOG DRUŠTVA</v>
      </c>
      <c r="I17" s="561"/>
      <c r="J17" s="561"/>
      <c r="K17" s="561"/>
      <c r="L17" s="561"/>
      <c r="M17" s="561"/>
      <c r="N17" s="561"/>
      <c r="O17" s="562"/>
      <c r="P17" s="491" t="str">
        <f aca="1">Tabele_zaglavlje_BPK11</f>
        <v>UDJELI KOJI NEMAJU KONTROLU (MANJINSKI INTERESI)</v>
      </c>
      <c r="Q17" s="486" t="str">
        <f aca="1" t="array" ref="Q17">Tabele_zaglavlje_BPK12</f>
        <v>UKUPNI KAPITAL
(10+11)</v>
      </c>
    </row>
    <row r="18" spans="3:19" ht="106.50" customHeight="1">
      <c r="C18" s="194"/>
      <c r="D18" s="565"/>
      <c r="E18" s="566"/>
      <c r="F18" s="490"/>
      <c r="G18" s="478"/>
      <c r="H18" s="360" t="str">
        <f aca="1">Tabele_zaglavlje_BPK3</f>
        <v>Akcijski kapital - 
vlasnički udjeli</v>
      </c>
      <c r="I18" s="360" t="str">
        <f aca="1">Tabele_zaglavlje_BPK4</f>
        <v>Emisiona premija</v>
      </c>
      <c r="J18" s="360" t="str">
        <f aca="1">Tabele_zaglavlje_BPK5</f>
        <v>Rezerve</v>
      </c>
      <c r="K18" s="360" t="str">
        <f aca="1">Tabele_zaglavlje_BPK6</f>
        <v>Revalorizacione 
rezerve za 
nekretnine, 
postrojenja i opremu</v>
      </c>
      <c r="L18" s="360" t="str">
        <f aca="1">Tabele_zaglavlje_BPK7</f>
        <v>Revalorizacione rezerve za finansijska sredstva vrednovana po fer vrijednosti kroz ostali ukupni rezultat</v>
      </c>
      <c r="M18" s="360" t="str">
        <f aca="1">Tabele_zaglavlje_BPK8</f>
        <v>Ostale revalorizacione rezerve</v>
      </c>
      <c r="N18" s="360" t="str">
        <f aca="1">Tabele_zaglavlje_BPK9</f>
        <v>Akumulirana neraspoređena dobit/(nepokriveni gubitak)</v>
      </c>
      <c r="O18" s="360" t="str">
        <f aca="1">Tabele_zaglavlje_BPK10</f>
        <v>Ukupno 
(3+4+5+6±7± 8 ± 9)</v>
      </c>
      <c r="P18" s="360"/>
      <c r="Q18" s="473"/>
      <c r="S18" s="107" t="s">
        <v>65</v>
      </c>
    </row>
    <row r="19" spans="2:17">
      <c r="B19" s="52" t="s">
        <v>66</v>
      </c>
      <c r="C19" s="194"/>
      <c r="D19" s="557" t="n">
        <v>1</v>
      </c>
      <c r="E19" s="558"/>
      <c r="F19" s="559"/>
      <c r="G19" s="33" t="n">
        <v>2</v>
      </c>
      <c r="H19" s="33" t="n">
        <v>3</v>
      </c>
      <c r="I19" s="33" t="n">
        <v>4</v>
      </c>
      <c r="J19" s="33" t="n">
        <v>5</v>
      </c>
      <c r="K19" s="33" t="n">
        <v>6</v>
      </c>
      <c r="L19" s="33" t="n">
        <v>7</v>
      </c>
      <c r="M19" s="33" t="n">
        <v>8</v>
      </c>
      <c r="N19" s="33" t="n">
        <v>9</v>
      </c>
      <c r="O19" s="33" t="n">
        <v>10</v>
      </c>
      <c r="P19" s="33" t="n">
        <v>11</v>
      </c>
      <c r="Q19" s="349" t="n">
        <v>12</v>
      </c>
    </row>
    <row r="20" spans="2:17" ht="7.50" customHeight="1">
      <c r="B20" s="54" t="n">
        <v>419</v>
      </c>
      <c r="C20" s="194"/>
      <c r="D20" s="548" t="str">
        <f>VLOOKUP($B20,Aop!$A$2:$M$453,6,1)</f>
        <v/>
      </c>
      <c r="E20" s="549"/>
      <c r="F20" s="550"/>
      <c r="G20" s="145">
        <f>VLOOKUP($B20,Aop!$A$2:$M$453,4,1)</f>
        <v>0</v>
      </c>
      <c r="H20" s="40"/>
      <c r="I20" s="40"/>
      <c r="J20" s="40"/>
      <c r="K20" s="40"/>
      <c r="L20" s="40"/>
      <c r="M20" s="40"/>
      <c r="N20" s="40"/>
      <c r="O20" s="40"/>
      <c r="P20" s="40"/>
      <c r="Q20" s="41"/>
    </row>
    <row r="21" spans="2:17" ht="12.75" customHeight="1">
      <c r="B21" s="54" t="n">
        <v>420</v>
      </c>
      <c r="C21" s="194"/>
      <c r="D21" s="551" t="str">
        <f>VLOOKUP($B21,Aop!$A$2:$M$453,6,1)</f>
        <v>1. Stanje na dan 01.01.2023. god.</v>
      </c>
      <c r="E21" s="552"/>
      <c r="F21" s="553"/>
      <c r="G21" s="134">
        <f>VLOOKUP($B21,Aop!$A$2:$M$453,4,1)</f>
        <v>901</v>
      </c>
      <c r="H21" s="73" t="n">
        <v>6015177</v>
      </c>
      <c r="I21" s="73"/>
      <c r="J21" s="73"/>
      <c r="K21" s="73" t="n">
        <v>262625</v>
      </c>
      <c r="L21" s="73"/>
      <c r="M21" s="73" t="n">
        <v>869</v>
      </c>
      <c r="N21" s="73" t="n">
        <v>-5092009</v>
      </c>
      <c r="O21" s="39">
        <f>SUM(H21:N21)</f>
        <v>1186662</v>
      </c>
      <c r="P21" s="73"/>
      <c r="Q21" s="42">
        <f>SUM(O21:P21)</f>
        <v>1186662</v>
      </c>
    </row>
    <row r="22" spans="2:17" ht="7.50" customHeight="1">
      <c r="B22" s="54" t="n">
        <v>421</v>
      </c>
      <c r="C22" s="194"/>
      <c r="D22" s="545" t="str">
        <f>VLOOKUP($B22,Aop!$A$2:$M$453,6,1)</f>
        <v/>
      </c>
      <c r="E22" s="546"/>
      <c r="F22" s="547"/>
      <c r="G22" s="65">
        <f>VLOOKUP($B22,Aop!$A$2:$M$453,4,1)</f>
        <v>0</v>
      </c>
      <c r="H22" s="40"/>
      <c r="I22" s="40"/>
      <c r="J22" s="40"/>
      <c r="K22" s="40"/>
      <c r="L22" s="40"/>
      <c r="M22" s="40"/>
      <c r="N22" s="40"/>
      <c r="O22" s="40"/>
      <c r="P22" s="40"/>
      <c r="Q22" s="41"/>
    </row>
    <row r="23" spans="2:17" ht="15" customHeight="1">
      <c r="B23" s="54" t="n">
        <v>422</v>
      </c>
      <c r="C23" s="194"/>
      <c r="D23" s="554" t="str">
        <f>VLOOKUP($B23,Aop!$A$2:$M$453,6,1)</f>
        <v>    2. Efekti promjena u računovodstvenim politikama </v>
      </c>
      <c r="E23" s="555"/>
      <c r="F23" s="556"/>
      <c r="G23" s="63">
        <f>VLOOKUP($B23,Aop!$A$2:$M$453,4,1)</f>
        <v>902</v>
      </c>
      <c r="H23" s="120"/>
      <c r="I23" s="120"/>
      <c r="J23" s="120"/>
      <c r="K23" s="120"/>
      <c r="L23" s="120"/>
      <c r="M23" s="120"/>
      <c r="N23" s="120"/>
      <c r="O23" s="119">
        <f>SUM(H23:N23)</f>
        <v>0</v>
      </c>
      <c r="P23" s="120"/>
      <c r="Q23" s="42">
        <f>SUM(O23:P23)</f>
        <v>0</v>
      </c>
    </row>
    <row r="24" spans="2:17" ht="15" customHeight="1">
      <c r="B24" s="54" t="n">
        <v>423</v>
      </c>
      <c r="C24" s="194"/>
      <c r="D24" s="545" t="str">
        <f>VLOOKUP($B24,Aop!$A$2:$M$453,6,1)</f>
        <v>    3. Efekti ispravki grešaka</v>
      </c>
      <c r="E24" s="546"/>
      <c r="F24" s="547"/>
      <c r="G24" s="65">
        <f>VLOOKUP($B24,Aop!$A$2:$M$453,4,1)</f>
        <v>903</v>
      </c>
      <c r="H24" s="122"/>
      <c r="I24" s="122"/>
      <c r="J24" s="122"/>
      <c r="K24" s="122"/>
      <c r="L24" s="122"/>
      <c r="M24" s="122"/>
      <c r="N24" s="122"/>
      <c r="O24" s="118">
        <f>SUM(H24:N24)</f>
        <v>0</v>
      </c>
      <c r="P24" s="122"/>
      <c r="Q24" s="348">
        <f>SUM(O24:P24)</f>
        <v>0</v>
      </c>
    </row>
    <row r="25" spans="2:19" ht="23.25" customHeight="1">
      <c r="B25" s="54" t="n">
        <v>424</v>
      </c>
      <c r="C25" s="194"/>
      <c r="D25" s="551" t="str">
        <f>VLOOKUP($B25,Aop!$A$2:$M$453,6,1)</f>
        <v>  4. Ponovo iskazano stanje na dan 01.01.2023. god. (901 ± 902 ± 903)</v>
      </c>
      <c r="E25" s="552"/>
      <c r="F25" s="553"/>
      <c r="G25" s="134">
        <f>VLOOKUP($B25,Aop!$A$2:$M$453,4,1)</f>
        <v>904</v>
      </c>
      <c r="H25" s="39">
        <f>SUM(H21:H24)</f>
        <v>6015177</v>
      </c>
      <c r="I25" s="39">
        <f>SUM(I21:I24)</f>
        <v>0</v>
      </c>
      <c r="J25" s="39">
        <f>SUM(J21:J24)</f>
        <v>0</v>
      </c>
      <c r="K25" s="39">
        <f>SUM(K21:K24)</f>
        <v>262625</v>
      </c>
      <c r="L25" s="39">
        <f>SUM(L21:L24)</f>
        <v>0</v>
      </c>
      <c r="M25" s="39">
        <f>SUM(M21:M24)</f>
        <v>869</v>
      </c>
      <c r="N25" s="39">
        <f>SUM(N21:N24)</f>
        <v>-5092009</v>
      </c>
      <c r="O25" s="39">
        <f>SUM(H25:N25)</f>
        <v>1186662</v>
      </c>
      <c r="P25" s="39">
        <f>SUM(P21:P24)</f>
        <v>0</v>
      </c>
      <c r="Q25" s="42">
        <f>SUM(O25:P25)</f>
        <v>1186662</v>
      </c>
      <c r="S25" s="106" t="s">
        <v>69</v>
      </c>
    </row>
    <row r="26" spans="2:19" ht="8.25" customHeight="1">
      <c r="B26" s="54" t="n">
        <v>425</v>
      </c>
      <c r="C26" s="194"/>
      <c r="D26" s="545" t="str">
        <f>VLOOKUP($B26,Aop!$A$2:$M$453,6,1)</f>
        <v/>
      </c>
      <c r="E26" s="546"/>
      <c r="F26" s="547"/>
      <c r="G26" s="65">
        <f>VLOOKUP($B26,Aop!$A$2:$M$453,4,1)</f>
        <v>0</v>
      </c>
      <c r="H26" s="40"/>
      <c r="I26" s="40"/>
      <c r="J26" s="40"/>
      <c r="K26" s="40"/>
      <c r="L26" s="40"/>
      <c r="M26" s="40"/>
      <c r="N26" s="40"/>
      <c r="O26" s="40"/>
      <c r="P26" s="40"/>
      <c r="Q26" s="41"/>
      <c r="S26" s="106" t="s">
        <v>69</v>
      </c>
    </row>
    <row r="27" spans="2:17" ht="15" customHeight="1">
      <c r="B27" s="54" t="n">
        <v>426</v>
      </c>
      <c r="C27" s="194"/>
      <c r="D27" s="554" t="str">
        <f>VLOOKUP($B27,Aop!$A$2:$M$453,6,1)</f>
        <v>    5. Dobit/(gubitak) za godinu</v>
      </c>
      <c r="E27" s="555"/>
      <c r="F27" s="556"/>
      <c r="G27" s="63">
        <f>VLOOKUP($B27,Aop!$A$2:$M$453,4,1)</f>
        <v>905</v>
      </c>
      <c r="H27" s="120"/>
      <c r="I27" s="120"/>
      <c r="J27" s="120"/>
      <c r="K27" s="120"/>
      <c r="L27" s="120"/>
      <c r="M27" s="120"/>
      <c r="N27" s="120" t="n">
        <v>5446</v>
      </c>
      <c r="O27" s="119">
        <f>SUM(H27:N27)</f>
        <v>5446</v>
      </c>
      <c r="P27" s="120"/>
      <c r="Q27" s="347">
        <f>SUM(O27:P27)</f>
        <v>5446</v>
      </c>
    </row>
    <row r="28" spans="2:17" ht="15" customHeight="1">
      <c r="B28" s="54" t="n">
        <v>427</v>
      </c>
      <c r="C28" s="194"/>
      <c r="D28" s="545" t="str">
        <f>VLOOKUP($B28,Aop!$A$2:$M$453,6,1)</f>
        <v>    6. Ostali ukupni rezultat za godinu</v>
      </c>
      <c r="E28" s="546"/>
      <c r="F28" s="547"/>
      <c r="G28" s="65">
        <f>VLOOKUP($B28,Aop!$A$2:$M$453,4,1)</f>
        <v>906</v>
      </c>
      <c r="H28" s="122"/>
      <c r="I28" s="122"/>
      <c r="J28" s="122"/>
      <c r="K28" s="122" t="n">
        <v>-10942</v>
      </c>
      <c r="L28" s="122"/>
      <c r="M28" s="122"/>
      <c r="N28" s="122" t="n">
        <v>10942</v>
      </c>
      <c r="O28" s="118">
        <f>SUM(H28:N28)</f>
        <v>0</v>
      </c>
      <c r="P28" s="122"/>
      <c r="Q28" s="348">
        <f>SUM(O28:P28)</f>
        <v>0</v>
      </c>
    </row>
    <row r="29" spans="2:17" ht="15" customHeight="1">
      <c r="B29" s="54" t="n">
        <v>428</v>
      </c>
      <c r="C29" s="194"/>
      <c r="D29" s="551" t="str">
        <f>VLOOKUP($B29,Aop!$A$2:$M$453,6,1)</f>
        <v>  7. Ukupna dobit/(gubitak) (± 905 ± 906)</v>
      </c>
      <c r="E29" s="552"/>
      <c r="F29" s="553"/>
      <c r="G29" s="134">
        <f>VLOOKUP($B29,Aop!$A$2:$M$453,4,1)</f>
        <v>907</v>
      </c>
      <c r="H29" s="39">
        <f>SUM(H27:H28)</f>
        <v>0</v>
      </c>
      <c r="I29" s="39">
        <f>SUM(I27:I28)</f>
        <v>0</v>
      </c>
      <c r="J29" s="39">
        <f>SUM(J27:J28)</f>
        <v>0</v>
      </c>
      <c r="K29" s="39">
        <f>SUM(K27:K28)</f>
        <v>-10942</v>
      </c>
      <c r="L29" s="39">
        <f>SUM(L27:L28)</f>
        <v>0</v>
      </c>
      <c r="M29" s="39">
        <f>SUM(M27:M28)</f>
        <v>0</v>
      </c>
      <c r="N29" s="39">
        <f>SUM(N27:N28)</f>
        <v>16388</v>
      </c>
      <c r="O29" s="39">
        <f>SUM(O27:O28)</f>
        <v>5446</v>
      </c>
      <c r="P29" s="39">
        <f>SUM(P27:P28)</f>
        <v>0</v>
      </c>
      <c r="Q29" s="42">
        <f>SUM(Q27:Q28)</f>
        <v>5446</v>
      </c>
    </row>
    <row r="30" spans="2:17" ht="6.75" customHeight="1">
      <c r="B30" s="54" t="n">
        <v>429</v>
      </c>
      <c r="C30" s="194"/>
      <c r="D30" s="545" t="str">
        <f>VLOOKUP($B30,Aop!$A$2:$M$453,6,1)</f>
        <v/>
      </c>
      <c r="E30" s="546"/>
      <c r="F30" s="547"/>
      <c r="G30" s="65">
        <f>VLOOKUP($B30,Aop!$A$2:$M$453,4,1)</f>
        <v>0</v>
      </c>
      <c r="H30" s="40"/>
      <c r="I30" s="40"/>
      <c r="J30" s="40"/>
      <c r="K30" s="40"/>
      <c r="L30" s="40"/>
      <c r="M30" s="40"/>
      <c r="N30" s="40"/>
      <c r="O30" s="40"/>
      <c r="P30" s="40"/>
      <c r="Q30" s="41"/>
    </row>
    <row r="31" spans="2:19" ht="15" customHeight="1">
      <c r="B31" s="54" t="n">
        <v>430</v>
      </c>
      <c r="C31" s="194"/>
      <c r="D31" s="554" t="str">
        <f>VLOOKUP($B31,Aop!$A$2:$M$453,6,1)</f>
        <v>    8. Emisija akcijskog kapitala i drugi oblici povećanja kapitala</v>
      </c>
      <c r="E31" s="555"/>
      <c r="F31" s="556"/>
      <c r="G31" s="63">
        <f>VLOOKUP($B31,Aop!$A$2:$M$453,4,1)</f>
        <v>908</v>
      </c>
      <c r="H31" s="120"/>
      <c r="I31" s="120"/>
      <c r="J31" s="120"/>
      <c r="K31" s="120"/>
      <c r="L31" s="120"/>
      <c r="M31" s="120"/>
      <c r="N31" s="120"/>
      <c r="O31" s="39">
        <f>SUM(H31:N31)</f>
        <v>0</v>
      </c>
      <c r="P31" s="120"/>
      <c r="Q31" s="42">
        <f>SUM(O31:P31)</f>
        <v>0</v>
      </c>
      <c r="S31" s="106" t="s">
        <v>69</v>
      </c>
    </row>
    <row r="32" spans="2:17" ht="15" customHeight="1">
      <c r="B32" s="54" t="n">
        <v>431</v>
      </c>
      <c r="C32" s="194"/>
      <c r="D32" s="545" t="str">
        <f>VLOOKUP($B32,Aop!$A$2:$M$453,6,1)</f>
        <v>    9. Sticanje sopstvenih akcija i drugi oblici smanjenja kapitala</v>
      </c>
      <c r="E32" s="546"/>
      <c r="F32" s="547"/>
      <c r="G32" s="65">
        <f>VLOOKUP($B32,Aop!$A$2:$M$453,4,1)</f>
        <v>909</v>
      </c>
      <c r="H32" s="122"/>
      <c r="I32" s="122"/>
      <c r="J32" s="122"/>
      <c r="K32" s="122"/>
      <c r="L32" s="122"/>
      <c r="M32" s="122"/>
      <c r="N32" s="122"/>
      <c r="O32" s="118">
        <f>SUM(H32:N32)</f>
        <v>0</v>
      </c>
      <c r="P32" s="122"/>
      <c r="Q32" s="348">
        <f>SUM(O32:P32)</f>
        <v>0</v>
      </c>
    </row>
    <row r="33" spans="2:17" ht="15" customHeight="1">
      <c r="B33" s="54" t="n">
        <v>432</v>
      </c>
      <c r="C33" s="194"/>
      <c r="D33" s="554" t="str">
        <f>VLOOKUP($B33,Aop!$A$2:$M$453,6,1)</f>
        <v>    10. Objavljene dividende </v>
      </c>
      <c r="E33" s="555"/>
      <c r="F33" s="556"/>
      <c r="G33" s="63">
        <f>VLOOKUP($B33,Aop!$A$2:$M$453,4,1)</f>
        <v>910</v>
      </c>
      <c r="H33" s="120"/>
      <c r="I33" s="120"/>
      <c r="J33" s="120"/>
      <c r="K33" s="120"/>
      <c r="L33" s="120"/>
      <c r="M33" s="120"/>
      <c r="N33" s="120"/>
      <c r="O33" s="119">
        <f>SUM(H33:N33)</f>
        <v>0</v>
      </c>
      <c r="P33" s="120"/>
      <c r="Q33" s="347">
        <f>SUM(O33:P33)</f>
        <v>0</v>
      </c>
    </row>
    <row r="34" spans="2:17" ht="15" customHeight="1">
      <c r="B34" s="54" t="n">
        <v>433</v>
      </c>
      <c r="C34" s="194"/>
      <c r="D34" s="545" t="str">
        <f>VLOOKUP($B34,Aop!$A$2:$M$453,6,1)</f>
        <v>    11. Drugi oblici raspodjele dobiti i pokriće gubitka</v>
      </c>
      <c r="E34" s="546"/>
      <c r="F34" s="547"/>
      <c r="G34" s="65">
        <f>VLOOKUP($B34,Aop!$A$2:$M$453,4,1)</f>
        <v>911</v>
      </c>
      <c r="H34" s="122"/>
      <c r="I34" s="122"/>
      <c r="J34" s="122"/>
      <c r="K34" s="122"/>
      <c r="L34" s="122"/>
      <c r="M34" s="122"/>
      <c r="N34" s="122"/>
      <c r="O34" s="40">
        <f>SUM(H34:N34)</f>
        <v>0</v>
      </c>
      <c r="P34" s="122"/>
      <c r="Q34" s="41">
        <f>SUM(O34:P34)</f>
        <v>0</v>
      </c>
    </row>
    <row r="35" spans="2:17" ht="15" customHeight="1">
      <c r="B35" s="54" t="n">
        <v>434</v>
      </c>
      <c r="C35" s="194"/>
      <c r="D35" s="554" t="str">
        <f>VLOOKUP($B35,Aop!$A$2:$M$453,6,1)</f>
        <v>    12. Ostale promjene</v>
      </c>
      <c r="E35" s="555"/>
      <c r="F35" s="556"/>
      <c r="G35" s="63">
        <f>VLOOKUP($B35,Aop!$A$2:$M$453,4,1)</f>
        <v>912</v>
      </c>
      <c r="H35" s="120"/>
      <c r="I35" s="120"/>
      <c r="J35" s="120"/>
      <c r="K35" s="120"/>
      <c r="L35" s="120"/>
      <c r="M35" s="120"/>
      <c r="N35" s="120"/>
      <c r="O35" s="119">
        <f>SUM(H35:N35)</f>
        <v>0</v>
      </c>
      <c r="P35" s="120"/>
      <c r="Q35" s="347">
        <f>SUM(O35:P35)</f>
        <v>0</v>
      </c>
    </row>
    <row r="36" spans="2:19" ht="9" customHeight="1">
      <c r="B36" s="54" t="n">
        <v>435</v>
      </c>
      <c r="C36" s="194"/>
      <c r="D36" s="545" t="str">
        <f>VLOOKUP($B36,Aop!$A$2:$M$453,6,1)</f>
        <v/>
      </c>
      <c r="E36" s="546"/>
      <c r="F36" s="547"/>
      <c r="G36" s="65">
        <f>VLOOKUP($B36,Aop!$A$2:$M$453,4,1)</f>
        <v>0</v>
      </c>
      <c r="H36" s="40"/>
      <c r="I36" s="40"/>
      <c r="J36" s="40"/>
      <c r="K36" s="40"/>
      <c r="L36" s="40"/>
      <c r="M36" s="40"/>
      <c r="N36" s="40"/>
      <c r="O36" s="40"/>
      <c r="P36" s="40"/>
      <c r="Q36" s="41"/>
      <c r="S36" s="106" t="s">
        <v>69</v>
      </c>
    </row>
    <row r="37" spans="2:19">
      <c r="B37" s="54" t="n">
        <v>436</v>
      </c>
      <c r="C37" s="194"/>
      <c r="D37" s="551" t="str">
        <f>VLOOKUP($B37,Aop!$A$2:$M$453,6,1)</f>
        <v>  13. Stanje na dan 31.12.2023. god. / 01.01.2024. god. 
   (904 ± 907 ± 908 - 909 - 910 ± 911 ± 912)</v>
      </c>
      <c r="E37" s="552"/>
      <c r="F37" s="553"/>
      <c r="G37" s="134">
        <f>VLOOKUP($B37,Aop!$A$2:$M$453,4,1)</f>
        <v>913</v>
      </c>
      <c r="H37" s="39">
        <f>SUM(H25,H29,-H32,-H33,H31,H34:H35)</f>
        <v>6015177</v>
      </c>
      <c r="I37" s="39">
        <f>SUM(I25,I29,-I32,-I33,I31,I34:I35)</f>
        <v>0</v>
      </c>
      <c r="J37" s="39">
        <f>SUM(J25,J29,-J32,-J33,J31,J34:J35)</f>
        <v>0</v>
      </c>
      <c r="K37" s="39">
        <f>SUM(K25,K29,-K32,-K33,K31,K34:K35)</f>
        <v>251683</v>
      </c>
      <c r="L37" s="39">
        <f>SUM(L25,L29,-L32,-L33,L31,L34:L35)</f>
        <v>0</v>
      </c>
      <c r="M37" s="39">
        <f>SUM(M25,M29,-M32,-M33,M31,M34:M35)</f>
        <v>869</v>
      </c>
      <c r="N37" s="39">
        <f>SUM(N25,N29,-N32,-N33,N31,N34:N35)</f>
        <v>-5075621</v>
      </c>
      <c r="O37" s="39">
        <f>SUM(O25,O29,-O32,-O33,O31,O34:O35)</f>
        <v>1192108</v>
      </c>
      <c r="P37" s="39">
        <f>SUM(P25,P29,-P32,-P33,P31,P34:P35)</f>
        <v>0</v>
      </c>
      <c r="Q37" s="42">
        <f>SUM(Q25,Q29,-Q32,-Q33,Q31,Q34:Q35)</f>
        <v>1192108</v>
      </c>
      <c r="S37" s="106" t="s">
        <v>69</v>
      </c>
    </row>
    <row r="38" spans="2:17" ht="9" customHeight="1">
      <c r="B38" s="54" t="n">
        <v>437</v>
      </c>
      <c r="C38" s="194"/>
      <c r="D38" s="545" t="str">
        <f>VLOOKUP($B38,Aop!$A$2:$M$453,6,1)</f>
        <v/>
      </c>
      <c r="E38" s="546"/>
      <c r="F38" s="547"/>
      <c r="G38" s="65">
        <f>VLOOKUP($B38,Aop!$A$2:$M$453,4,1)</f>
        <v>0</v>
      </c>
      <c r="H38" s="40"/>
      <c r="I38" s="40"/>
      <c r="J38" s="40"/>
      <c r="K38" s="40"/>
      <c r="L38" s="40"/>
      <c r="M38" s="40"/>
      <c r="N38" s="40"/>
      <c r="O38" s="40"/>
      <c r="P38" s="40"/>
      <c r="Q38" s="41"/>
    </row>
    <row r="39" spans="2:17" ht="15.75" customHeight="1">
      <c r="B39" s="54" t="n">
        <v>438</v>
      </c>
      <c r="C39" s="194"/>
      <c r="D39" s="554" t="str">
        <f>VLOOKUP($B39,Aop!$A$2:$M$453,6,1)</f>
        <v>    14. Efekti promjena u računovodstvenim politikama</v>
      </c>
      <c r="E39" s="555"/>
      <c r="F39" s="556"/>
      <c r="G39" s="63">
        <f>VLOOKUP($B39,Aop!$A$2:$M$453,4,1)</f>
        <v>914</v>
      </c>
      <c r="H39" s="120"/>
      <c r="I39" s="120"/>
      <c r="J39" s="120"/>
      <c r="K39" s="120"/>
      <c r="L39" s="120"/>
      <c r="M39" s="120"/>
      <c r="N39" s="120"/>
      <c r="O39" s="119">
        <f>SUM(H39:N39)</f>
        <v>0</v>
      </c>
      <c r="P39" s="120"/>
      <c r="Q39" s="347">
        <f>SUM(O39:P39)</f>
        <v>0</v>
      </c>
    </row>
    <row r="40" spans="2:17" ht="15.75" customHeight="1">
      <c r="B40" s="54" t="n">
        <v>439</v>
      </c>
      <c r="C40" s="194"/>
      <c r="D40" s="545" t="str">
        <f>VLOOKUP($B40,Aop!$A$2:$M$453,6,1)</f>
        <v>    15. Efekti ispravki grešaka</v>
      </c>
      <c r="E40" s="546"/>
      <c r="F40" s="547"/>
      <c r="G40" s="65">
        <f>VLOOKUP($B40,Aop!$A$2:$M$453,4,1)</f>
        <v>915</v>
      </c>
      <c r="H40" s="122"/>
      <c r="I40" s="122"/>
      <c r="J40" s="122"/>
      <c r="K40" s="122"/>
      <c r="L40" s="122"/>
      <c r="M40" s="122"/>
      <c r="N40" s="122" t="n">
        <v>-2399</v>
      </c>
      <c r="O40" s="40">
        <f>SUM(H40:N40)</f>
        <v>-2399</v>
      </c>
      <c r="P40" s="122"/>
      <c r="Q40" s="41">
        <f>SUM(O40:P40)</f>
        <v>-2399</v>
      </c>
    </row>
    <row r="41" spans="2:17" ht="15.75" customHeight="1">
      <c r="B41" s="54" t="n">
        <v>440</v>
      </c>
      <c r="C41" s="194"/>
      <c r="D41" s="551" t="str">
        <f>VLOOKUP($B41,Aop!$A$2:$M$453,6,1)</f>
        <v>  16. Ponovo iskazano stanje na dan 01.01.2024. godine (913 ± 914 ± 915)</v>
      </c>
      <c r="E41" s="552"/>
      <c r="F41" s="553"/>
      <c r="G41" s="134">
        <f>VLOOKUP($B41,Aop!$A$2:$M$453,4,1)</f>
        <v>916</v>
      </c>
      <c r="H41" s="39">
        <f>SUM(H37:H40)</f>
        <v>6015177</v>
      </c>
      <c r="I41" s="39">
        <f>SUM(I37:I40)</f>
        <v>0</v>
      </c>
      <c r="J41" s="39">
        <f>SUM(J37:J40)</f>
        <v>0</v>
      </c>
      <c r="K41" s="39">
        <f>SUM(K37:K40)</f>
        <v>251683</v>
      </c>
      <c r="L41" s="39">
        <f>SUM(L37:L40)</f>
        <v>0</v>
      </c>
      <c r="M41" s="39">
        <f>SUM(M37:M40)</f>
        <v>869</v>
      </c>
      <c r="N41" s="39">
        <f>SUM(N37:N40)</f>
        <v>-5078020</v>
      </c>
      <c r="O41" s="39">
        <f>SUM(O37:O40)</f>
        <v>1189709</v>
      </c>
      <c r="P41" s="39">
        <f>SUM(P37:P40)</f>
        <v>0</v>
      </c>
      <c r="Q41" s="42">
        <f>SUM(Q37:Q40)</f>
        <v>1189709</v>
      </c>
    </row>
    <row r="42" spans="2:17" ht="6.75" customHeight="1">
      <c r="B42" s="54" t="n">
        <v>441</v>
      </c>
      <c r="C42" s="194"/>
      <c r="D42" s="545" t="str">
        <f>VLOOKUP($B42,Aop!$A$2:$M$453,6,1)</f>
        <v/>
      </c>
      <c r="E42" s="546"/>
      <c r="F42" s="547"/>
      <c r="G42" s="65">
        <f>VLOOKUP($B42,Aop!$A$2:$M$453,4,1)</f>
        <v>0</v>
      </c>
      <c r="H42" s="40"/>
      <c r="I42" s="40"/>
      <c r="J42" s="40"/>
      <c r="K42" s="40"/>
      <c r="L42" s="40"/>
      <c r="M42" s="40"/>
      <c r="N42" s="40"/>
      <c r="O42" s="40"/>
      <c r="P42" s="40"/>
      <c r="Q42" s="41"/>
    </row>
    <row r="43" spans="2:17" ht="15" customHeight="1">
      <c r="B43" s="54" t="n">
        <v>442</v>
      </c>
      <c r="C43" s="194"/>
      <c r="D43" s="554" t="str">
        <f>VLOOKUP($B43,Aop!$A$2:$M$453,6,1)</f>
        <v>    17. Dobit/(gubitak) za godinu</v>
      </c>
      <c r="E43" s="555"/>
      <c r="F43" s="556"/>
      <c r="G43" s="63">
        <f>VLOOKUP($B43,Aop!$A$2:$M$453,4,1)</f>
        <v>917</v>
      </c>
      <c r="H43" s="120"/>
      <c r="I43" s="120"/>
      <c r="J43" s="120"/>
      <c r="K43" s="120"/>
      <c r="L43" s="120"/>
      <c r="M43" s="120"/>
      <c r="N43" s="120" t="n">
        <v>805</v>
      </c>
      <c r="O43" s="119">
        <f>SUM(H43:N43)</f>
        <v>805</v>
      </c>
      <c r="P43" s="120"/>
      <c r="Q43" s="347">
        <f>SUM(O43:P43)</f>
        <v>805</v>
      </c>
    </row>
    <row r="44" spans="2:17" ht="15" customHeight="1">
      <c r="B44" s="54" t="n">
        <v>443</v>
      </c>
      <c r="C44" s="194"/>
      <c r="D44" s="545" t="str">
        <f>VLOOKUP($B44,Aop!$A$2:$M$453,6,1)</f>
        <v>    18. Ostali ukupni rezultat za godinu</v>
      </c>
      <c r="E44" s="546"/>
      <c r="F44" s="547"/>
      <c r="G44" s="65">
        <f>VLOOKUP($B44,Aop!$A$2:$M$453,4,1)</f>
        <v>918</v>
      </c>
      <c r="H44" s="122"/>
      <c r="I44" s="122"/>
      <c r="J44" s="122"/>
      <c r="K44" s="122" t="n">
        <v>-2736</v>
      </c>
      <c r="L44" s="122"/>
      <c r="M44" s="122"/>
      <c r="N44" s="122" t="n">
        <v>2736</v>
      </c>
      <c r="O44" s="40">
        <f>SUM(H44:N44)</f>
        <v>0</v>
      </c>
      <c r="P44" s="122"/>
      <c r="Q44" s="41">
        <f>SUM(O44:P44)</f>
        <v>0</v>
      </c>
    </row>
    <row r="45" spans="2:17" ht="15" customHeight="1">
      <c r="B45" s="54" t="n">
        <v>444</v>
      </c>
      <c r="C45" s="194"/>
      <c r="D45" s="551" t="str">
        <f>VLOOKUP($B45,Aop!$A$2:$M$453,6,1)</f>
        <v>  19. Ukupna dobit/(gubitak) (± 917 ± 918)</v>
      </c>
      <c r="E45" s="552"/>
      <c r="F45" s="553"/>
      <c r="G45" s="134">
        <f>VLOOKUP($B45,Aop!$A$2:$M$453,4,1)</f>
        <v>919</v>
      </c>
      <c r="H45" s="39">
        <f>SUM(H43:H44)</f>
        <v>0</v>
      </c>
      <c r="I45" s="39">
        <f>SUM(I43:I44)</f>
        <v>0</v>
      </c>
      <c r="J45" s="39">
        <f>SUM(J43:J44)</f>
        <v>0</v>
      </c>
      <c r="K45" s="39">
        <f>SUM(K43:K44)</f>
        <v>-2736</v>
      </c>
      <c r="L45" s="39">
        <f>SUM(L43:L44)</f>
        <v>0</v>
      </c>
      <c r="M45" s="39">
        <f>SUM(M43:M44)</f>
        <v>0</v>
      </c>
      <c r="N45" s="39">
        <f>SUM(N43:N44)</f>
        <v>3541</v>
      </c>
      <c r="O45" s="39">
        <f>SUM(O43:O44)</f>
        <v>805</v>
      </c>
      <c r="P45" s="39">
        <f>SUM(P43:P44)</f>
        <v>0</v>
      </c>
      <c r="Q45" s="42">
        <f>SUM(Q43:Q44)</f>
        <v>805</v>
      </c>
    </row>
    <row r="46" spans="2:17" ht="4.50" customHeight="1">
      <c r="B46" s="54" t="n">
        <v>445</v>
      </c>
      <c r="C46" s="194"/>
      <c r="D46" s="545" t="str">
        <f>VLOOKUP($B46,Aop!$A$2:$M$453,6,1)</f>
        <v/>
      </c>
      <c r="E46" s="546"/>
      <c r="F46" s="547"/>
      <c r="G46" s="65">
        <f>VLOOKUP($B46,Aop!$A$2:$M$453,4,1)</f>
        <v>0</v>
      </c>
      <c r="H46" s="40"/>
      <c r="I46" s="40"/>
      <c r="J46" s="40"/>
      <c r="K46" s="40"/>
      <c r="L46" s="40"/>
      <c r="M46" s="40"/>
      <c r="N46" s="40"/>
      <c r="O46" s="40"/>
      <c r="P46" s="40"/>
      <c r="Q46" s="41"/>
    </row>
    <row r="47" spans="2:17" ht="15.75" customHeight="1">
      <c r="B47" s="54" t="n">
        <v>446</v>
      </c>
      <c r="C47" s="194"/>
      <c r="D47" s="554" t="str">
        <f>VLOOKUP($B47,Aop!$A$2:$M$453,6,1)</f>
        <v>    20. Emisija akcijskog kapitala i drugi oblici povećanja kapitala</v>
      </c>
      <c r="E47" s="555"/>
      <c r="F47" s="556"/>
      <c r="G47" s="63">
        <f>VLOOKUP($B47,Aop!$A$2:$M$453,4,1)</f>
        <v>920</v>
      </c>
      <c r="H47" s="120"/>
      <c r="I47" s="120"/>
      <c r="J47" s="120"/>
      <c r="K47" s="120"/>
      <c r="L47" s="120"/>
      <c r="M47" s="120"/>
      <c r="N47" s="120"/>
      <c r="O47" s="119">
        <f>SUM(H47:N47)</f>
        <v>0</v>
      </c>
      <c r="P47" s="120"/>
      <c r="Q47" s="347">
        <f>SUM(O47:P47)</f>
        <v>0</v>
      </c>
    </row>
    <row r="48" spans="2:17" ht="18.75" customHeight="1">
      <c r="B48" s="54" t="n">
        <v>447</v>
      </c>
      <c r="C48" s="194"/>
      <c r="D48" s="545" t="str">
        <f>VLOOKUP($B48,Aop!$A$2:$M$453,6,1)</f>
        <v>    21. Sticanje sopstvenih akcija i drugi oblici smanjenja kapitala</v>
      </c>
      <c r="E48" s="546"/>
      <c r="F48" s="547"/>
      <c r="G48" s="65">
        <f>VLOOKUP($B48,Aop!$A$2:$M$453,4,1)</f>
        <v>921</v>
      </c>
      <c r="H48" s="122"/>
      <c r="I48" s="122"/>
      <c r="J48" s="122"/>
      <c r="K48" s="122"/>
      <c r="L48" s="122"/>
      <c r="M48" s="122"/>
      <c r="N48" s="122"/>
      <c r="O48" s="40">
        <f>SUM(H48:N48)</f>
        <v>0</v>
      </c>
      <c r="P48" s="122"/>
      <c r="Q48" s="41">
        <f>SUM(O48:P48)</f>
        <v>0</v>
      </c>
    </row>
    <row r="49" spans="2:17" ht="15" customHeight="1">
      <c r="B49" s="54" t="n">
        <v>448</v>
      </c>
      <c r="C49" s="194"/>
      <c r="D49" s="554" t="str">
        <f>VLOOKUP($B49,Aop!$A$2:$M$453,6,1)</f>
        <v>    22. Objavljene dividende </v>
      </c>
      <c r="E49" s="555"/>
      <c r="F49" s="556"/>
      <c r="G49" s="63">
        <f>VLOOKUP($B49,Aop!$A$2:$M$453,4,1)</f>
        <v>922</v>
      </c>
      <c r="H49" s="120"/>
      <c r="I49" s="120"/>
      <c r="J49" s="120"/>
      <c r="K49" s="120"/>
      <c r="L49" s="120"/>
      <c r="M49" s="120"/>
      <c r="N49" s="120"/>
      <c r="O49" s="119">
        <f>SUM(H49:N49)</f>
        <v>0</v>
      </c>
      <c r="P49" s="120"/>
      <c r="Q49" s="347">
        <f>SUM(O49:P49)</f>
        <v>0</v>
      </c>
    </row>
    <row r="50" spans="2:17" ht="15" customHeight="1">
      <c r="B50" s="54" t="n">
        <v>449</v>
      </c>
      <c r="C50" s="194"/>
      <c r="D50" s="545" t="str">
        <f>VLOOKUP($B50,Aop!$A$2:$M$453,6,1)</f>
        <v>    23. Drugi oblici raspodjele dobiti i pokriće gubitka</v>
      </c>
      <c r="E50" s="546"/>
      <c r="F50" s="547"/>
      <c r="G50" s="65">
        <f>VLOOKUP($B50,Aop!$A$2:$M$453,4,1)</f>
        <v>923</v>
      </c>
      <c r="H50" s="122"/>
      <c r="I50" s="122"/>
      <c r="J50" s="122"/>
      <c r="K50" s="122"/>
      <c r="L50" s="122"/>
      <c r="M50" s="122"/>
      <c r="N50" s="122"/>
      <c r="O50" s="40">
        <f>SUM(H50:N50)</f>
        <v>0</v>
      </c>
      <c r="P50" s="122"/>
      <c r="Q50" s="41">
        <f>SUM(O50:P50)</f>
        <v>0</v>
      </c>
    </row>
    <row r="51" spans="2:17" ht="15" customHeight="1">
      <c r="B51" s="54" t="n">
        <v>450</v>
      </c>
      <c r="C51" s="194"/>
      <c r="D51" s="554" t="str">
        <f>VLOOKUP($B51,Aop!$A$2:$M$453,6,1)</f>
        <v>    24. Ostale promjene</v>
      </c>
      <c r="E51" s="555"/>
      <c r="F51" s="556"/>
      <c r="G51" s="63">
        <f>VLOOKUP($B51,Aop!$A$2:$M$453,4,1)</f>
        <v>924</v>
      </c>
      <c r="H51" s="120"/>
      <c r="I51" s="120"/>
      <c r="J51" s="120"/>
      <c r="K51" s="120"/>
      <c r="L51" s="120"/>
      <c r="M51" s="120"/>
      <c r="N51" s="120"/>
      <c r="O51" s="119">
        <f>SUM(H51:N51)</f>
        <v>0</v>
      </c>
      <c r="P51" s="120"/>
      <c r="Q51" s="347">
        <f>SUM(O51:P51)</f>
        <v>0</v>
      </c>
    </row>
    <row r="52" spans="2:17" ht="7.50" customHeight="1">
      <c r="B52" s="54" t="n">
        <v>451</v>
      </c>
      <c r="C52" s="194"/>
      <c r="D52" s="545" t="str">
        <f>VLOOKUP($B52,Aop!$A$2:$M$453,6,1)</f>
        <v/>
      </c>
      <c r="E52" s="546"/>
      <c r="F52" s="547"/>
      <c r="G52" s="65">
        <f>VLOOKUP($B52,Aop!$A$2:$M$453,4,1)</f>
        <v>0</v>
      </c>
      <c r="H52" s="40"/>
      <c r="I52" s="40"/>
      <c r="J52" s="40"/>
      <c r="K52" s="40"/>
      <c r="L52" s="40"/>
      <c r="M52" s="40"/>
      <c r="N52" s="40"/>
      <c r="O52" s="40"/>
      <c r="P52" s="40"/>
      <c r="Q52" s="41"/>
    </row>
    <row r="53" spans="2:17" ht="22.50" customHeight="1">
      <c r="B53" s="54" t="n">
        <v>452</v>
      </c>
      <c r="C53" s="194"/>
      <c r="D53" s="542" t="str">
        <f>VLOOKUP($B53,Aop!$A$2:$M$453,6,1)</f>
        <v>25. Stanje na dan 31.03.2024. godine (916 ± 919 ± 920  - 921 - 922± 923 ± 924)</v>
      </c>
      <c r="E53" s="543"/>
      <c r="F53" s="544"/>
      <c r="G53" s="313">
        <f>VLOOKUP($B53,Aop!$A$2:$M$453,4,1)</f>
        <v>925</v>
      </c>
      <c r="H53" s="314">
        <f>SUM(H41,H45,H47,-H48,-H49,H50:H51)</f>
        <v>6015177</v>
      </c>
      <c r="I53" s="314">
        <f>SUM(I41,I45,I47,-I48,-I49,I50:I51)</f>
        <v>0</v>
      </c>
      <c r="J53" s="314">
        <f>SUM(J41,J45,J47,-J48,-J49,J50:J51)</f>
        <v>0</v>
      </c>
      <c r="K53" s="314">
        <f>SUM(K41,K45,K47,-K48,-K49,K50:K51)</f>
        <v>248947</v>
      </c>
      <c r="L53" s="314">
        <f>SUM(L41,L45,L47,-L48,-L49,L50:L51)</f>
        <v>0</v>
      </c>
      <c r="M53" s="314">
        <f>SUM(M41,M45,M47,-M48,-M49,M50:M51)</f>
        <v>869</v>
      </c>
      <c r="N53" s="314">
        <f>SUM(N41,N45,N47,-N48,-N49,N50:N51)</f>
        <v>-5074479</v>
      </c>
      <c r="O53" s="314">
        <f>SUM(O41,O45,O47,-O48,-O49,O50:O51)</f>
        <v>1190514</v>
      </c>
      <c r="P53" s="314">
        <f>SUM(P41,P45,P47,-P48,-P49,P50:P51)</f>
        <v>0</v>
      </c>
      <c r="Q53" s="315">
        <f>SUM(Q41,Q45,Q47,-Q48,-Q49,Q50:Q51)</f>
        <v>1190514</v>
      </c>
    </row>
    <row r="54" spans="3:13">
      <c r="C54" s="194"/>
      <c r="D54" s="48"/>
      <c r="E54" s="48"/>
      <c r="F54" s="48"/>
      <c r="G54" s="48"/>
      <c r="H54" s="48"/>
      <c r="I54" s="52"/>
      <c r="J54" s="45"/>
      <c r="K54" s="45"/>
      <c r="L54" s="45"/>
      <c r="M54" s="45"/>
    </row>
    <row r="55" spans="4:16">
      <c r="D55" s="140" t="str">
        <f aca="1">Podnozje_U</f>
        <v>U:</v>
      </c>
      <c r="E55" s="317" t="str">
        <f aca="1">Podatak_U</f>
        <v>Pelagićevu</v>
      </c>
      <c r="H55" s="19" t="str">
        <f aca="1">Podnozje_Lice_sa_licencom</f>
        <v>Lice sa licencom:</v>
      </c>
      <c r="I55" s="19"/>
      <c r="K55" s="22" t="str">
        <f aca="1">Podnozje_Broj_licence</f>
        <v>Broj licence:</v>
      </c>
      <c r="L55" s="45"/>
      <c r="M55" s="45" t="str">
        <f aca="1">Podnozje_MP</f>
        <v>(M.P.)</v>
      </c>
      <c r="O55" s="19" t="str">
        <f aca="1">Podnozje_Direktor</f>
        <v>Lice ovlašćeno za zastupanje:</v>
      </c>
      <c r="P55" s="19"/>
    </row>
    <row r="56" spans="3:16">
      <c r="C56" s="36"/>
      <c r="G56"/>
      <c r="H56" s="23" t="str">
        <f aca="1">Podatak_Lice_sa_licencom</f>
        <v>Jokica Gavrić</v>
      </c>
      <c r="I56" s="23"/>
      <c r="O56" s="532" t="str">
        <f aca="1">Podatak_Direktor</f>
        <v>Obavezan unos podataka u formi!</v>
      </c>
      <c r="P56" s="532"/>
    </row>
    <row r="57" spans="4:16">
      <c r="D57" s="140" t="str">
        <f aca="1">Podnozje_Dana</f>
        <v>Dana:</v>
      </c>
      <c r="E57" s="317" t="str">
        <f aca="1">Podatak_Dana</f>
        <v>30.03.2024.</v>
      </c>
      <c r="F57" s="46"/>
      <c r="H57" s="493"/>
      <c r="I57" s="493"/>
      <c r="K57" s="22" t="str">
        <f aca="1">Podatak_Broj_Licence</f>
        <v>srt-0336/24</v>
      </c>
      <c r="O57" s="493"/>
      <c r="P57" s="493"/>
    </row>
    <row r="58" spans="11:17">
      <c r="K58"/>
      <c r="L58"/>
      <c r="M58"/>
      <c r="N58"/>
      <c r="O58"/>
      <c r="P58"/>
      <c r="Q58"/>
    </row>
    <row r="59" spans="1:1"/>
    <row r="60" spans="1:1"/>
    <row r="61" spans="1:1"/>
    <row r="62" spans="1:1"/>
    <row r="63" spans="1:1"/>
    <row r="64" spans="1:1"/>
    <row r="65" spans="1:1"/>
  </sheetData>
  <sheetProtection algorithmName="SHA-512" hashValue="hDDo+bmWXKFhBQPjym9ypQ6QmSEaEo9S3wtfWqPRrxy2iODkRiNqsLSKnpUZPI8w8r+VYTnvvxDFxxO0Lgf0qw==" saltValue="4Y/YMBhOJWM5KsKgQQb5rw==" spinCount="100000" sheet="1" autoFilter="0"/>
  <mergeCells count="58">
    <mergeCell ref="P5:Q5"/>
    <mergeCell ref="D5:F6"/>
    <mergeCell ref="D7:F7"/>
    <mergeCell ref="P7:Q7"/>
    <mergeCell ref="E8:F8"/>
    <mergeCell ref="D9:F9"/>
    <mergeCell ref="D10:F10"/>
    <mergeCell ref="D11:F11"/>
    <mergeCell ref="D12:F12"/>
    <mergeCell ref="D13:F13"/>
    <mergeCell ref="D14:Q14"/>
    <mergeCell ref="D15:Q15"/>
    <mergeCell ref="H17:O17"/>
    <mergeCell ref="D17:F18"/>
    <mergeCell ref="G17:G18"/>
    <mergeCell ref="P17:P18"/>
    <mergeCell ref="Q17:Q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D33:F33"/>
    <mergeCell ref="D34:F34"/>
    <mergeCell ref="D35:F35"/>
    <mergeCell ref="D36:F36"/>
    <mergeCell ref="D37:F37"/>
    <mergeCell ref="D38:F38"/>
    <mergeCell ref="D39:F39"/>
    <mergeCell ref="D40:F40"/>
    <mergeCell ref="D41:F41"/>
    <mergeCell ref="D42:F42"/>
    <mergeCell ref="D43:F43"/>
    <mergeCell ref="D44:F44"/>
    <mergeCell ref="D45:F45"/>
    <mergeCell ref="D46:F46"/>
    <mergeCell ref="D47:F47"/>
    <mergeCell ref="D48:F48"/>
    <mergeCell ref="D49:F49"/>
    <mergeCell ref="D50:F50"/>
    <mergeCell ref="D51:F51"/>
    <mergeCell ref="D52:F52"/>
    <mergeCell ref="D53:F53"/>
    <mergeCell ref="H55:I55"/>
    <mergeCell ref="O55:P55"/>
    <mergeCell ref="H56:I56"/>
    <mergeCell ref="O56:P56"/>
    <mergeCell ref="H57:I57"/>
    <mergeCell ref="O57:P57"/>
  </mergeCells>
  <dataValidations count="3">
    <dataValidation sqref="H20:N20 P20 O20:O28 Q20:Q40 H22:N22 P22 H25:N26 P25:P26 H29:P29 H30:N30 P30 O30:O51 H36:N38 P36:P38 P41:Q41 H41:N42 P42 Q42:Q53 H45:N46 P45:P46 H52:P53" type="whole" operator="greaterThanOrEqual" errorStyle="stop" allowBlank="1" showInputMessage="1" prompt="U ovo polje se ne unosi iznos._x000a_Polje se automatski računa u skladu sa formulom." errorTitle="Graška" error="Unose se vrijednosti u konvertibilnim markama, bez decimalnih mjesta. Nije dozvoljen unos negativnih brojeva." view="0">
      <formula1>0</formula1>
      <formula2/>
    </dataValidation>
    <dataValidation sqref="H21:N21 P21 H23:N24 P23:P24 H27:N28 P27:P28 H31:N35 P31:P35 H39:N40 P39:P40 H43:N44 P43:P44 H47:N51 P47:P51" type="whole" operator="notEqual" errorStyle="stop" allowBlank="1" showInputMessage="1" showErrorMessage="1" errorTitle="Graška" error="Unose se vrijednosti u konvertibilnim markama, bez decimalnih mjesta." view="0">
      <formula1>0</formula1>
      <formula2/>
    </dataValidation>
    <dataValidation sqref="H25:N25 P25" type="whole" operator="notEqual" errorStyle="stop" allowBlank="1" showInputMessage="1" showErrorMessage="1" prompt="U ovo polje se ne unosi iznos._x000a_Polje se automatski računa u skladu sa formulom." errorTitle="Graška" error="Unose se vrijednosti u konvertibilnim markama, bez decimalnih mjesta." view="0">
      <formula1>0</formula1>
      <formula2/>
    </dataValidation>
  </dataValidations>
  <printOptions>
    <extLst>
      <ext uri="smNativeData">
        <pm:pageFlags xmlns:pm="smNativeData" id="1714042646" printRowHead="0" printColHead="0" printHeadLine="0" printFootLine="1" autoHeightHeader="0" autoHeightFooter="0" fitToPageBoth="0"/>
      </ext>
    </extLst>
  </printOptions>
  <pageMargins left="0.393750" right="0.393750" top="0.393750" bottom="0.393750" header="0.315278" footer="0.236111"/>
  <pageSetup paperSize="9" scale="63" fitToWidth="0" fitToHeight="1" orientation="landscape"/>
  <headerFooter>
    <oddFooter>&amp;RStrana &amp;P od &amp;N</odd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colBreaks count="1" manualBreakCount="1">
    <brk id="17" man="1"/>
  </colBreaks>
  <drawing r:id="rId1"/>
  <legacyDrawing r:id="rId3"/>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000000"/>
  </sheetPr>
  <dimension ref="B1:AD33"/>
  <sheetViews>
    <sheetView showGridLines="0" view="normal" topLeftCell="H1" workbookViewId="0">
      <selection activeCell="Q3" sqref="Q3:Q9"/>
    </sheetView>
  </sheetViews>
  <sheetFormatPr defaultRowHeight="14.20"/>
  <cols>
    <col min="1" max="1" width="4.564356" customWidth="1"/>
    <col min="2" max="2" width="10.287129" customWidth="1"/>
    <col min="3" max="3" width="18.287129" customWidth="1"/>
    <col min="4" max="4" width="3.138614" customWidth="1"/>
    <col min="5" max="5" width="14.425743" customWidth="1"/>
    <col min="6" max="6" width="23.138614" customWidth="1"/>
    <col min="7" max="7" width="4.000000" customWidth="1"/>
    <col min="8" max="8" width="18.000000" customWidth="1"/>
    <col min="9" max="9" width="10.564356" customWidth="1"/>
    <col min="10" max="10" width="16.712871" customWidth="1"/>
    <col min="11" max="11" width="9.712871" customWidth="1"/>
    <col min="12" max="13" width="6.712871" customWidth="1"/>
    <col min="14" max="14" width="8.564356" customWidth="1"/>
    <col min="15" max="15" width="9.000000" customWidth="1"/>
    <col min="16" max="17" width="9.287129" customWidth="1"/>
    <col min="18" max="18" width="6.564356" customWidth="1"/>
    <col min="19" max="19" width="21.712871" customWidth="1"/>
    <col min="20" max="21" width="8.712871" customWidth="1"/>
    <col min="22" max="22" width="6.712871" customWidth="1"/>
    <col min="23" max="23" width="10.138614" customWidth="1"/>
    <col min="24" max="24" width="14.425743" customWidth="1"/>
    <col min="25" max="25" width="17.851485" customWidth="1"/>
    <col min="26" max="26" width="4.287129" customWidth="1"/>
    <col min="27" max="27" width="12.425743" customWidth="1"/>
    <col min="28" max="28" width="8.564356" customWidth="1"/>
    <col min="29" max="29" width="13.138614" customWidth="1"/>
    <col min="30" max="30" width="13.287129" customWidth="1"/>
  </cols>
  <sheetData>
    <row r="1" spans="2:25">
      <c r="B1" s="61" t="n">
        <v>1</v>
      </c>
      <c r="C1" t="str">
        <f aca="1">VLOOKUP(ID_Jezik,$B$3:$C$6,2,1)</f>
        <v>Srpski - latinica</v>
      </c>
      <c r="E1" s="116" t="n">
        <v>1</v>
      </c>
      <c r="F1" t="str">
        <f>VLOOKUP(E1,$E$3:$F$6,2,1)</f>
        <v/>
      </c>
      <c r="H1" s="20">
        <f aca="1">DATE(Godina,Period_Kraj_Mjesec,Period_Kraj_Dan)</f>
        <v>45382</v>
      </c>
      <c r="I1">
        <f aca="1">VLOOKUP(Datum_Broj,$H$3:$L$6,2,0)</f>
        <v>1</v>
      </c>
      <c r="J1">
        <f aca="1">VLOOKUP(ID_Izvjestaj,$I$3:$L$6,3,1)</f>
        <v>3</v>
      </c>
      <c r="U1">
        <f aca="1">Period_Kraj_Godina</f>
        <v>2024</v>
      </c>
      <c r="V1">
        <f aca="1">Period_Kraj_Mjesec</f>
        <v>3</v>
      </c>
      <c r="W1">
        <f aca="1">Period_Kraj_Dan</f>
        <v>31</v>
      </c>
      <c r="X1" s="21" t="str">
        <f aca="1">TEXT(DATE(Godina,Period_Kraj_Mjesec,Period_Kraj_Dan),"dd.mm.yyyy.")</f>
        <v>31.03.2024.</v>
      </c>
      <c r="Y1" s="21" t="str">
        <f aca="1">TEXT(DATE(Godina,Period_Kraj_Mjesec,Period_Kraj_Dan),"dd.mm.yyyy")</f>
        <v>31.03.2024</v>
      </c>
    </row>
    <row r="2" spans="2:30">
      <c r="B2" t="s">
        <v>3036</v>
      </c>
      <c r="C2" t="s">
        <v>3037</v>
      </c>
      <c r="E2" s="22" t="s">
        <v>3038</v>
      </c>
      <c r="F2" t="s">
        <v>3039</v>
      </c>
      <c r="H2" t="s">
        <v>3040</v>
      </c>
      <c r="I2" t="s">
        <v>3041</v>
      </c>
      <c r="J2" t="s">
        <v>3042</v>
      </c>
      <c r="K2" t="s">
        <v>118</v>
      </c>
      <c r="L2" t="s">
        <v>114</v>
      </c>
      <c r="N2" t="s">
        <v>587</v>
      </c>
      <c r="O2" t="s">
        <v>3043</v>
      </c>
      <c r="P2" t="s">
        <v>3044</v>
      </c>
      <c r="Q2" t="s">
        <v>3045</v>
      </c>
      <c r="S2" t="s">
        <v>3046</v>
      </c>
      <c r="T2" t="s">
        <v>122</v>
      </c>
      <c r="U2" t="s">
        <v>118</v>
      </c>
      <c r="V2" t="s">
        <v>114</v>
      </c>
      <c r="W2" t="s">
        <v>3047</v>
      </c>
      <c r="X2" t="s">
        <v>3048</v>
      </c>
      <c r="Y2" t="s">
        <v>3049</v>
      </c>
      <c r="AA2" t="s">
        <v>3050</v>
      </c>
      <c r="AB2" s="12" t="s">
        <v>587</v>
      </c>
      <c r="AC2" s="12" t="s">
        <v>3051</v>
      </c>
      <c r="AD2" s="12" t="s">
        <v>3052</v>
      </c>
    </row>
    <row r="3" spans="2:30">
      <c r="B3" t="n">
        <v>1</v>
      </c>
      <c r="C3" t="s">
        <v>3053</v>
      </c>
      <c r="E3" s="22" t="n">
        <v>1</v>
      </c>
      <c r="F3" s="84" t="str">
        <f aca="1">IF(Revidiran_izvjestaj,Revizija_Pozitivno,"")</f>
        <v/>
      </c>
      <c r="H3" s="20">
        <f aca="1">DATE(Godina,K3,L3)</f>
        <v>45382</v>
      </c>
      <c r="I3" t="n">
        <v>1</v>
      </c>
      <c r="J3" t="str">
        <f aca="1">Vrsta_izvjestaja_Prvi_kvartal</f>
        <v>Prvi kvartal</v>
      </c>
      <c r="K3" t="n">
        <v>3</v>
      </c>
      <c r="L3" t="n">
        <v>31</v>
      </c>
      <c r="N3" t="s">
        <v>601</v>
      </c>
      <c r="O3">
        <f t="array" ref="O3">MIN(IF(Aop!$B$2:$B$453=Podesavanja!$N3,Aop!$A$2:$A$453))</f>
        <v>1</v>
      </c>
      <c r="P3">
        <f t="array" ref="P3">MAX(IF(Aop!$B$2:$B$453=Podesavanja!$N3,Aop!$A$2:$A$453))</f>
        <v>67</v>
      </c>
      <c r="Q3" t="n">
        <v>25</v>
      </c>
      <c r="S3" t="s">
        <v>3054</v>
      </c>
      <c r="T3" t="n">
        <v>0</v>
      </c>
      <c r="U3">
        <f aca="1">Period_Kraj_Mjesec</f>
        <v>3</v>
      </c>
      <c r="V3">
        <f aca="1">Period_Kraj_Dan</f>
        <v>31</v>
      </c>
      <c r="W3" s="20">
        <f aca="1">DATE(Godina+T3,U3,V3)</f>
        <v>45382</v>
      </c>
      <c r="X3" t="str">
        <f>TEXT(W3,"dd.mm.yyyy.")</f>
        <v>31.03.2024.</v>
      </c>
      <c r="Y3" t="str">
        <f>TEXT(W3,"dd.mm.yyyy")</f>
        <v>31.03.2024</v>
      </c>
      <c r="AA3" t="str">
        <f>CONCATENATE(T_ApifKolone[[#This Row],[Bilans]],T_ApifKolone[[#This Row],[ApifKolona]])</f>
        <v>BSaNapomena</v>
      </c>
      <c r="AB3" t="s">
        <v>601</v>
      </c>
      <c r="AC3" t="s">
        <v>397</v>
      </c>
      <c r="AD3" t="n">
        <v>2</v>
      </c>
    </row>
    <row r="4" spans="2:30">
      <c r="B4" t="n">
        <v>2</v>
      </c>
      <c r="C4" t="s">
        <v>3055</v>
      </c>
      <c r="E4" s="22" t="n">
        <v>2</v>
      </c>
      <c r="F4" s="84" t="str">
        <f aca="1">IF(Revidiran_izvjestaj,Revizija_Sa_rezervom,"")</f>
        <v/>
      </c>
      <c r="H4" s="20">
        <f aca="1">DATE(Godina,K4,L4)</f>
        <v>45473</v>
      </c>
      <c r="I4" t="n">
        <v>2</v>
      </c>
      <c r="J4" t="str">
        <f aca="1">Vrsta_izvjestaja_Polugodisnji</f>
        <v>Polugodišnji</v>
      </c>
      <c r="K4" t="n">
        <v>6</v>
      </c>
      <c r="L4" t="n">
        <v>30</v>
      </c>
      <c r="N4" t="s">
        <v>1056</v>
      </c>
      <c r="O4">
        <f t="array" ref="O4">MIN(IF(Aop!$B$2:$B$453=Podesavanja!$N4,Aop!$A$2:$A$453))</f>
        <v>68</v>
      </c>
      <c r="P4">
        <f t="array" ref="P4">MAX(IF(Aop!$B$2:$B$453=Podesavanja!$N4,Aop!$A$2:$A$453))</f>
        <v>138</v>
      </c>
      <c r="Q4" t="n">
        <v>26</v>
      </c>
      <c r="S4" t="s">
        <v>3056</v>
      </c>
      <c r="T4" t="n">
        <v>0</v>
      </c>
      <c r="U4" t="n">
        <v>1</v>
      </c>
      <c r="V4" t="n">
        <v>1</v>
      </c>
      <c r="W4" s="20">
        <f aca="1">DATE(Godina+T4,U4,V4)</f>
        <v>45292</v>
      </c>
      <c r="X4" t="str">
        <f>TEXT(W4,"dd.mm.yyyy.")</f>
        <v>01.01.2024.</v>
      </c>
      <c r="Y4" t="str">
        <f>TEXT(W4,"dd.mm.yyyy")</f>
        <v>01.01.2024</v>
      </c>
      <c r="AA4" t="str">
        <f>CONCATENATE(T_ApifKolone[[#This Row],[Bilans]],T_ApifKolone[[#This Row],[ApifKolona]])</f>
        <v>BSaKolona1</v>
      </c>
      <c r="AB4" t="s">
        <v>601</v>
      </c>
      <c r="AC4" t="s">
        <v>3057</v>
      </c>
      <c r="AD4" t="n">
        <v>3</v>
      </c>
    </row>
    <row r="5" spans="2:30">
      <c r="B5" t="n">
        <v>3</v>
      </c>
      <c r="C5" t="s">
        <v>74</v>
      </c>
      <c r="E5" s="22" t="n">
        <v>3</v>
      </c>
      <c r="F5" s="84" t="str">
        <f aca="1">IF(Revidiran_izvjestaj,Revizija_Negativno,"")</f>
        <v/>
      </c>
      <c r="H5" s="20">
        <f aca="1">DATE(Godina,K5,L5)</f>
        <v>45565</v>
      </c>
      <c r="I5" t="n">
        <v>3</v>
      </c>
      <c r="J5" t="str">
        <f aca="1">Vrsta_izvjestaja_Treci_kvartal</f>
        <v>Treći kvartal</v>
      </c>
      <c r="K5" t="n">
        <v>9</v>
      </c>
      <c r="L5" t="n">
        <v>30</v>
      </c>
      <c r="N5" t="s">
        <v>297</v>
      </c>
      <c r="O5">
        <f t="array" ref="O5">MIN(IF(Aop!$B$2:$B$453=Podesavanja!$N5,Aop!$A$2:$A$453))</f>
        <v>139</v>
      </c>
      <c r="P5">
        <f t="array" ref="P5">MAX(IF(Aop!$B$2:$B$453=Podesavanja!$N5,Aop!$A$2:$A$453))</f>
        <v>262</v>
      </c>
      <c r="Q5" t="n">
        <v>27</v>
      </c>
      <c r="S5" t="s">
        <v>3058</v>
      </c>
      <c r="T5" t="n">
        <v>-1</v>
      </c>
      <c r="U5" t="n">
        <v>12</v>
      </c>
      <c r="V5" t="n">
        <v>31</v>
      </c>
      <c r="W5" s="20">
        <f aca="1">DATE(Godina+T5,U5,V5)</f>
        <v>45291</v>
      </c>
      <c r="X5" t="str">
        <f>TEXT(W5,"dd.mm.yyyy.")</f>
        <v>31.12.2023.</v>
      </c>
      <c r="Y5" t="str">
        <f>TEXT(W5,"dd.mm.yyyy")</f>
        <v>31.12.2023</v>
      </c>
      <c r="AA5" t="str">
        <f>CONCATENATE(T_ApifKolone[[#This Row],[Bilans]],T_ApifKolone[[#This Row],[ApifKolona]])</f>
        <v>BSaKolona2</v>
      </c>
      <c r="AB5" t="s">
        <v>601</v>
      </c>
      <c r="AC5" t="s">
        <v>3059</v>
      </c>
      <c r="AD5" t="n">
        <v>4</v>
      </c>
    </row>
    <row r="6" spans="2:30">
      <c r="B6" t="n">
        <v>4</v>
      </c>
      <c r="C6" t="s">
        <v>3060</v>
      </c>
      <c r="E6" s="22" t="n">
        <v>4</v>
      </c>
      <c r="F6" s="84" t="str">
        <f aca="1">IF(Revidiran_izvjestaj,Revizija_Uzdrzavanje,"")</f>
        <v/>
      </c>
      <c r="H6" s="20">
        <f aca="1">DATE(Godina,K6,L6)</f>
        <v>45657</v>
      </c>
      <c r="I6" t="n">
        <v>4</v>
      </c>
      <c r="J6" t="str">
        <f aca="1">Vrsta_izvjestaja_Godisnji</f>
        <v>Godišnji</v>
      </c>
      <c r="K6" t="n">
        <v>12</v>
      </c>
      <c r="L6" t="n">
        <v>31</v>
      </c>
      <c r="M6"/>
      <c r="N6" t="s">
        <v>306</v>
      </c>
      <c r="O6">
        <f t="array" ref="O6">MIN(IF(Aop!$B$2:$B$453=Podesavanja!$N6,Aop!$A$2:$A$453))</f>
        <v>263</v>
      </c>
      <c r="P6">
        <f t="array" ref="P6">MAX(IF(Aop!$B$2:$B$453=Podesavanja!$N6,Aop!$A$2:$A$453))</f>
        <v>283</v>
      </c>
      <c r="Q6" t="n">
        <v>27</v>
      </c>
      <c r="S6" t="s">
        <v>3061</v>
      </c>
      <c r="T6" t="n">
        <v>-1</v>
      </c>
      <c r="U6" t="n">
        <v>1</v>
      </c>
      <c r="V6" t="n">
        <v>1</v>
      </c>
      <c r="W6" s="20">
        <f aca="1">DATE(Godina+T6,U6,V6)</f>
        <v>44927</v>
      </c>
      <c r="X6" t="str">
        <f>TEXT(W6,"dd.mm.yyyy.")</f>
        <v>01.01.2023.</v>
      </c>
      <c r="Y6" t="str">
        <f>TEXT(W6,"dd.mm.yyyy")</f>
        <v>01.01.2023</v>
      </c>
      <c r="AA6" t="str">
        <f>CONCATENATE(T_ApifKolone[[#This Row],[Bilans]],T_ApifKolone[[#This Row],[ApifKolona]])</f>
        <v>BSaKolona3</v>
      </c>
      <c r="AB6" t="s">
        <v>601</v>
      </c>
      <c r="AC6" t="s">
        <v>3062</v>
      </c>
      <c r="AD6" t="n">
        <v>5</v>
      </c>
    </row>
    <row r="7" spans="14:30">
      <c r="N7" t="s">
        <v>316</v>
      </c>
      <c r="O7">
        <f t="array" ref="O7">MIN(IF(Aop!$B$2:$B$453=Podesavanja!$N7,Aop!$A$2:$A$453))</f>
        <v>284</v>
      </c>
      <c r="P7">
        <f t="array" ref="P7">MAX(IF(Aop!$B$2:$B$453=Podesavanja!$N7,Aop!$A$2:$A$453))</f>
        <v>351</v>
      </c>
      <c r="Q7" t="n">
        <v>29</v>
      </c>
      <c r="AA7" t="str">
        <f>CONCATENATE(T_ApifKolone[[#This Row],[Bilans]],T_ApifKolone[[#This Row],[ApifKolona]])</f>
        <v>BSaKolona4</v>
      </c>
      <c r="AB7" t="s">
        <v>601</v>
      </c>
      <c r="AC7" t="s">
        <v>3063</v>
      </c>
      <c r="AD7" t="n">
        <v>6</v>
      </c>
    </row>
    <row r="8" spans="14:30">
      <c r="N8" t="s">
        <v>22</v>
      </c>
      <c r="O8">
        <f t="array" ref="O8">MIN(IF(Aop!$B$2:$B$453=Podesavanja!$N8,Aop!$A$2:$A$453))</f>
        <v>352</v>
      </c>
      <c r="P8">
        <f t="array" ref="P8">MAX(IF(Aop!$B$2:$B$453=Podesavanja!$N8,Aop!$A$2:$A$453))</f>
        <v>418</v>
      </c>
      <c r="Q8" t="n">
        <v>28</v>
      </c>
      <c r="AA8" t="str">
        <f>CONCATENATE(T_ApifKolone[[#This Row],[Bilans]],T_ApifKolone[[#This Row],[ApifKolona]])</f>
        <v>BSpNapomena</v>
      </c>
      <c r="AB8" t="s">
        <v>1056</v>
      </c>
      <c r="AC8" t="s">
        <v>397</v>
      </c>
      <c r="AD8" t="n">
        <v>2</v>
      </c>
    </row>
    <row r="9" spans="14:30">
      <c r="N9" t="s">
        <v>333</v>
      </c>
      <c r="O9">
        <f t="array" ref="O9">MIN(IF(Aop!$B$2:$B$453=Podesavanja!$N9,Aop!$A$2:$A$453))</f>
        <v>419</v>
      </c>
      <c r="P9">
        <f t="array" ref="P9">MAX(IF(Aop!$B$2:$B$453=Podesavanja!$N9,Aop!$A$2:$A$453))</f>
        <v>452</v>
      </c>
      <c r="Q9" t="n">
        <v>30</v>
      </c>
      <c r="AA9" t="str">
        <f>CONCATENATE(T_ApifKolone[[#This Row],[Bilans]],T_ApifKolone[[#This Row],[ApifKolona]])</f>
        <v>BSpKolona1</v>
      </c>
      <c r="AB9" t="s">
        <v>1056</v>
      </c>
      <c r="AC9" t="s">
        <v>3057</v>
      </c>
      <c r="AD9" t="n">
        <v>5</v>
      </c>
    </row>
    <row r="10" spans="2:30">
      <c r="B10" t="s">
        <v>231</v>
      </c>
      <c r="C10" t="b">
        <f>Osnovni_podaci!$Y$76</f>
        <v>0</v>
      </c>
      <c r="AA10" s="172" t="str">
        <f>CONCATENATE(T_ApifKolone[[#This Row],[Bilans]],T_ApifKolone[[#This Row],[ApifKolona]])</f>
        <v>BSpKolona2</v>
      </c>
      <c r="AB10" s="172" t="s">
        <v>1056</v>
      </c>
      <c r="AC10" s="172" t="s">
        <v>3059</v>
      </c>
      <c r="AD10" s="172" t="n">
        <v>6</v>
      </c>
    </row>
    <row r="11" spans="27:30">
      <c r="AA11" t="str">
        <f>CONCATENATE(T_ApifKolone[[#This Row],[Bilans]],T_ApifKolone[[#This Row],[ApifKolona]])</f>
        <v>BUaNapomena</v>
      </c>
      <c r="AB11" t="s">
        <v>297</v>
      </c>
      <c r="AC11" t="s">
        <v>397</v>
      </c>
      <c r="AD11" t="n">
        <v>2</v>
      </c>
    </row>
    <row r="12" spans="27:30">
      <c r="AA12" t="str">
        <f>CONCATENATE(T_ApifKolone[[#This Row],[Bilans]],T_ApifKolone[[#This Row],[ApifKolona]])</f>
        <v>BUaKolona1</v>
      </c>
      <c r="AB12" t="s">
        <v>297</v>
      </c>
      <c r="AC12" t="s">
        <v>3057</v>
      </c>
      <c r="AD12" t="n">
        <v>3</v>
      </c>
    </row>
    <row r="13" spans="27:30">
      <c r="AA13" t="str">
        <f>CONCATENATE(T_ApifKolone[[#This Row],[Bilans]],T_ApifKolone[[#This Row],[ApifKolona]])</f>
        <v>BUaKolona2</v>
      </c>
      <c r="AB13" t="s">
        <v>297</v>
      </c>
      <c r="AC13" t="s">
        <v>3059</v>
      </c>
      <c r="AD13" t="n">
        <v>4</v>
      </c>
    </row>
    <row r="14" spans="27:30">
      <c r="AA14" t="str">
        <f>CONCATENATE(T_ApifKolone[[#This Row],[Bilans]],T_ApifKolone[[#This Row],[ApifKolona]])</f>
        <v>BUbNapomena</v>
      </c>
      <c r="AB14" t="s">
        <v>306</v>
      </c>
      <c r="AC14" t="s">
        <v>397</v>
      </c>
      <c r="AD14" t="n">
        <v>2</v>
      </c>
    </row>
    <row r="15" spans="27:30">
      <c r="AA15" t="str">
        <f>CONCATENATE(T_ApifKolone[[#This Row],[Bilans]],T_ApifKolone[[#This Row],[ApifKolona]])</f>
        <v>BUbKolona1</v>
      </c>
      <c r="AB15" t="s">
        <v>306</v>
      </c>
      <c r="AC15" t="s">
        <v>3057</v>
      </c>
      <c r="AD15" t="n">
        <v>3</v>
      </c>
    </row>
    <row r="16" spans="27:30">
      <c r="AA16" s="172" t="str">
        <f>CONCATENATE(T_ApifKolone[[#This Row],[Bilans]],T_ApifKolone[[#This Row],[ApifKolona]])</f>
        <v>BUbKolona2</v>
      </c>
      <c r="AB16" s="172" t="s">
        <v>306</v>
      </c>
      <c r="AC16" s="172" t="s">
        <v>3059</v>
      </c>
      <c r="AD16" s="172" t="n">
        <v>4</v>
      </c>
    </row>
    <row r="17" spans="24:30">
      <c r="X17" s="98"/>
      <c r="AA17" t="str">
        <f>CONCATENATE(T_ApifKolone[[#This Row],[Bilans]],T_ApifKolone[[#This Row],[ApifKolona]])</f>
        <v>BTGNapomena</v>
      </c>
      <c r="AB17" t="s">
        <v>316</v>
      </c>
      <c r="AC17" t="s">
        <v>397</v>
      </c>
      <c r="AD17" t="n">
        <v>2</v>
      </c>
    </row>
    <row r="18" spans="24:30">
      <c r="X18" s="98"/>
      <c r="AA18" t="str">
        <f>CONCATENATE(T_ApifKolone[[#This Row],[Bilans]],T_ApifKolone[[#This Row],[ApifKolona]])</f>
        <v>BTGKolona1</v>
      </c>
      <c r="AB18" t="s">
        <v>316</v>
      </c>
      <c r="AC18" t="s">
        <v>3057</v>
      </c>
      <c r="AD18" t="n">
        <v>3</v>
      </c>
    </row>
    <row r="19" spans="24:30">
      <c r="X19" s="98"/>
      <c r="AA19" s="172" t="str">
        <f>CONCATENATE(T_ApifKolone[[#This Row],[Bilans]],T_ApifKolone[[#This Row],[ApifKolona]])</f>
        <v>BTGKolona2</v>
      </c>
      <c r="AB19" s="172" t="s">
        <v>316</v>
      </c>
      <c r="AC19" s="172" t="s">
        <v>3059</v>
      </c>
      <c r="AD19" s="172" t="n">
        <v>4</v>
      </c>
    </row>
    <row r="20" spans="24:30">
      <c r="X20" s="98"/>
      <c r="AA20" t="str">
        <f>CONCATENATE(T_ApifKolone[[#This Row],[Bilans]],T_ApifKolone[[#This Row],[ApifKolona]])</f>
        <v>AneksKolona1</v>
      </c>
      <c r="AB20" t="s">
        <v>22</v>
      </c>
      <c r="AC20" t="s">
        <v>3057</v>
      </c>
      <c r="AD20" t="n">
        <v>2</v>
      </c>
    </row>
    <row r="21" spans="27:30">
      <c r="AA21" s="172" t="str">
        <f>CONCATENATE(T_ApifKolone[[#This Row],[Bilans]],T_ApifKolone[[#This Row],[ApifKolona]])</f>
        <v>AneksKolona2</v>
      </c>
      <c r="AB21" s="172" t="s">
        <v>22</v>
      </c>
      <c r="AC21" s="172" t="s">
        <v>3059</v>
      </c>
      <c r="AD21" s="172" t="n">
        <v>3</v>
      </c>
    </row>
    <row r="22" spans="27:30">
      <c r="AA22" t="str">
        <f>CONCATENATE(T_ApifKolone[[#This Row],[Bilans]],T_ApifKolone[[#This Row],[ApifKolona]])</f>
        <v>BPKKolona1</v>
      </c>
      <c r="AB22" t="s">
        <v>333</v>
      </c>
      <c r="AC22" t="s">
        <v>3057</v>
      </c>
      <c r="AD22" t="n">
        <v>2</v>
      </c>
    </row>
    <row r="23" spans="27:30">
      <c r="AA23" t="str">
        <f>CONCATENATE(T_ApifKolone[[#This Row],[Bilans]],T_ApifKolone[[#This Row],[ApifKolona]])</f>
        <v>BPKKolona2</v>
      </c>
      <c r="AB23" t="s">
        <v>333</v>
      </c>
      <c r="AC23" t="s">
        <v>3059</v>
      </c>
      <c r="AD23" t="n">
        <v>3</v>
      </c>
    </row>
    <row r="24" spans="27:30">
      <c r="AA24" t="str">
        <f>CONCATENATE(T_ApifKolone[[#This Row],[Bilans]],T_ApifKolone[[#This Row],[ApifKolona]])</f>
        <v>BPKKolona3</v>
      </c>
      <c r="AB24" t="s">
        <v>333</v>
      </c>
      <c r="AC24" t="s">
        <v>3062</v>
      </c>
      <c r="AD24" t="n">
        <v>4</v>
      </c>
    </row>
    <row r="25" spans="27:30">
      <c r="AA25" t="str">
        <f>CONCATENATE(T_ApifKolone[[#This Row],[Bilans]],T_ApifKolone[[#This Row],[ApifKolona]])</f>
        <v>BPKKolona4</v>
      </c>
      <c r="AB25" t="s">
        <v>333</v>
      </c>
      <c r="AC25" t="s">
        <v>3063</v>
      </c>
      <c r="AD25" t="n">
        <v>5</v>
      </c>
    </row>
    <row r="26" spans="27:30">
      <c r="AA26" t="str">
        <f>CONCATENATE(T_ApifKolone[[#This Row],[Bilans]],T_ApifKolone[[#This Row],[ApifKolona]])</f>
        <v>BPKKolona5</v>
      </c>
      <c r="AB26" t="s">
        <v>333</v>
      </c>
      <c r="AC26" t="s">
        <v>3064</v>
      </c>
      <c r="AD26" t="n">
        <v>6</v>
      </c>
    </row>
    <row r="27" spans="27:30">
      <c r="AA27" t="str">
        <f>CONCATENATE(T_ApifKolone[[#This Row],[Bilans]],T_ApifKolone[[#This Row],[ApifKolona]])</f>
        <v>BPKKolona6</v>
      </c>
      <c r="AB27" t="s">
        <v>333</v>
      </c>
      <c r="AC27" t="s">
        <v>3065</v>
      </c>
      <c r="AD27" t="n">
        <v>7</v>
      </c>
    </row>
    <row r="28" spans="27:30">
      <c r="AA28" t="str">
        <f>CONCATENATE(T_ApifKolone[[#This Row],[Bilans]],T_ApifKolone[[#This Row],[ApifKolona]])</f>
        <v>BPKKolona7</v>
      </c>
      <c r="AB28" t="s">
        <v>333</v>
      </c>
      <c r="AC28" t="s">
        <v>3066</v>
      </c>
      <c r="AD28" t="n">
        <v>8</v>
      </c>
    </row>
    <row r="29" spans="27:30">
      <c r="AA29" t="str">
        <f>CONCATENATE(T_ApifKolone[[#This Row],[Bilans]],T_ApifKolone[[#This Row],[ApifKolona]])</f>
        <v>BPKKolona8</v>
      </c>
      <c r="AB29" t="s">
        <v>333</v>
      </c>
      <c r="AC29" t="s">
        <v>3067</v>
      </c>
      <c r="AD29" t="n">
        <v>9</v>
      </c>
    </row>
    <row r="30" spans="27:30">
      <c r="AA30" t="str">
        <f>CONCATENATE(T_ApifKolone[[#This Row],[Bilans]],T_ApifKolone[[#This Row],[ApifKolona]])</f>
        <v>BPKKolona9</v>
      </c>
      <c r="AB30" t="s">
        <v>333</v>
      </c>
      <c r="AC30" t="s">
        <v>3068</v>
      </c>
      <c r="AD30" t="n">
        <v>10</v>
      </c>
    </row>
    <row r="31" spans="27:30">
      <c r="AA31" t="str">
        <f>CONCATENATE(T_ApifKolone[[#This Row],[Bilans]],T_ApifKolone[[#This Row],[ApifKolona]])</f>
        <v>BPKKolona10</v>
      </c>
      <c r="AB31" t="s">
        <v>333</v>
      </c>
      <c r="AC31" t="s">
        <v>3069</v>
      </c>
      <c r="AD31" t="n">
        <v>11</v>
      </c>
    </row>
    <row r="32" spans="27:30">
      <c r="AA32" t="str">
        <f>CONCATENATE(T_ApifKolone[[#This Row],[Bilans]],T_ApifKolone[[#This Row],[ApifKolona]])</f>
        <v>BPKKolona11</v>
      </c>
      <c r="AB32" t="s">
        <v>333</v>
      </c>
      <c r="AC32" t="s">
        <v>3070</v>
      </c>
      <c r="AD32" t="n">
        <v>12</v>
      </c>
    </row>
    <row r="33" spans="27:30">
      <c r="AA33" s="172" t="str">
        <f>CONCATENATE(T_ApifKolone[[#This Row],[Bilans]],T_ApifKolone[[#This Row],[ApifKolona]])</f>
        <v>BPKKolona12</v>
      </c>
      <c r="AB33" s="172" t="s">
        <v>333</v>
      </c>
      <c r="AC33" s="172" t="s">
        <v>3071</v>
      </c>
      <c r="AD33" s="172" t="n">
        <v>13</v>
      </c>
    </row>
  </sheetData>
  <sheetProtection algorithmName="SHA-512" hashValue="8n2DZbuD2T865YU+Ffml66TyZ8OXxCuSefhDtEdqlPL++RDcRmA5RweKW+GmltAP4McJcviUD08PxbPe8Ryfng==" saltValue="NCiXXDhs1XxQg5NUpi37nA==" spinCount="100000" sheet="1" autoFilter="0"/>
  <printOptions>
    <extLst>
      <ext uri="smNativeData">
        <pm:pageFlags xmlns:pm="smNativeData" id="1714042646" printRowHead="0" printColHead="0" printHeadLine="0" printFootLine="0" autoHeightHeader="0" autoHeightFooter="0" fitToPageBoth="0"/>
      </ext>
    </extLst>
  </printOptions>
  <pageMargins left="0.700000" right="0.700000" top="0.750000" bottom="0.750000" header="0.300000" footer="0.300000"/>
  <pageSetup paperSize="9" fitToWidth="0" fitToHeight="1"/>
  <header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legacyDrawing r:id="rId2"/>
  <tableParts count="6">
    <tablePart r:id="rId3"/>
    <tablePart r:id="rId4"/>
    <tablePart r:id="rId5"/>
    <tablePart r:id="rId6"/>
    <tablePart r:id="rId7"/>
    <tablePart r:id="rId8"/>
  </tableParts>
  <extLst>
    <ext uri="smNativeData">
      <pm:sheetPrefs xmlns:pm="smNativeData" day="1714042646" outlineProtect="1" showHorizontalRuler="1" showVerticalRuler="1" showAltShade="0">
        <pm:shade id="0" type="0" fgLvl="100" fgClr="000000" bgLvl="100" bgClr="FFFFFF"/>
        <pm:shade id="1" type="0" fgLvl="100" fgClr="000000" bgLvl="100" bgClr="FFFFFF"/>
      </pm:sheetPrefs>
    </ext>
  </extLst>
</worksheet>
</file>

<file path=xl/worksheets/sheet12.xml><?xml version="1.0" encoding="utf-8"?>
<worksheet xmlns="http://schemas.openxmlformats.org/spreadsheetml/2006/main" xmlns:r="http://schemas.openxmlformats.org/officeDocument/2006/relationships" xmlns:mc="http://schemas.openxmlformats.org/markup-compatibility/2006">
  <dimension ref="A1:T408"/>
  <sheetViews>
    <sheetView showGridLines="0" showRowColHeaders="0" view="normal" topLeftCell="A307" workbookViewId="0">
      <selection activeCell="G407" sqref="G407"/>
    </sheetView>
  </sheetViews>
  <sheetFormatPr defaultRowHeight="14.20"/>
  <cols>
    <col min="1" max="1" width="4.712871" customWidth="1"/>
    <col min="2" max="2" width="7.425743" customWidth="1"/>
    <col min="3" max="3" width="15.425743" customWidth="1"/>
    <col min="4" max="4" width="29.425743" customWidth="1"/>
    <col min="5" max="5" width="30.425743" customWidth="1"/>
    <col min="6" max="6" width="14.138614" customWidth="1"/>
    <col min="7" max="7" width="11.851485" customWidth="1"/>
    <col min="8" max="8" width="10.287129" customWidth="1"/>
    <col min="9" max="10" width="8.712871" customWidth="1"/>
    <col min="11" max="14" width="9.425743" customWidth="1"/>
  </cols>
  <sheetData>
    <row r="1" spans="1:20">
      <c r="A1" s="137" t="s">
        <v>66</v>
      </c>
      <c r="B1" s="138" t="s">
        <v>587</v>
      </c>
      <c r="C1" s="139" t="s">
        <v>172</v>
      </c>
      <c r="D1" t="s">
        <v>203</v>
      </c>
      <c r="E1" t="s">
        <v>223</v>
      </c>
      <c r="F1" t="s">
        <v>3072</v>
      </c>
      <c r="G1" s="139" t="s">
        <v>3047</v>
      </c>
      <c r="H1" t="s">
        <v>404</v>
      </c>
      <c r="I1" s="139" t="s">
        <v>122</v>
      </c>
      <c r="J1" s="139" t="s">
        <v>397</v>
      </c>
      <c r="K1" s="139" t="s">
        <v>417</v>
      </c>
      <c r="L1" s="139" t="s">
        <v>3073</v>
      </c>
      <c r="M1" s="139" t="s">
        <v>3074</v>
      </c>
      <c r="N1" s="139" t="s">
        <v>3075</v>
      </c>
      <c r="P1" s="19"/>
      <c r="Q1" s="19"/>
      <c r="R1" s="19" t="n">
        <v>2</v>
      </c>
      <c r="S1" s="19" t="n">
        <v>3</v>
      </c>
      <c r="T1" s="19" t="n">
        <v>4</v>
      </c>
    </row>
    <row r="2" spans="1:20">
      <c r="A2" t="n">
        <v>1</v>
      </c>
      <c r="B2" t="str">
        <f>VLOOKUP($A2,Aop!$A$2:$P$453,2,0)</f>
        <v>BSa</v>
      </c>
      <c r="C2" t="n">
        <v>25</v>
      </c>
      <c r="D2" t="str">
        <f aca="1">Podatak_MB</f>
        <v>1062280</v>
      </c>
      <c r="E2" t="str">
        <f aca="1">Podatak_JIB</f>
        <v>4400471400001</v>
      </c>
      <c r="F2" t="b">
        <f aca="1">Konsolidovan_izvjestaj</f>
        <v>0</v>
      </c>
      <c r="G2" s="20">
        <f aca="1">Datum_Broj</f>
        <v>45382</v>
      </c>
      <c r="H2" t="n">
        <v>1</v>
      </c>
      <c r="I2">
        <f aca="1">Godina</f>
        <v>2024</v>
      </c>
      <c r="J2" t="str">
        <f aca="1">IF(VLOOKUP($H2,INDIRECT("Lookup_"&amp;$B2),IF(LEFT($B2,2)="BS",P$2,P$1),0)="","",VLOOKUP($H2,INDIRECT("Lookup_"&amp;$B2),IF($B2="BSa",P$2,P$1),0))</f>
        <v/>
      </c>
      <c r="K2" s="571">
        <f aca="1">IF(VLOOKUP($H2,INDIRECT("Lookup_"&amp;$B2),IF(LEFT($B2,2)="BS",Q$2,Q$1),0)="","",VLOOKUP($H2,INDIRECT("Lookup_"&amp;$B2),IF($B2="BSa",Q$2,Q$1),0))</f>
        <v>9008083</v>
      </c>
      <c r="L2" s="571">
        <f aca="1">IF(VLOOKUP($H2,INDIRECT("Lookup_"&amp;$B2),IF(LEFT($B2,2)="BS",R$2,R$1),0)="","",VLOOKUP($H2,INDIRECT("Lookup_"&amp;$B2),IF($B2="BSa",R$2,R$1),0))</f>
        <v>6068635</v>
      </c>
      <c r="M2" s="571">
        <f aca="1">IF(VLOOKUP($H2,INDIRECT("Lookup_"&amp;$B2),IF(LEFT($B2,2)="BS",S$2,S$1),0)="","",VLOOKUP($H2,INDIRECT("Lookup_"&amp;$B2),IF(LEFT($B2,2)="BS",S$2,S$1),0))</f>
        <v>2939448</v>
      </c>
      <c r="N2" s="571">
        <f aca="1">IF(VLOOKUP($H2,INDIRECT("Lookup_"&amp;$B2),IF(LEFT($B2,2)="BS",S$2,S$1),0)="","",VLOOKUP($H2,INDIRECT("Lookup_"&amp;$B2),IF(LEFT($B2,2)="BS",S$2,S$1),0))</f>
        <v>2939448</v>
      </c>
      <c r="P2" s="19" t="n">
        <v>2</v>
      </c>
      <c r="Q2" s="19" t="n">
        <v>3</v>
      </c>
      <c r="R2" s="19" t="n">
        <v>4</v>
      </c>
      <c r="S2" s="19" t="n">
        <v>5</v>
      </c>
      <c r="T2" s="409" t="n">
        <v>6</v>
      </c>
    </row>
    <row r="3" spans="1:14">
      <c r="A3" t="n">
        <v>2</v>
      </c>
      <c r="B3" t="str">
        <f>VLOOKUP($A3,Aop!$A$2:$P$453,2,0)</f>
        <v>BSa</v>
      </c>
      <c r="C3" t="n">
        <v>25</v>
      </c>
      <c r="D3" t="str">
        <f aca="1">Podatak_MB</f>
        <v>1062280</v>
      </c>
      <c r="E3" t="str">
        <f aca="1">Podatak_JIB</f>
        <v>4400471400001</v>
      </c>
      <c r="F3" t="b">
        <f aca="1">Konsolidovan_izvjestaj</f>
        <v>0</v>
      </c>
      <c r="G3" s="20">
        <f aca="1">Datum_Broj</f>
        <v>45382</v>
      </c>
      <c r="H3" t="n">
        <v>2</v>
      </c>
      <c r="I3">
        <f aca="1">Godina</f>
        <v>2024</v>
      </c>
      <c r="J3" t="str">
        <f aca="1">IF(VLOOKUP($H3,INDIRECT("Lookup_"&amp;$B3),IF(LEFT($B3,2)="BS",P$2,P$1),0)="","",VLOOKUP($H3,INDIRECT("Lookup_"&amp;$B3),IF($B3="BSa",P$2,P$1),0))</f>
        <v/>
      </c>
      <c r="K3" s="571">
        <f aca="1">IF(VLOOKUP($H3,INDIRECT("Lookup_"&amp;$B3),IF(LEFT($B3,2)="BS",Q$2,Q$1),0)="","",VLOOKUP($H3,INDIRECT("Lookup_"&amp;$B3),IF($B3="BSa",Q$2,Q$1),0))</f>
        <v>0</v>
      </c>
      <c r="L3" s="571">
        <f aca="1">IF(VLOOKUP($H3,INDIRECT("Lookup_"&amp;$B3),IF(LEFT($B3,2)="BS",R$2,R$1),0)="","",VLOOKUP($H3,INDIRECT("Lookup_"&amp;$B3),IF($B3="BSa",R$2,R$1),0))</f>
        <v>0</v>
      </c>
      <c r="M3" s="571">
        <f aca="1">IF(VLOOKUP($H3,INDIRECT("Lookup_"&amp;$B3),IF(LEFT($B3,2)="BS",S$2,S$1),0)="","",VLOOKUP($H3,INDIRECT("Lookup_"&amp;$B3),IF(LEFT($B3,2)="BS",S$2,S$1),0))</f>
        <v>0</v>
      </c>
      <c r="N3" s="571">
        <f aca="1">IF(VLOOKUP($H3,INDIRECT("Lookup_"&amp;$B3),IF(LEFT($B3,2)="BS",S$2,S$1),0)="","",VLOOKUP($H3,INDIRECT("Lookup_"&amp;$B3),IF(LEFT($B3,2)="BS",S$2,S$1),0))</f>
        <v>0</v>
      </c>
    </row>
    <row r="4" spans="1:14">
      <c r="A4" t="n">
        <v>3</v>
      </c>
      <c r="B4" t="str">
        <f>VLOOKUP($A4,Aop!$A$2:$P$453,2,0)</f>
        <v>BSa</v>
      </c>
      <c r="C4" t="n">
        <v>25</v>
      </c>
      <c r="D4" t="str">
        <f aca="1">Podatak_MB</f>
        <v>1062280</v>
      </c>
      <c r="E4" t="str">
        <f aca="1">Podatak_JIB</f>
        <v>4400471400001</v>
      </c>
      <c r="F4" t="b">
        <f aca="1">Konsolidovan_izvjestaj</f>
        <v>0</v>
      </c>
      <c r="G4" s="20">
        <f aca="1">Datum_Broj</f>
        <v>45382</v>
      </c>
      <c r="H4" t="n">
        <v>3</v>
      </c>
      <c r="I4">
        <f aca="1">Godina</f>
        <v>2024</v>
      </c>
      <c r="J4" t="str">
        <f aca="1">IF(VLOOKUP($H4,INDIRECT("Lookup_"&amp;$B4),IF(LEFT($B4,2)="BS",P$2,P$1),0)="","",VLOOKUP($H4,INDIRECT("Lookup_"&amp;$B4),IF($B4="BSa",P$2,P$1),0))</f>
        <v/>
      </c>
      <c r="K4" t="str">
        <f aca="1">IF(VLOOKUP($H4,INDIRECT("Lookup_"&amp;$B4),IF(LEFT($B4,2)="BS",Q$2,Q$1),0)="","",VLOOKUP($H4,INDIRECT("Lookup_"&amp;$B4),IF($B4="BSa",Q$2,Q$1),0))</f>
        <v/>
      </c>
      <c r="L4" t="str">
        <f aca="1">IF(VLOOKUP($H4,INDIRECT("Lookup_"&amp;$B4),IF(LEFT($B4,2)="BS",R$2,R$1),0)="","",VLOOKUP($H4,INDIRECT("Lookup_"&amp;$B4),IF($B4="BSa",R$2,R$1),0))</f>
        <v/>
      </c>
      <c r="M4" s="571">
        <f aca="1">IF(VLOOKUP($H4,INDIRECT("Lookup_"&amp;$B4),IF(LEFT($B4,2)="BS",S$2,S$1),0)="","",VLOOKUP($H4,INDIRECT("Lookup_"&amp;$B4),IF(LEFT($B4,2)="BS",S$2,S$1),0))</f>
        <v>0</v>
      </c>
      <c r="N4" s="571">
        <f aca="1">IF(VLOOKUP($H4,INDIRECT("Lookup_"&amp;$B4),IF(LEFT($B4,2)="BS",S$2,S$1),0)="","",VLOOKUP($H4,INDIRECT("Lookup_"&amp;$B4),IF(LEFT($B4,2)="BS",S$2,S$1),0))</f>
        <v>0</v>
      </c>
    </row>
    <row r="5" spans="1:14">
      <c r="A5" t="n">
        <v>4</v>
      </c>
      <c r="B5" t="str">
        <f>VLOOKUP($A5,Aop!$A$2:$P$453,2,0)</f>
        <v>BSa</v>
      </c>
      <c r="C5" t="n">
        <v>25</v>
      </c>
      <c r="D5" t="str">
        <f aca="1">Podatak_MB</f>
        <v>1062280</v>
      </c>
      <c r="E5" t="str">
        <f aca="1">Podatak_JIB</f>
        <v>4400471400001</v>
      </c>
      <c r="F5" t="b">
        <f aca="1">Konsolidovan_izvjestaj</f>
        <v>0</v>
      </c>
      <c r="G5" s="20">
        <f aca="1">Datum_Broj</f>
        <v>45382</v>
      </c>
      <c r="H5" t="n">
        <v>4</v>
      </c>
      <c r="I5">
        <f aca="1">Godina</f>
        <v>2024</v>
      </c>
      <c r="J5" t="str">
        <f aca="1">IF(VLOOKUP($H5,INDIRECT("Lookup_"&amp;$B5),IF(LEFT($B5,2)="BS",P$2,P$1),0)="","",VLOOKUP($H5,INDIRECT("Lookup_"&amp;$B5),IF($B5="BSa",P$2,P$1),0))</f>
        <v/>
      </c>
      <c r="K5" t="str">
        <f aca="1">IF(VLOOKUP($H5,INDIRECT("Lookup_"&amp;$B5),IF(LEFT($B5,2)="BS",Q$2,Q$1),0)="","",VLOOKUP($H5,INDIRECT("Lookup_"&amp;$B5),IF($B5="BSa",Q$2,Q$1),0))</f>
        <v/>
      </c>
      <c r="L5" t="str">
        <f aca="1">IF(VLOOKUP($H5,INDIRECT("Lookup_"&amp;$B5),IF(LEFT($B5,2)="BS",R$2,R$1),0)="","",VLOOKUP($H5,INDIRECT("Lookup_"&amp;$B5),IF($B5="BSa",R$2,R$1),0))</f>
        <v/>
      </c>
      <c r="M5" s="571">
        <f aca="1">IF(VLOOKUP($H5,INDIRECT("Lookup_"&amp;$B5),IF(LEFT($B5,2)="BS",S$2,S$1),0)="","",VLOOKUP($H5,INDIRECT("Lookup_"&amp;$B5),IF(LEFT($B5,2)="BS",S$2,S$1),0))</f>
        <v>0</v>
      </c>
      <c r="N5" s="571">
        <f aca="1">IF(VLOOKUP($H5,INDIRECT("Lookup_"&amp;$B5),IF(LEFT($B5,2)="BS",S$2,S$1),0)="","",VLOOKUP($H5,INDIRECT("Lookup_"&amp;$B5),IF(LEFT($B5,2)="BS",S$2,S$1),0))</f>
        <v>0</v>
      </c>
    </row>
    <row r="6" spans="1:14">
      <c r="A6" t="n">
        <v>5</v>
      </c>
      <c r="B6" t="str">
        <f>VLOOKUP($A6,Aop!$A$2:$P$453,2,0)</f>
        <v>BSa</v>
      </c>
      <c r="C6" t="n">
        <v>25</v>
      </c>
      <c r="D6" t="str">
        <f aca="1">Podatak_MB</f>
        <v>1062280</v>
      </c>
      <c r="E6" t="str">
        <f aca="1">Podatak_JIB</f>
        <v>4400471400001</v>
      </c>
      <c r="F6" t="b">
        <f aca="1">Konsolidovan_izvjestaj</f>
        <v>0</v>
      </c>
      <c r="G6" s="20">
        <f aca="1">Datum_Broj</f>
        <v>45382</v>
      </c>
      <c r="H6" t="n">
        <v>5</v>
      </c>
      <c r="I6">
        <f aca="1">Godina</f>
        <v>2024</v>
      </c>
      <c r="J6" t="str">
        <f aca="1">IF(VLOOKUP($H6,INDIRECT("Lookup_"&amp;$B6),IF(LEFT($B6,2)="BS",P$2,P$1),0)="","",VLOOKUP($H6,INDIRECT("Lookup_"&amp;$B6),IF($B6="BSa",P$2,P$1),0))</f>
        <v/>
      </c>
      <c r="K6" t="str">
        <f aca="1">IF(VLOOKUP($H6,INDIRECT("Lookup_"&amp;$B6),IF(LEFT($B6,2)="BS",Q$2,Q$1),0)="","",VLOOKUP($H6,INDIRECT("Lookup_"&amp;$B6),IF($B6="BSa",Q$2,Q$1),0))</f>
        <v/>
      </c>
      <c r="L6" t="str">
        <f aca="1">IF(VLOOKUP($H6,INDIRECT("Lookup_"&amp;$B6),IF(LEFT($B6,2)="BS",R$2,R$1),0)="","",VLOOKUP($H6,INDIRECT("Lookup_"&amp;$B6),IF($B6="BSa",R$2,R$1),0))</f>
        <v/>
      </c>
      <c r="M6" s="571">
        <f aca="1">IF(VLOOKUP($H6,INDIRECT("Lookup_"&amp;$B6),IF(LEFT($B6,2)="BS",S$2,S$1),0)="","",VLOOKUP($H6,INDIRECT("Lookup_"&amp;$B6),IF(LEFT($B6,2)="BS",S$2,S$1),0))</f>
        <v>0</v>
      </c>
      <c r="N6" s="571">
        <f aca="1">IF(VLOOKUP($H6,INDIRECT("Lookup_"&amp;$B6),IF(LEFT($B6,2)="BS",S$2,S$1),0)="","",VLOOKUP($H6,INDIRECT("Lookup_"&amp;$B6),IF(LEFT($B6,2)="BS",S$2,S$1),0))</f>
        <v>0</v>
      </c>
    </row>
    <row r="7" spans="1:14">
      <c r="A7" t="n">
        <v>6</v>
      </c>
      <c r="B7" t="str">
        <f>VLOOKUP($A7,Aop!$A$2:$P$453,2,0)</f>
        <v>BSa</v>
      </c>
      <c r="C7" t="n">
        <v>25</v>
      </c>
      <c r="D7" t="str">
        <f aca="1">Podatak_MB</f>
        <v>1062280</v>
      </c>
      <c r="E7" t="str">
        <f aca="1">Podatak_JIB</f>
        <v>4400471400001</v>
      </c>
      <c r="F7" t="b">
        <f aca="1">Konsolidovan_izvjestaj</f>
        <v>0</v>
      </c>
      <c r="G7" s="20">
        <f aca="1">Datum_Broj</f>
        <v>45382</v>
      </c>
      <c r="H7" t="n">
        <v>6</v>
      </c>
      <c r="I7">
        <f aca="1">Godina</f>
        <v>2024</v>
      </c>
      <c r="J7" t="str">
        <f aca="1">IF(VLOOKUP($H7,INDIRECT("Lookup_"&amp;$B7),IF(LEFT($B7,2)="BS",P$2,P$1),0)="","",VLOOKUP($H7,INDIRECT("Lookup_"&amp;$B7),IF($B7="BSa",P$2,P$1),0))</f>
        <v/>
      </c>
      <c r="K7" t="str">
        <f aca="1">IF(VLOOKUP($H7,INDIRECT("Lookup_"&amp;$B7),IF(LEFT($B7,2)="BS",Q$2,Q$1),0)="","",VLOOKUP($H7,INDIRECT("Lookup_"&amp;$B7),IF($B7="BSa",Q$2,Q$1),0))</f>
        <v/>
      </c>
      <c r="L7" t="str">
        <f aca="1">IF(VLOOKUP($H7,INDIRECT("Lookup_"&amp;$B7),IF(LEFT($B7,2)="BS",R$2,R$1),0)="","",VLOOKUP($H7,INDIRECT("Lookup_"&amp;$B7),IF($B7="BSa",R$2,R$1),0))</f>
        <v/>
      </c>
      <c r="M7" s="571">
        <f aca="1">IF(VLOOKUP($H7,INDIRECT("Lookup_"&amp;$B7),IF(LEFT($B7,2)="BS",S$2,S$1),0)="","",VLOOKUP($H7,INDIRECT("Lookup_"&amp;$B7),IF(LEFT($B7,2)="BS",S$2,S$1),0))</f>
        <v>0</v>
      </c>
      <c r="N7" s="571">
        <f aca="1">IF(VLOOKUP($H7,INDIRECT("Lookup_"&amp;$B7),IF(LEFT($B7,2)="BS",S$2,S$1),0)="","",VLOOKUP($H7,INDIRECT("Lookup_"&amp;$B7),IF(LEFT($B7,2)="BS",S$2,S$1),0))</f>
        <v>0</v>
      </c>
    </row>
    <row r="8" spans="1:14">
      <c r="A8" t="n">
        <v>7</v>
      </c>
      <c r="B8" t="str">
        <f>VLOOKUP($A8,Aop!$A$2:$P$453,2,0)</f>
        <v>BSa</v>
      </c>
      <c r="C8" t="n">
        <v>25</v>
      </c>
      <c r="D8" t="str">
        <f aca="1">Podatak_MB</f>
        <v>1062280</v>
      </c>
      <c r="E8" t="str">
        <f aca="1">Podatak_JIB</f>
        <v>4400471400001</v>
      </c>
      <c r="F8" t="b">
        <f aca="1">Konsolidovan_izvjestaj</f>
        <v>0</v>
      </c>
      <c r="G8" s="20">
        <f aca="1">Datum_Broj</f>
        <v>45382</v>
      </c>
      <c r="H8" t="n">
        <v>7</v>
      </c>
      <c r="I8">
        <f aca="1">Godina</f>
        <v>2024</v>
      </c>
      <c r="J8" t="str">
        <f aca="1">IF(VLOOKUP($H8,INDIRECT("Lookup_"&amp;$B8),IF(LEFT($B8,2)="BS",P$2,P$1),0)="","",VLOOKUP($H8,INDIRECT("Lookup_"&amp;$B8),IF($B8="BSa",P$2,P$1),0))</f>
        <v/>
      </c>
      <c r="K8" t="str">
        <f aca="1">IF(VLOOKUP($H8,INDIRECT("Lookup_"&amp;$B8),IF(LEFT($B8,2)="BS",Q$2,Q$1),0)="","",VLOOKUP($H8,INDIRECT("Lookup_"&amp;$B8),IF($B8="BSa",Q$2,Q$1),0))</f>
        <v/>
      </c>
      <c r="L8" t="str">
        <f aca="1">IF(VLOOKUP($H8,INDIRECT("Lookup_"&amp;$B8),IF(LEFT($B8,2)="BS",R$2,R$1),0)="","",VLOOKUP($H8,INDIRECT("Lookup_"&amp;$B8),IF($B8="BSa",R$2,R$1),0))</f>
        <v/>
      </c>
      <c r="M8" s="571">
        <f aca="1">IF(VLOOKUP($H8,INDIRECT("Lookup_"&amp;$B8),IF(LEFT($B8,2)="BS",S$2,S$1),0)="","",VLOOKUP($H8,INDIRECT("Lookup_"&amp;$B8),IF(LEFT($B8,2)="BS",S$2,S$1),0))</f>
        <v>0</v>
      </c>
      <c r="N8" s="571">
        <f aca="1">IF(VLOOKUP($H8,INDIRECT("Lookup_"&amp;$B8),IF(LEFT($B8,2)="BS",S$2,S$1),0)="","",VLOOKUP($H8,INDIRECT("Lookup_"&amp;$B8),IF(LEFT($B8,2)="BS",S$2,S$1),0))</f>
        <v>0</v>
      </c>
    </row>
    <row r="9" spans="1:14">
      <c r="A9" t="n">
        <v>8</v>
      </c>
      <c r="B9" t="str">
        <f>VLOOKUP($A9,Aop!$A$2:$P$453,2,0)</f>
        <v>BSa</v>
      </c>
      <c r="C9" t="n">
        <v>25</v>
      </c>
      <c r="D9" t="str">
        <f aca="1">Podatak_MB</f>
        <v>1062280</v>
      </c>
      <c r="E9" t="str">
        <f aca="1">Podatak_JIB</f>
        <v>4400471400001</v>
      </c>
      <c r="F9" t="b">
        <f aca="1">Konsolidovan_izvjestaj</f>
        <v>0</v>
      </c>
      <c r="G9" s="20">
        <f aca="1">Datum_Broj</f>
        <v>45382</v>
      </c>
      <c r="H9" t="n">
        <v>8</v>
      </c>
      <c r="I9">
        <f aca="1">Godina</f>
        <v>2024</v>
      </c>
      <c r="J9" t="str">
        <f aca="1">IF(VLOOKUP($H9,INDIRECT("Lookup_"&amp;$B9),IF(LEFT($B9,2)="BS",P$2,P$1),0)="","",VLOOKUP($H9,INDIRECT("Lookup_"&amp;$B9),IF($B9="BSa",P$2,P$1),0))</f>
        <v/>
      </c>
      <c r="K9" s="571">
        <f aca="1">IF(VLOOKUP($H9,INDIRECT("Lookup_"&amp;$B9),IF(LEFT($B9,2)="BS",Q$2,Q$1),0)="","",VLOOKUP($H9,INDIRECT("Lookup_"&amp;$B9),IF($B9="BSa",Q$2,Q$1),0))</f>
        <v>9008083</v>
      </c>
      <c r="L9" s="571">
        <f aca="1">IF(VLOOKUP($H9,INDIRECT("Lookup_"&amp;$B9),IF(LEFT($B9,2)="BS",R$2,R$1),0)="","",VLOOKUP($H9,INDIRECT("Lookup_"&amp;$B9),IF($B9="BSa",R$2,R$1),0))</f>
        <v>6068635</v>
      </c>
      <c r="M9" s="571">
        <f aca="1">IF(VLOOKUP($H9,INDIRECT("Lookup_"&amp;$B9),IF(LEFT($B9,2)="BS",S$2,S$1),0)="","",VLOOKUP($H9,INDIRECT("Lookup_"&amp;$B9),IF(LEFT($B9,2)="BS",S$2,S$1),0))</f>
        <v>2939448</v>
      </c>
      <c r="N9" s="571">
        <f aca="1">IF(VLOOKUP($H9,INDIRECT("Lookup_"&amp;$B9),IF(LEFT($B9,2)="BS",S$2,S$1),0)="","",VLOOKUP($H9,INDIRECT("Lookup_"&amp;$B9),IF(LEFT($B9,2)="BS",S$2,S$1),0))</f>
        <v>2939448</v>
      </c>
    </row>
    <row r="10" spans="1:14">
      <c r="A10" t="n">
        <v>9</v>
      </c>
      <c r="B10" t="str">
        <f>VLOOKUP($A10,Aop!$A$2:$P$453,2,0)</f>
        <v>BSa</v>
      </c>
      <c r="C10" t="n">
        <v>25</v>
      </c>
      <c r="D10" t="str">
        <f aca="1">Podatak_MB</f>
        <v>1062280</v>
      </c>
      <c r="E10" t="str">
        <f aca="1">Podatak_JIB</f>
        <v>4400471400001</v>
      </c>
      <c r="F10" t="b">
        <f aca="1">Konsolidovan_izvjestaj</f>
        <v>0</v>
      </c>
      <c r="G10" s="20">
        <f aca="1">Datum_Broj</f>
        <v>45382</v>
      </c>
      <c r="H10" t="n">
        <v>9</v>
      </c>
      <c r="I10">
        <f aca="1">Godina</f>
        <v>2024</v>
      </c>
      <c r="J10" t="str">
        <f aca="1">IF(VLOOKUP($H10,INDIRECT("Lookup_"&amp;$B10),IF(LEFT($B10,2)="BS",P$2,P$1),0)="","",VLOOKUP($H10,INDIRECT("Lookup_"&amp;$B10),IF($B10="BSa",P$2,P$1),0))</f>
        <v/>
      </c>
      <c r="K10" s="575">
        <f aca="1">IF(VLOOKUP($H10,INDIRECT("Lookup_"&amp;$B10),IF(LEFT($B10,2)="BS",Q$2,Q$1),0)="","",VLOOKUP($H10,INDIRECT("Lookup_"&amp;$B10),IF($B10="BSa",Q$2,Q$1),0))</f>
        <v>761073</v>
      </c>
      <c r="L10" t="str">
        <f aca="1">IF(VLOOKUP($H10,INDIRECT("Lookup_"&amp;$B10),IF(LEFT($B10,2)="BS",R$2,R$1),0)="","",VLOOKUP($H10,INDIRECT("Lookup_"&amp;$B10),IF($B10="BSa",R$2,R$1),0))</f>
        <v/>
      </c>
      <c r="M10" s="571">
        <f aca="1">IF(VLOOKUP($H10,INDIRECT("Lookup_"&amp;$B10),IF(LEFT($B10,2)="BS",S$2,S$1),0)="","",VLOOKUP($H10,INDIRECT("Lookup_"&amp;$B10),IF(LEFT($B10,2)="BS",S$2,S$1),0))</f>
        <v>761073</v>
      </c>
      <c r="N10" s="571">
        <f aca="1">IF(VLOOKUP($H10,INDIRECT("Lookup_"&amp;$B10),IF(LEFT($B10,2)="BS",S$2,S$1),0)="","",VLOOKUP($H10,INDIRECT("Lookup_"&amp;$B10),IF(LEFT($B10,2)="BS",S$2,S$1),0))</f>
        <v>761073</v>
      </c>
    </row>
    <row r="11" spans="1:14">
      <c r="A11" t="n">
        <v>10</v>
      </c>
      <c r="B11" t="str">
        <f>VLOOKUP($A11,Aop!$A$2:$P$453,2,0)</f>
        <v>BSa</v>
      </c>
      <c r="C11" t="n">
        <v>25</v>
      </c>
      <c r="D11" t="str">
        <f aca="1">Podatak_MB</f>
        <v>1062280</v>
      </c>
      <c r="E11" t="str">
        <f aca="1">Podatak_JIB</f>
        <v>4400471400001</v>
      </c>
      <c r="F11" t="b">
        <f aca="1">Konsolidovan_izvjestaj</f>
        <v>0</v>
      </c>
      <c r="G11" s="20">
        <f aca="1">Datum_Broj</f>
        <v>45382</v>
      </c>
      <c r="H11" t="n">
        <v>10</v>
      </c>
      <c r="I11">
        <f aca="1">Godina</f>
        <v>2024</v>
      </c>
      <c r="J11" t="str">
        <f aca="1">IF(VLOOKUP($H11,INDIRECT("Lookup_"&amp;$B11),IF(LEFT($B11,2)="BS",P$2,P$1),0)="","",VLOOKUP($H11,INDIRECT("Lookup_"&amp;$B11),IF($B11="BSa",P$2,P$1),0))</f>
        <v/>
      </c>
      <c r="K11" s="575">
        <f aca="1">IF(VLOOKUP($H11,INDIRECT("Lookup_"&amp;$B11),IF(LEFT($B11,2)="BS",Q$2,Q$1),0)="","",VLOOKUP($H11,INDIRECT("Lookup_"&amp;$B11),IF($B11="BSa",Q$2,Q$1),0))</f>
        <v>6103063</v>
      </c>
      <c r="L11" s="575">
        <f aca="1">IF(VLOOKUP($H11,INDIRECT("Lookup_"&amp;$B11),IF(LEFT($B11,2)="BS",R$2,R$1),0)="","",VLOOKUP($H11,INDIRECT("Lookup_"&amp;$B11),IF($B11="BSa",R$2,R$1),0))</f>
        <v>4340726</v>
      </c>
      <c r="M11" s="571">
        <f aca="1">IF(VLOOKUP($H11,INDIRECT("Lookup_"&amp;$B11),IF(LEFT($B11,2)="BS",S$2,S$1),0)="","",VLOOKUP($H11,INDIRECT("Lookup_"&amp;$B11),IF(LEFT($B11,2)="BS",S$2,S$1),0))</f>
        <v>1762337</v>
      </c>
      <c r="N11" s="571">
        <f aca="1">IF(VLOOKUP($H11,INDIRECT("Lookup_"&amp;$B11),IF(LEFT($B11,2)="BS",S$2,S$1),0)="","",VLOOKUP($H11,INDIRECT("Lookup_"&amp;$B11),IF(LEFT($B11,2)="BS",S$2,S$1),0))</f>
        <v>1762337</v>
      </c>
    </row>
    <row r="12" spans="1:14">
      <c r="A12" t="n">
        <v>11</v>
      </c>
      <c r="B12" t="str">
        <f>VLOOKUP($A12,Aop!$A$2:$P$453,2,0)</f>
        <v>BSa</v>
      </c>
      <c r="C12" t="n">
        <v>25</v>
      </c>
      <c r="D12" t="str">
        <f aca="1">Podatak_MB</f>
        <v>1062280</v>
      </c>
      <c r="E12" t="str">
        <f aca="1">Podatak_JIB</f>
        <v>4400471400001</v>
      </c>
      <c r="F12" t="b">
        <f aca="1">Konsolidovan_izvjestaj</f>
        <v>0</v>
      </c>
      <c r="G12" s="20">
        <f aca="1">Datum_Broj</f>
        <v>45382</v>
      </c>
      <c r="H12" t="n">
        <v>11</v>
      </c>
      <c r="I12">
        <f aca="1">Godina</f>
        <v>2024</v>
      </c>
      <c r="J12" t="str">
        <f aca="1">IF(VLOOKUP($H12,INDIRECT("Lookup_"&amp;$B12),IF(LEFT($B12,2)="BS",P$2,P$1),0)="","",VLOOKUP($H12,INDIRECT("Lookup_"&amp;$B12),IF($B12="BSa",P$2,P$1),0))</f>
        <v/>
      </c>
      <c r="K12" s="575">
        <f aca="1">IF(VLOOKUP($H12,INDIRECT("Lookup_"&amp;$B12),IF(LEFT($B12,2)="BS",Q$2,Q$1),0)="","",VLOOKUP($H12,INDIRECT("Lookup_"&amp;$B12),IF($B12="BSa",Q$2,Q$1),0))</f>
        <v>2143947</v>
      </c>
      <c r="L12" s="575">
        <f aca="1">IF(VLOOKUP($H12,INDIRECT("Lookup_"&amp;$B12),IF(LEFT($B12,2)="BS",R$2,R$1),0)="","",VLOOKUP($H12,INDIRECT("Lookup_"&amp;$B12),IF($B12="BSa",R$2,R$1),0))</f>
        <v>1727909</v>
      </c>
      <c r="M12" s="571">
        <f aca="1">IF(VLOOKUP($H12,INDIRECT("Lookup_"&amp;$B12),IF(LEFT($B12,2)="BS",S$2,S$1),0)="","",VLOOKUP($H12,INDIRECT("Lookup_"&amp;$B12),IF(LEFT($B12,2)="BS",S$2,S$1),0))</f>
        <v>416038</v>
      </c>
      <c r="N12" s="571">
        <f aca="1">IF(VLOOKUP($H12,INDIRECT("Lookup_"&amp;$B12),IF(LEFT($B12,2)="BS",S$2,S$1),0)="","",VLOOKUP($H12,INDIRECT("Lookup_"&amp;$B12),IF(LEFT($B12,2)="BS",S$2,S$1),0))</f>
        <v>416038</v>
      </c>
    </row>
    <row r="13" spans="1:14">
      <c r="A13" t="n">
        <v>12</v>
      </c>
      <c r="B13" t="str">
        <f>VLOOKUP($A13,Aop!$A$2:$P$453,2,0)</f>
        <v>BSa</v>
      </c>
      <c r="C13" t="n">
        <v>25</v>
      </c>
      <c r="D13" t="str">
        <f aca="1">Podatak_MB</f>
        <v>1062280</v>
      </c>
      <c r="E13" t="str">
        <f aca="1">Podatak_JIB</f>
        <v>4400471400001</v>
      </c>
      <c r="F13" t="b">
        <f aca="1">Konsolidovan_izvjestaj</f>
        <v>0</v>
      </c>
      <c r="G13" s="20">
        <f aca="1">Datum_Broj</f>
        <v>45382</v>
      </c>
      <c r="H13" t="n">
        <v>12</v>
      </c>
      <c r="I13">
        <f aca="1">Godina</f>
        <v>2024</v>
      </c>
      <c r="J13" t="str">
        <f aca="1">IF(VLOOKUP($H13,INDIRECT("Lookup_"&amp;$B13),IF(LEFT($B13,2)="BS",P$2,P$1),0)="","",VLOOKUP($H13,INDIRECT("Lookup_"&amp;$B13),IF($B13="BSa",P$2,P$1),0))</f>
        <v/>
      </c>
      <c r="K13" t="str">
        <f aca="1">IF(VLOOKUP($H13,INDIRECT("Lookup_"&amp;$B13),IF(LEFT($B13,2)="BS",Q$2,Q$1),0)="","",VLOOKUP($H13,INDIRECT("Lookup_"&amp;$B13),IF($B13="BSa",Q$2,Q$1),0))</f>
        <v/>
      </c>
      <c r="L13" t="str">
        <f aca="1">IF(VLOOKUP($H13,INDIRECT("Lookup_"&amp;$B13),IF(LEFT($B13,2)="BS",R$2,R$1),0)="","",VLOOKUP($H13,INDIRECT("Lookup_"&amp;$B13),IF($B13="BSa",R$2,R$1),0))</f>
        <v/>
      </c>
      <c r="M13" s="571">
        <f aca="1">IF(VLOOKUP($H13,INDIRECT("Lookup_"&amp;$B13),IF(LEFT($B13,2)="BS",S$2,S$1),0)="","",VLOOKUP($H13,INDIRECT("Lookup_"&amp;$B13),IF(LEFT($B13,2)="BS",S$2,S$1),0))</f>
        <v>0</v>
      </c>
      <c r="N13" s="571">
        <f aca="1">IF(VLOOKUP($H13,INDIRECT("Lookup_"&amp;$B13),IF(LEFT($B13,2)="BS",S$2,S$1),0)="","",VLOOKUP($H13,INDIRECT("Lookup_"&amp;$B13),IF(LEFT($B13,2)="BS",S$2,S$1),0))</f>
        <v>0</v>
      </c>
    </row>
    <row r="14" spans="1:14">
      <c r="A14" t="n">
        <v>13</v>
      </c>
      <c r="B14" t="str">
        <f>VLOOKUP($A14,Aop!$A$2:$P$453,2,0)</f>
        <v>BSa</v>
      </c>
      <c r="C14" t="n">
        <v>25</v>
      </c>
      <c r="D14" t="str">
        <f aca="1">Podatak_MB</f>
        <v>1062280</v>
      </c>
      <c r="E14" t="str">
        <f aca="1">Podatak_JIB</f>
        <v>4400471400001</v>
      </c>
      <c r="F14" t="b">
        <f aca="1">Konsolidovan_izvjestaj</f>
        <v>0</v>
      </c>
      <c r="G14" s="20">
        <f aca="1">Datum_Broj</f>
        <v>45382</v>
      </c>
      <c r="H14" t="n">
        <v>13</v>
      </c>
      <c r="I14">
        <f aca="1">Godina</f>
        <v>2024</v>
      </c>
      <c r="J14" t="str">
        <f aca="1">IF(VLOOKUP($H14,INDIRECT("Lookup_"&amp;$B14),IF(LEFT($B14,2)="BS",P$2,P$1),0)="","",VLOOKUP($H14,INDIRECT("Lookup_"&amp;$B14),IF($B14="BSa",P$2,P$1),0))</f>
        <v/>
      </c>
      <c r="K14" t="str">
        <f aca="1">IF(VLOOKUP($H14,INDIRECT("Lookup_"&amp;$B14),IF(LEFT($B14,2)="BS",Q$2,Q$1),0)="","",VLOOKUP($H14,INDIRECT("Lookup_"&amp;$B14),IF($B14="BSa",Q$2,Q$1),0))</f>
        <v/>
      </c>
      <c r="L14" t="str">
        <f aca="1">IF(VLOOKUP($H14,INDIRECT("Lookup_"&amp;$B14),IF(LEFT($B14,2)="BS",R$2,R$1),0)="","",VLOOKUP($H14,INDIRECT("Lookup_"&amp;$B14),IF($B14="BSa",R$2,R$1),0))</f>
        <v/>
      </c>
      <c r="M14" s="571">
        <f aca="1">IF(VLOOKUP($H14,INDIRECT("Lookup_"&amp;$B14),IF(LEFT($B14,2)="BS",S$2,S$1),0)="","",VLOOKUP($H14,INDIRECT("Lookup_"&amp;$B14),IF(LEFT($B14,2)="BS",S$2,S$1),0))</f>
        <v>0</v>
      </c>
      <c r="N14" s="571">
        <f aca="1">IF(VLOOKUP($H14,INDIRECT("Lookup_"&amp;$B14),IF(LEFT($B14,2)="BS",S$2,S$1),0)="","",VLOOKUP($H14,INDIRECT("Lookup_"&amp;$B14),IF(LEFT($B14,2)="BS",S$2,S$1),0))</f>
        <v>0</v>
      </c>
    </row>
    <row r="15" spans="1:14">
      <c r="A15" t="n">
        <v>14</v>
      </c>
      <c r="B15" t="str">
        <f>VLOOKUP($A15,Aop!$A$2:$P$453,2,0)</f>
        <v>BSa</v>
      </c>
      <c r="C15" t="n">
        <v>25</v>
      </c>
      <c r="D15" t="str">
        <f aca="1">Podatak_MB</f>
        <v>1062280</v>
      </c>
      <c r="E15" t="str">
        <f aca="1">Podatak_JIB</f>
        <v>4400471400001</v>
      </c>
      <c r="F15" t="b">
        <f aca="1">Konsolidovan_izvjestaj</f>
        <v>0</v>
      </c>
      <c r="G15" s="20">
        <f aca="1">Datum_Broj</f>
        <v>45382</v>
      </c>
      <c r="H15" t="n">
        <v>14</v>
      </c>
      <c r="I15">
        <f aca="1">Godina</f>
        <v>2024</v>
      </c>
      <c r="J15" t="str">
        <f aca="1">IF(VLOOKUP($H15,INDIRECT("Lookup_"&amp;$B15),IF(LEFT($B15,2)="BS",P$2,P$1),0)="","",VLOOKUP($H15,INDIRECT("Lookup_"&amp;$B15),IF($B15="BSa",P$2,P$1),0))</f>
        <v/>
      </c>
      <c r="K15" t="str">
        <f aca="1">IF(VLOOKUP($H15,INDIRECT("Lookup_"&amp;$B15),IF(LEFT($B15,2)="BS",Q$2,Q$1),0)="","",VLOOKUP($H15,INDIRECT("Lookup_"&amp;$B15),IF($B15="BSa",Q$2,Q$1),0))</f>
        <v/>
      </c>
      <c r="L15" t="str">
        <f aca="1">IF(VLOOKUP($H15,INDIRECT("Lookup_"&amp;$B15),IF(LEFT($B15,2)="BS",R$2,R$1),0)="","",VLOOKUP($H15,INDIRECT("Lookup_"&amp;$B15),IF($B15="BSa",R$2,R$1),0))</f>
        <v/>
      </c>
      <c r="M15" s="571">
        <f aca="1">IF(VLOOKUP($H15,INDIRECT("Lookup_"&amp;$B15),IF(LEFT($B15,2)="BS",S$2,S$1),0)="","",VLOOKUP($H15,INDIRECT("Lookup_"&amp;$B15),IF(LEFT($B15,2)="BS",S$2,S$1),0))</f>
        <v>0</v>
      </c>
      <c r="N15" s="571">
        <f aca="1">IF(VLOOKUP($H15,INDIRECT("Lookup_"&amp;$B15),IF(LEFT($B15,2)="BS",S$2,S$1),0)="","",VLOOKUP($H15,INDIRECT("Lookup_"&amp;$B15),IF(LEFT($B15,2)="BS",S$2,S$1),0))</f>
        <v>0</v>
      </c>
    </row>
    <row r="16" spans="1:14">
      <c r="A16" t="n">
        <v>15</v>
      </c>
      <c r="B16" t="str">
        <f>VLOOKUP($A16,Aop!$A$2:$P$453,2,0)</f>
        <v>BSa</v>
      </c>
      <c r="C16" t="n">
        <v>25</v>
      </c>
      <c r="D16" t="str">
        <f aca="1">Podatak_MB</f>
        <v>1062280</v>
      </c>
      <c r="E16" t="str">
        <f aca="1">Podatak_JIB</f>
        <v>4400471400001</v>
      </c>
      <c r="F16" t="b">
        <f aca="1">Konsolidovan_izvjestaj</f>
        <v>0</v>
      </c>
      <c r="G16" s="20">
        <f aca="1">Datum_Broj</f>
        <v>45382</v>
      </c>
      <c r="H16" t="n">
        <v>15</v>
      </c>
      <c r="I16">
        <f aca="1">Godina</f>
        <v>2024</v>
      </c>
      <c r="J16" t="str">
        <f aca="1">IF(VLOOKUP($H16,INDIRECT("Lookup_"&amp;$B16),IF(LEFT($B16,2)="BS",P$2,P$1),0)="","",VLOOKUP($H16,INDIRECT("Lookup_"&amp;$B16),IF($B16="BSa",P$2,P$1),0))</f>
        <v/>
      </c>
      <c r="K16" t="str">
        <f aca="1">IF(VLOOKUP($H16,INDIRECT("Lookup_"&amp;$B16),IF(LEFT($B16,2)="BS",Q$2,Q$1),0)="","",VLOOKUP($H16,INDIRECT("Lookup_"&amp;$B16),IF($B16="BSa",Q$2,Q$1),0))</f>
        <v/>
      </c>
      <c r="L16" t="str">
        <f aca="1">IF(VLOOKUP($H16,INDIRECT("Lookup_"&amp;$B16),IF(LEFT($B16,2)="BS",R$2,R$1),0)="","",VLOOKUP($H16,INDIRECT("Lookup_"&amp;$B16),IF($B16="BSa",R$2,R$1),0))</f>
        <v/>
      </c>
      <c r="M16" s="571">
        <f aca="1">IF(VLOOKUP($H16,INDIRECT("Lookup_"&amp;$B16),IF(LEFT($B16,2)="BS",S$2,S$1),0)="","",VLOOKUP($H16,INDIRECT("Lookup_"&amp;$B16),IF(LEFT($B16,2)="BS",S$2,S$1),0))</f>
        <v>0</v>
      </c>
      <c r="N16" s="571">
        <f aca="1">IF(VLOOKUP($H16,INDIRECT("Lookup_"&amp;$B16),IF(LEFT($B16,2)="BS",S$2,S$1),0)="","",VLOOKUP($H16,INDIRECT("Lookup_"&amp;$B16),IF(LEFT($B16,2)="BS",S$2,S$1),0))</f>
        <v>0</v>
      </c>
    </row>
    <row r="17" spans="1:14">
      <c r="A17" t="n">
        <v>16</v>
      </c>
      <c r="B17" t="str">
        <f>VLOOKUP($A17,Aop!$A$2:$P$453,2,0)</f>
        <v>BSa</v>
      </c>
      <c r="C17" t="n">
        <v>25</v>
      </c>
      <c r="D17" t="str">
        <f aca="1">Podatak_MB</f>
        <v>1062280</v>
      </c>
      <c r="E17" t="str">
        <f aca="1">Podatak_JIB</f>
        <v>4400471400001</v>
      </c>
      <c r="F17" t="b">
        <f aca="1">Konsolidovan_izvjestaj</f>
        <v>0</v>
      </c>
      <c r="G17" s="20">
        <f aca="1">Datum_Broj</f>
        <v>45382</v>
      </c>
      <c r="H17" t="n">
        <v>16</v>
      </c>
      <c r="I17">
        <f aca="1">Godina</f>
        <v>2024</v>
      </c>
      <c r="J17" t="str">
        <f aca="1">IF(VLOOKUP($H17,INDIRECT("Lookup_"&amp;$B17),IF(LEFT($B17,2)="BS",P$2,P$1),0)="","",VLOOKUP($H17,INDIRECT("Lookup_"&amp;$B17),IF($B17="BSa",P$2,P$1),0))</f>
        <v/>
      </c>
      <c r="K17" t="str">
        <f aca="1">IF(VLOOKUP($H17,INDIRECT("Lookup_"&amp;$B17),IF(LEFT($B17,2)="BS",Q$2,Q$1),0)="","",VLOOKUP($H17,INDIRECT("Lookup_"&amp;$B17),IF($B17="BSa",Q$2,Q$1),0))</f>
        <v/>
      </c>
      <c r="L17" t="str">
        <f aca="1">IF(VLOOKUP($H17,INDIRECT("Lookup_"&amp;$B17),IF(LEFT($B17,2)="BS",R$2,R$1),0)="","",VLOOKUP($H17,INDIRECT("Lookup_"&amp;$B17),IF($B17="BSa",R$2,R$1),0))</f>
        <v/>
      </c>
      <c r="M17" s="571">
        <f aca="1">IF(VLOOKUP($H17,INDIRECT("Lookup_"&amp;$B17),IF(LEFT($B17,2)="BS",S$2,S$1),0)="","",VLOOKUP($H17,INDIRECT("Lookup_"&amp;$B17),IF(LEFT($B17,2)="BS",S$2,S$1),0))</f>
        <v>0</v>
      </c>
      <c r="N17" s="571">
        <f aca="1">IF(VLOOKUP($H17,INDIRECT("Lookup_"&amp;$B17),IF(LEFT($B17,2)="BS",S$2,S$1),0)="","",VLOOKUP($H17,INDIRECT("Lookup_"&amp;$B17),IF(LEFT($B17,2)="BS",S$2,S$1),0))</f>
        <v>0</v>
      </c>
    </row>
    <row r="18" spans="1:14">
      <c r="A18" t="n">
        <v>17</v>
      </c>
      <c r="B18" t="str">
        <f>VLOOKUP($A18,Aop!$A$2:$P$453,2,0)</f>
        <v>BSa</v>
      </c>
      <c r="C18" t="n">
        <v>25</v>
      </c>
      <c r="D18" t="str">
        <f aca="1">Podatak_MB</f>
        <v>1062280</v>
      </c>
      <c r="E18" t="str">
        <f aca="1">Podatak_JIB</f>
        <v>4400471400001</v>
      </c>
      <c r="F18" t="b">
        <f aca="1">Konsolidovan_izvjestaj</f>
        <v>0</v>
      </c>
      <c r="G18" s="20">
        <f aca="1">Datum_Broj</f>
        <v>45382</v>
      </c>
      <c r="H18" t="n">
        <v>17</v>
      </c>
      <c r="I18">
        <f aca="1">Godina</f>
        <v>2024</v>
      </c>
      <c r="J18" t="str">
        <f aca="1">IF(VLOOKUP($H18,INDIRECT("Lookup_"&amp;$B18),IF(LEFT($B18,2)="BS",P$2,P$1),0)="","",VLOOKUP($H18,INDIRECT("Lookup_"&amp;$B18),IF($B18="BSa",P$2,P$1),0))</f>
        <v/>
      </c>
      <c r="K18" s="571">
        <f aca="1">IF(VLOOKUP($H18,INDIRECT("Lookup_"&amp;$B18),IF(LEFT($B18,2)="BS",Q$2,Q$1),0)="","",VLOOKUP($H18,INDIRECT("Lookup_"&amp;$B18),IF($B18="BSa",Q$2,Q$1),0))</f>
        <v>0</v>
      </c>
      <c r="L18" s="571">
        <f aca="1">IF(VLOOKUP($H18,INDIRECT("Lookup_"&amp;$B18),IF(LEFT($B18,2)="BS",R$2,R$1),0)="","",VLOOKUP($H18,INDIRECT("Lookup_"&amp;$B18),IF($B18="BSa",R$2,R$1),0))</f>
        <v>0</v>
      </c>
      <c r="M18" s="571">
        <f aca="1">IF(VLOOKUP($H18,INDIRECT("Lookup_"&amp;$B18),IF(LEFT($B18,2)="BS",S$2,S$1),0)="","",VLOOKUP($H18,INDIRECT("Lookup_"&amp;$B18),IF(LEFT($B18,2)="BS",S$2,S$1),0))</f>
        <v>0</v>
      </c>
      <c r="N18" s="571">
        <f aca="1">IF(VLOOKUP($H18,INDIRECT("Lookup_"&amp;$B18),IF(LEFT($B18,2)="BS",S$2,S$1),0)="","",VLOOKUP($H18,INDIRECT("Lookup_"&amp;$B18),IF(LEFT($B18,2)="BS",S$2,S$1),0))</f>
        <v>0</v>
      </c>
    </row>
    <row r="19" spans="1:14">
      <c r="A19" t="n">
        <v>18</v>
      </c>
      <c r="B19" t="str">
        <f>VLOOKUP($A19,Aop!$A$2:$P$453,2,0)</f>
        <v>BSa</v>
      </c>
      <c r="C19" t="n">
        <v>25</v>
      </c>
      <c r="D19" t="str">
        <f aca="1">Podatak_MB</f>
        <v>1062280</v>
      </c>
      <c r="E19" t="str">
        <f aca="1">Podatak_JIB</f>
        <v>4400471400001</v>
      </c>
      <c r="F19" t="b">
        <f aca="1">Konsolidovan_izvjestaj</f>
        <v>0</v>
      </c>
      <c r="G19" s="20">
        <f aca="1">Datum_Broj</f>
        <v>45382</v>
      </c>
      <c r="H19" t="n">
        <v>18</v>
      </c>
      <c r="I19">
        <f aca="1">Godina</f>
        <v>2024</v>
      </c>
      <c r="J19" t="str">
        <f aca="1">IF(VLOOKUP($H19,INDIRECT("Lookup_"&amp;$B19),IF(LEFT($B19,2)="BS",P$2,P$1),0)="","",VLOOKUP($H19,INDIRECT("Lookup_"&amp;$B19),IF($B19="BSa",P$2,P$1),0))</f>
        <v/>
      </c>
      <c r="K19" t="str">
        <f aca="1">IF(VLOOKUP($H19,INDIRECT("Lookup_"&amp;$B19),IF(LEFT($B19,2)="BS",Q$2,Q$1),0)="","",VLOOKUP($H19,INDIRECT("Lookup_"&amp;$B19),IF($B19="BSa",Q$2,Q$1),0))</f>
        <v/>
      </c>
      <c r="L19" t="str">
        <f aca="1">IF(VLOOKUP($H19,INDIRECT("Lookup_"&amp;$B19),IF(LEFT($B19,2)="BS",R$2,R$1),0)="","",VLOOKUP($H19,INDIRECT("Lookup_"&amp;$B19),IF($B19="BSa",R$2,R$1),0))</f>
        <v/>
      </c>
      <c r="M19" s="571">
        <f aca="1">IF(VLOOKUP($H19,INDIRECT("Lookup_"&amp;$B19),IF(LEFT($B19,2)="BS",S$2,S$1),0)="","",VLOOKUP($H19,INDIRECT("Lookup_"&amp;$B19),IF(LEFT($B19,2)="BS",S$2,S$1),0))</f>
        <v>0</v>
      </c>
      <c r="N19" s="571">
        <f aca="1">IF(VLOOKUP($H19,INDIRECT("Lookup_"&amp;$B19),IF(LEFT($B19,2)="BS",S$2,S$1),0)="","",VLOOKUP($H19,INDIRECT("Lookup_"&amp;$B19),IF(LEFT($B19,2)="BS",S$2,S$1),0))</f>
        <v>0</v>
      </c>
    </row>
    <row r="20" spans="1:14">
      <c r="A20" t="n">
        <v>19</v>
      </c>
      <c r="B20" t="str">
        <f>VLOOKUP($A20,Aop!$A$2:$P$453,2,0)</f>
        <v>BSa</v>
      </c>
      <c r="C20" t="n">
        <v>25</v>
      </c>
      <c r="D20" t="str">
        <f aca="1">Podatak_MB</f>
        <v>1062280</v>
      </c>
      <c r="E20" t="str">
        <f aca="1">Podatak_JIB</f>
        <v>4400471400001</v>
      </c>
      <c r="F20" t="b">
        <f aca="1">Konsolidovan_izvjestaj</f>
        <v>0</v>
      </c>
      <c r="G20" s="20">
        <f aca="1">Datum_Broj</f>
        <v>45382</v>
      </c>
      <c r="H20" t="n">
        <v>19</v>
      </c>
      <c r="I20">
        <f aca="1">Godina</f>
        <v>2024</v>
      </c>
      <c r="J20" t="str">
        <f aca="1">IF(VLOOKUP($H20,INDIRECT("Lookup_"&amp;$B20),IF(LEFT($B20,2)="BS",P$2,P$1),0)="","",VLOOKUP($H20,INDIRECT("Lookup_"&amp;$B20),IF($B20="BSa",P$2,P$1),0))</f>
        <v/>
      </c>
      <c r="K20" t="str">
        <f aca="1">IF(VLOOKUP($H20,INDIRECT("Lookup_"&amp;$B20),IF(LEFT($B20,2)="BS",Q$2,Q$1),0)="","",VLOOKUP($H20,INDIRECT("Lookup_"&amp;$B20),IF($B20="BSa",Q$2,Q$1),0))</f>
        <v/>
      </c>
      <c r="L20" t="str">
        <f aca="1">IF(VLOOKUP($H20,INDIRECT("Lookup_"&amp;$B20),IF(LEFT($B20,2)="BS",R$2,R$1),0)="","",VLOOKUP($H20,INDIRECT("Lookup_"&amp;$B20),IF($B20="BSa",R$2,R$1),0))</f>
        <v/>
      </c>
      <c r="M20" s="571">
        <f aca="1">IF(VLOOKUP($H20,INDIRECT("Lookup_"&amp;$B20),IF(LEFT($B20,2)="BS",S$2,S$1),0)="","",VLOOKUP($H20,INDIRECT("Lookup_"&amp;$B20),IF(LEFT($B20,2)="BS",S$2,S$1),0))</f>
        <v>0</v>
      </c>
      <c r="N20" s="571">
        <f aca="1">IF(VLOOKUP($H20,INDIRECT("Lookup_"&amp;$B20),IF(LEFT($B20,2)="BS",S$2,S$1),0)="","",VLOOKUP($H20,INDIRECT("Lookup_"&amp;$B20),IF(LEFT($B20,2)="BS",S$2,S$1),0))</f>
        <v>0</v>
      </c>
    </row>
    <row r="21" spans="1:14">
      <c r="A21" t="n">
        <v>20</v>
      </c>
      <c r="B21" t="str">
        <f>VLOOKUP($A21,Aop!$A$2:$P$453,2,0)</f>
        <v>BSa</v>
      </c>
      <c r="C21" t="n">
        <v>25</v>
      </c>
      <c r="D21" t="str">
        <f aca="1">Podatak_MB</f>
        <v>1062280</v>
      </c>
      <c r="E21" t="str">
        <f aca="1">Podatak_JIB</f>
        <v>4400471400001</v>
      </c>
      <c r="F21" t="b">
        <f aca="1">Konsolidovan_izvjestaj</f>
        <v>0</v>
      </c>
      <c r="G21" s="20">
        <f aca="1">Datum_Broj</f>
        <v>45382</v>
      </c>
      <c r="H21" t="n">
        <v>20</v>
      </c>
      <c r="I21">
        <f aca="1">Godina</f>
        <v>2024</v>
      </c>
      <c r="J21" t="str">
        <f aca="1">IF(VLOOKUP($H21,INDIRECT("Lookup_"&amp;$B21),IF(LEFT($B21,2)="BS",P$2,P$1),0)="","",VLOOKUP($H21,INDIRECT("Lookup_"&amp;$B21),IF($B21="BSa",P$2,P$1),0))</f>
        <v/>
      </c>
      <c r="K21" t="str">
        <f aca="1">IF(VLOOKUP($H21,INDIRECT("Lookup_"&amp;$B21),IF(LEFT($B21,2)="BS",Q$2,Q$1),0)="","",VLOOKUP($H21,INDIRECT("Lookup_"&amp;$B21),IF($B21="BSa",Q$2,Q$1),0))</f>
        <v/>
      </c>
      <c r="L21" t="str">
        <f aca="1">IF(VLOOKUP($H21,INDIRECT("Lookup_"&amp;$B21),IF(LEFT($B21,2)="BS",R$2,R$1),0)="","",VLOOKUP($H21,INDIRECT("Lookup_"&amp;$B21),IF($B21="BSa",R$2,R$1),0))</f>
        <v/>
      </c>
      <c r="M21" s="571">
        <f aca="1">IF(VLOOKUP($H21,INDIRECT("Lookup_"&amp;$B21),IF(LEFT($B21,2)="BS",S$2,S$1),0)="","",VLOOKUP($H21,INDIRECT("Lookup_"&amp;$B21),IF(LEFT($B21,2)="BS",S$2,S$1),0))</f>
        <v>0</v>
      </c>
      <c r="N21" s="571">
        <f aca="1">IF(VLOOKUP($H21,INDIRECT("Lookup_"&amp;$B21),IF(LEFT($B21,2)="BS",S$2,S$1),0)="","",VLOOKUP($H21,INDIRECT("Lookup_"&amp;$B21),IF(LEFT($B21,2)="BS",S$2,S$1),0))</f>
        <v>0</v>
      </c>
    </row>
    <row r="22" spans="1:14">
      <c r="A22" t="n">
        <v>21</v>
      </c>
      <c r="B22" t="str">
        <f>VLOOKUP($A22,Aop!$A$2:$P$453,2,0)</f>
        <v>BSa</v>
      </c>
      <c r="C22" t="n">
        <v>25</v>
      </c>
      <c r="D22" t="str">
        <f aca="1">Podatak_MB</f>
        <v>1062280</v>
      </c>
      <c r="E22" t="str">
        <f aca="1">Podatak_JIB</f>
        <v>4400471400001</v>
      </c>
      <c r="F22" t="b">
        <f aca="1">Konsolidovan_izvjestaj</f>
        <v>0</v>
      </c>
      <c r="G22" s="20">
        <f aca="1">Datum_Broj</f>
        <v>45382</v>
      </c>
      <c r="H22" t="n">
        <v>21</v>
      </c>
      <c r="I22">
        <f aca="1">Godina</f>
        <v>2024</v>
      </c>
      <c r="J22" t="str">
        <f aca="1">IF(VLOOKUP($H22,INDIRECT("Lookup_"&amp;$B22),IF(LEFT($B22,2)="BS",P$2,P$1),0)="","",VLOOKUP($H22,INDIRECT("Lookup_"&amp;$B22),IF($B22="BSa",P$2,P$1),0))</f>
        <v/>
      </c>
      <c r="K22" t="str">
        <f aca="1">IF(VLOOKUP($H22,INDIRECT("Lookup_"&amp;$B22),IF(LEFT($B22,2)="BS",Q$2,Q$1),0)="","",VLOOKUP($H22,INDIRECT("Lookup_"&amp;$B22),IF($B22="BSa",Q$2,Q$1),0))</f>
        <v/>
      </c>
      <c r="L22" t="str">
        <f aca="1">IF(VLOOKUP($H22,INDIRECT("Lookup_"&amp;$B22),IF(LEFT($B22,2)="BS",R$2,R$1),0)="","",VLOOKUP($H22,INDIRECT("Lookup_"&amp;$B22),IF($B22="BSa",R$2,R$1),0))</f>
        <v/>
      </c>
      <c r="M22" s="571">
        <f aca="1">IF(VLOOKUP($H22,INDIRECT("Lookup_"&amp;$B22),IF(LEFT($B22,2)="BS",S$2,S$1),0)="","",VLOOKUP($H22,INDIRECT("Lookup_"&amp;$B22),IF(LEFT($B22,2)="BS",S$2,S$1),0))</f>
        <v>0</v>
      </c>
      <c r="N22" s="571">
        <f aca="1">IF(VLOOKUP($H22,INDIRECT("Lookup_"&amp;$B22),IF(LEFT($B22,2)="BS",S$2,S$1),0)="","",VLOOKUP($H22,INDIRECT("Lookup_"&amp;$B22),IF(LEFT($B22,2)="BS",S$2,S$1),0))</f>
        <v>0</v>
      </c>
    </row>
    <row r="23" spans="1:14">
      <c r="A23" t="n">
        <v>22</v>
      </c>
      <c r="B23" t="str">
        <f>VLOOKUP($A23,Aop!$A$2:$P$453,2,0)</f>
        <v>BSa</v>
      </c>
      <c r="C23" t="n">
        <v>25</v>
      </c>
      <c r="D23" t="str">
        <f aca="1">Podatak_MB</f>
        <v>1062280</v>
      </c>
      <c r="E23" t="str">
        <f aca="1">Podatak_JIB</f>
        <v>4400471400001</v>
      </c>
      <c r="F23" t="b">
        <f aca="1">Konsolidovan_izvjestaj</f>
        <v>0</v>
      </c>
      <c r="G23" s="20">
        <f aca="1">Datum_Broj</f>
        <v>45382</v>
      </c>
      <c r="H23" t="n">
        <v>22</v>
      </c>
      <c r="I23">
        <f aca="1">Godina</f>
        <v>2024</v>
      </c>
      <c r="J23" t="str">
        <f aca="1">IF(VLOOKUP($H23,INDIRECT("Lookup_"&amp;$B23),IF(LEFT($B23,2)="BS",P$2,P$1),0)="","",VLOOKUP($H23,INDIRECT("Lookup_"&amp;$B23),IF($B23="BSa",P$2,P$1),0))</f>
        <v/>
      </c>
      <c r="K23" s="571">
        <f aca="1">IF(VLOOKUP($H23,INDIRECT("Lookup_"&amp;$B23),IF(LEFT($B23,2)="BS",Q$2,Q$1),0)="","",VLOOKUP($H23,INDIRECT("Lookup_"&amp;$B23),IF($B23="BSa",Q$2,Q$1),0))</f>
        <v>0</v>
      </c>
      <c r="L23" s="571">
        <f aca="1">IF(VLOOKUP($H23,INDIRECT("Lookup_"&amp;$B23),IF(LEFT($B23,2)="BS",R$2,R$1),0)="","",VLOOKUP($H23,INDIRECT("Lookup_"&amp;$B23),IF($B23="BSa",R$2,R$1),0))</f>
        <v>0</v>
      </c>
      <c r="M23" s="571">
        <f aca="1">IF(VLOOKUP($H23,INDIRECT("Lookup_"&amp;$B23),IF(LEFT($B23,2)="BS",S$2,S$1),0)="","",VLOOKUP($H23,INDIRECT("Lookup_"&amp;$B23),IF(LEFT($B23,2)="BS",S$2,S$1),0))</f>
        <v>0</v>
      </c>
      <c r="N23" s="571">
        <f aca="1">IF(VLOOKUP($H23,INDIRECT("Lookup_"&amp;$B23),IF(LEFT($B23,2)="BS",S$2,S$1),0)="","",VLOOKUP($H23,INDIRECT("Lookup_"&amp;$B23),IF(LEFT($B23,2)="BS",S$2,S$1),0))</f>
        <v>0</v>
      </c>
    </row>
    <row r="24" spans="1:14">
      <c r="A24" t="n">
        <v>23</v>
      </c>
      <c r="B24" t="str">
        <f>VLOOKUP($A24,Aop!$A$2:$P$453,2,0)</f>
        <v>BSa</v>
      </c>
      <c r="C24" t="n">
        <v>25</v>
      </c>
      <c r="D24" t="str">
        <f aca="1">Podatak_MB</f>
        <v>1062280</v>
      </c>
      <c r="E24" t="str">
        <f aca="1">Podatak_JIB</f>
        <v>4400471400001</v>
      </c>
      <c r="F24" t="b">
        <f aca="1">Konsolidovan_izvjestaj</f>
        <v>0</v>
      </c>
      <c r="G24" s="20">
        <f aca="1">Datum_Broj</f>
        <v>45382</v>
      </c>
      <c r="H24" t="n">
        <v>23</v>
      </c>
      <c r="I24">
        <f aca="1">Godina</f>
        <v>2024</v>
      </c>
      <c r="J24" t="str">
        <f aca="1">IF(VLOOKUP($H24,INDIRECT("Lookup_"&amp;$B24),IF(LEFT($B24,2)="BS",P$2,P$1),0)="","",VLOOKUP($H24,INDIRECT("Lookup_"&amp;$B24),IF($B24="BSa",P$2,P$1),0))</f>
        <v/>
      </c>
      <c r="K24" t="str">
        <f aca="1">IF(VLOOKUP($H24,INDIRECT("Lookup_"&amp;$B24),IF(LEFT($B24,2)="BS",Q$2,Q$1),0)="","",VLOOKUP($H24,INDIRECT("Lookup_"&amp;$B24),IF($B24="BSa",Q$2,Q$1),0))</f>
        <v/>
      </c>
      <c r="L24" t="str">
        <f aca="1">IF(VLOOKUP($H24,INDIRECT("Lookup_"&amp;$B24),IF(LEFT($B24,2)="BS",R$2,R$1),0)="","",VLOOKUP($H24,INDIRECT("Lookup_"&amp;$B24),IF($B24="BSa",R$2,R$1),0))</f>
        <v/>
      </c>
      <c r="M24" s="571">
        <f aca="1">IF(VLOOKUP($H24,INDIRECT("Lookup_"&amp;$B24),IF(LEFT($B24,2)="BS",S$2,S$1),0)="","",VLOOKUP($H24,INDIRECT("Lookup_"&amp;$B24),IF(LEFT($B24,2)="BS",S$2,S$1),0))</f>
        <v>0</v>
      </c>
      <c r="N24" s="571">
        <f aca="1">IF(VLOOKUP($H24,INDIRECT("Lookup_"&amp;$B24),IF(LEFT($B24,2)="BS",S$2,S$1),0)="","",VLOOKUP($H24,INDIRECT("Lookup_"&amp;$B24),IF(LEFT($B24,2)="BS",S$2,S$1),0))</f>
        <v>0</v>
      </c>
    </row>
    <row r="25" spans="1:14">
      <c r="A25" t="n">
        <v>24</v>
      </c>
      <c r="B25" t="str">
        <f>VLOOKUP($A25,Aop!$A$2:$P$453,2,0)</f>
        <v>BSa</v>
      </c>
      <c r="C25" t="n">
        <v>25</v>
      </c>
      <c r="D25" t="str">
        <f aca="1">Podatak_MB</f>
        <v>1062280</v>
      </c>
      <c r="E25" t="str">
        <f aca="1">Podatak_JIB</f>
        <v>4400471400001</v>
      </c>
      <c r="F25" t="b">
        <f aca="1">Konsolidovan_izvjestaj</f>
        <v>0</v>
      </c>
      <c r="G25" s="20">
        <f aca="1">Datum_Broj</f>
        <v>45382</v>
      </c>
      <c r="H25" t="n">
        <v>24</v>
      </c>
      <c r="I25">
        <f aca="1">Godina</f>
        <v>2024</v>
      </c>
      <c r="J25" t="str">
        <f aca="1">IF(VLOOKUP($H25,INDIRECT("Lookup_"&amp;$B25),IF(LEFT($B25,2)="BS",P$2,P$1),0)="","",VLOOKUP($H25,INDIRECT("Lookup_"&amp;$B25),IF($B25="BSa",P$2,P$1),0))</f>
        <v/>
      </c>
      <c r="K25" t="str">
        <f aca="1">IF(VLOOKUP($H25,INDIRECT("Lookup_"&amp;$B25),IF(LEFT($B25,2)="BS",Q$2,Q$1),0)="","",VLOOKUP($H25,INDIRECT("Lookup_"&amp;$B25),IF($B25="BSa",Q$2,Q$1),0))</f>
        <v/>
      </c>
      <c r="L25" t="str">
        <f aca="1">IF(VLOOKUP($H25,INDIRECT("Lookup_"&amp;$B25),IF(LEFT($B25,2)="BS",R$2,R$1),0)="","",VLOOKUP($H25,INDIRECT("Lookup_"&amp;$B25),IF($B25="BSa",R$2,R$1),0))</f>
        <v/>
      </c>
      <c r="M25" s="571">
        <f aca="1">IF(VLOOKUP($H25,INDIRECT("Lookup_"&amp;$B25),IF(LEFT($B25,2)="BS",S$2,S$1),0)="","",VLOOKUP($H25,INDIRECT("Lookup_"&amp;$B25),IF(LEFT($B25,2)="BS",S$2,S$1),0))</f>
        <v>0</v>
      </c>
      <c r="N25" s="571">
        <f aca="1">IF(VLOOKUP($H25,INDIRECT("Lookup_"&amp;$B25),IF(LEFT($B25,2)="BS",S$2,S$1),0)="","",VLOOKUP($H25,INDIRECT("Lookup_"&amp;$B25),IF(LEFT($B25,2)="BS",S$2,S$1),0))</f>
        <v>0</v>
      </c>
    </row>
    <row r="26" spans="1:14">
      <c r="A26" t="n">
        <v>25</v>
      </c>
      <c r="B26" t="str">
        <f>VLOOKUP($A26,Aop!$A$2:$P$453,2,0)</f>
        <v>BSa</v>
      </c>
      <c r="C26" t="n">
        <v>25</v>
      </c>
      <c r="D26" t="str">
        <f aca="1">Podatak_MB</f>
        <v>1062280</v>
      </c>
      <c r="E26" t="str">
        <f aca="1">Podatak_JIB</f>
        <v>4400471400001</v>
      </c>
      <c r="F26" t="b">
        <f aca="1">Konsolidovan_izvjestaj</f>
        <v>0</v>
      </c>
      <c r="G26" s="20">
        <f aca="1">Datum_Broj</f>
        <v>45382</v>
      </c>
      <c r="H26" t="n">
        <v>25</v>
      </c>
      <c r="I26">
        <f aca="1">Godina</f>
        <v>2024</v>
      </c>
      <c r="J26" t="str">
        <f aca="1">IF(VLOOKUP($H26,INDIRECT("Lookup_"&amp;$B26),IF(LEFT($B26,2)="BS",P$2,P$1),0)="","",VLOOKUP($H26,INDIRECT("Lookup_"&amp;$B26),IF($B26="BSa",P$2,P$1),0))</f>
        <v/>
      </c>
      <c r="K26" s="571">
        <f aca="1">IF(VLOOKUP($H26,INDIRECT("Lookup_"&amp;$B26),IF(LEFT($B26,2)="BS",Q$2,Q$1),0)="","",VLOOKUP($H26,INDIRECT("Lookup_"&amp;$B26),IF($B26="BSa",Q$2,Q$1),0))</f>
        <v>0</v>
      </c>
      <c r="L26" s="571">
        <f aca="1">IF(VLOOKUP($H26,INDIRECT("Lookup_"&amp;$B26),IF(LEFT($B26,2)="BS",R$2,R$1),0)="","",VLOOKUP($H26,INDIRECT("Lookup_"&amp;$B26),IF($B26="BSa",R$2,R$1),0))</f>
        <v>0</v>
      </c>
      <c r="M26" s="571">
        <f aca="1">IF(VLOOKUP($H26,INDIRECT("Lookup_"&amp;$B26),IF(LEFT($B26,2)="BS",S$2,S$1),0)="","",VLOOKUP($H26,INDIRECT("Lookup_"&amp;$B26),IF(LEFT($B26,2)="BS",S$2,S$1),0))</f>
        <v>0</v>
      </c>
      <c r="N26" s="571">
        <f aca="1">IF(VLOOKUP($H26,INDIRECT("Lookup_"&amp;$B26),IF(LEFT($B26,2)="BS",S$2,S$1),0)="","",VLOOKUP($H26,INDIRECT("Lookup_"&amp;$B26),IF(LEFT($B26,2)="BS",S$2,S$1),0))</f>
        <v>0</v>
      </c>
    </row>
    <row r="27" spans="1:14">
      <c r="A27" t="n">
        <v>26</v>
      </c>
      <c r="B27" t="str">
        <f>VLOOKUP($A27,Aop!$A$2:$P$453,2,0)</f>
        <v>BSa</v>
      </c>
      <c r="C27" t="n">
        <v>25</v>
      </c>
      <c r="D27" t="str">
        <f aca="1">Podatak_MB</f>
        <v>1062280</v>
      </c>
      <c r="E27" t="str">
        <f aca="1">Podatak_JIB</f>
        <v>4400471400001</v>
      </c>
      <c r="F27" t="b">
        <f aca="1">Konsolidovan_izvjestaj</f>
        <v>0</v>
      </c>
      <c r="G27" s="20">
        <f aca="1">Datum_Broj</f>
        <v>45382</v>
      </c>
      <c r="H27" t="n">
        <v>26</v>
      </c>
      <c r="I27">
        <f aca="1">Godina</f>
        <v>2024</v>
      </c>
      <c r="J27" t="str">
        <f aca="1">IF(VLOOKUP($H27,INDIRECT("Lookup_"&amp;$B27),IF(LEFT($B27,2)="BS",P$2,P$1),0)="","",VLOOKUP($H27,INDIRECT("Lookup_"&amp;$B27),IF($B27="BSa",P$2,P$1),0))</f>
        <v/>
      </c>
      <c r="K27" t="str">
        <f aca="1">IF(VLOOKUP($H27,INDIRECT("Lookup_"&amp;$B27),IF(LEFT($B27,2)="BS",Q$2,Q$1),0)="","",VLOOKUP($H27,INDIRECT("Lookup_"&amp;$B27),IF($B27="BSa",Q$2,Q$1),0))</f>
        <v/>
      </c>
      <c r="L27" t="str">
        <f aca="1">IF(VLOOKUP($H27,INDIRECT("Lookup_"&amp;$B27),IF(LEFT($B27,2)="BS",R$2,R$1),0)="","",VLOOKUP($H27,INDIRECT("Lookup_"&amp;$B27),IF($B27="BSa",R$2,R$1),0))</f>
        <v/>
      </c>
      <c r="M27" s="571">
        <f aca="1">IF(VLOOKUP($H27,INDIRECT("Lookup_"&amp;$B27),IF(LEFT($B27,2)="BS",S$2,S$1),0)="","",VLOOKUP($H27,INDIRECT("Lookup_"&amp;$B27),IF(LEFT($B27,2)="BS",S$2,S$1),0))</f>
        <v>0</v>
      </c>
      <c r="N27" s="571">
        <f aca="1">IF(VLOOKUP($H27,INDIRECT("Lookup_"&amp;$B27),IF(LEFT($B27,2)="BS",S$2,S$1),0)="","",VLOOKUP($H27,INDIRECT("Lookup_"&amp;$B27),IF(LEFT($B27,2)="BS",S$2,S$1),0))</f>
        <v>0</v>
      </c>
    </row>
    <row r="28" spans="1:14">
      <c r="A28" t="n">
        <v>27</v>
      </c>
      <c r="B28" t="str">
        <f>VLOOKUP($A28,Aop!$A$2:$P$453,2,0)</f>
        <v>BSa</v>
      </c>
      <c r="C28" t="n">
        <v>25</v>
      </c>
      <c r="D28" t="str">
        <f aca="1">Podatak_MB</f>
        <v>1062280</v>
      </c>
      <c r="E28" t="str">
        <f aca="1">Podatak_JIB</f>
        <v>4400471400001</v>
      </c>
      <c r="F28" t="b">
        <f aca="1">Konsolidovan_izvjestaj</f>
        <v>0</v>
      </c>
      <c r="G28" s="20">
        <f aca="1">Datum_Broj</f>
        <v>45382</v>
      </c>
      <c r="H28" t="n">
        <v>27</v>
      </c>
      <c r="I28">
        <f aca="1">Godina</f>
        <v>2024</v>
      </c>
      <c r="J28" t="str">
        <f aca="1">IF(VLOOKUP($H28,INDIRECT("Lookup_"&amp;$B28),IF(LEFT($B28,2)="BS",P$2,P$1),0)="","",VLOOKUP($H28,INDIRECT("Lookup_"&amp;$B28),IF($B28="BSa",P$2,P$1),0))</f>
        <v/>
      </c>
      <c r="K28" t="str">
        <f aca="1">IF(VLOOKUP($H28,INDIRECT("Lookup_"&amp;$B28),IF(LEFT($B28,2)="BS",Q$2,Q$1),0)="","",VLOOKUP($H28,INDIRECT("Lookup_"&amp;$B28),IF($B28="BSa",Q$2,Q$1),0))</f>
        <v/>
      </c>
      <c r="L28" t="str">
        <f aca="1">IF(VLOOKUP($H28,INDIRECT("Lookup_"&amp;$B28),IF(LEFT($B28,2)="BS",R$2,R$1),0)="","",VLOOKUP($H28,INDIRECT("Lookup_"&amp;$B28),IF($B28="BSa",R$2,R$1),0))</f>
        <v/>
      </c>
      <c r="M28" s="571">
        <f aca="1">IF(VLOOKUP($H28,INDIRECT("Lookup_"&amp;$B28),IF(LEFT($B28,2)="BS",S$2,S$1),0)="","",VLOOKUP($H28,INDIRECT("Lookup_"&amp;$B28),IF(LEFT($B28,2)="BS",S$2,S$1),0))</f>
        <v>0</v>
      </c>
      <c r="N28" s="571">
        <f aca="1">IF(VLOOKUP($H28,INDIRECT("Lookup_"&amp;$B28),IF(LEFT($B28,2)="BS",S$2,S$1),0)="","",VLOOKUP($H28,INDIRECT("Lookup_"&amp;$B28),IF(LEFT($B28,2)="BS",S$2,S$1),0))</f>
        <v>0</v>
      </c>
    </row>
    <row r="29" spans="1:14">
      <c r="A29" t="n">
        <v>28</v>
      </c>
      <c r="B29" t="str">
        <f>VLOOKUP($A29,Aop!$A$2:$P$453,2,0)</f>
        <v>BSa</v>
      </c>
      <c r="C29" t="n">
        <v>25</v>
      </c>
      <c r="D29" t="str">
        <f aca="1">Podatak_MB</f>
        <v>1062280</v>
      </c>
      <c r="E29" t="str">
        <f aca="1">Podatak_JIB</f>
        <v>4400471400001</v>
      </c>
      <c r="F29" t="b">
        <f aca="1">Konsolidovan_izvjestaj</f>
        <v>0</v>
      </c>
      <c r="G29" s="20">
        <f aca="1">Datum_Broj</f>
        <v>45382</v>
      </c>
      <c r="H29" t="n">
        <v>28</v>
      </c>
      <c r="I29">
        <f aca="1">Godina</f>
        <v>2024</v>
      </c>
      <c r="J29" t="str">
        <f aca="1">IF(VLOOKUP($H29,INDIRECT("Lookup_"&amp;$B29),IF(LEFT($B29,2)="BS",P$2,P$1),0)="","",VLOOKUP($H29,INDIRECT("Lookup_"&amp;$B29),IF($B29="BSa",P$2,P$1),0))</f>
        <v/>
      </c>
      <c r="K29" t="str">
        <f aca="1">IF(VLOOKUP($H29,INDIRECT("Lookup_"&amp;$B29),IF(LEFT($B29,2)="BS",Q$2,Q$1),0)="","",VLOOKUP($H29,INDIRECT("Lookup_"&amp;$B29),IF($B29="BSa",Q$2,Q$1),0))</f>
        <v/>
      </c>
      <c r="L29" t="str">
        <f aca="1">IF(VLOOKUP($H29,INDIRECT("Lookup_"&amp;$B29),IF(LEFT($B29,2)="BS",R$2,R$1),0)="","",VLOOKUP($H29,INDIRECT("Lookup_"&amp;$B29),IF($B29="BSa",R$2,R$1),0))</f>
        <v/>
      </c>
      <c r="M29" s="571">
        <f aca="1">IF(VLOOKUP($H29,INDIRECT("Lookup_"&amp;$B29),IF(LEFT($B29,2)="BS",S$2,S$1),0)="","",VLOOKUP($H29,INDIRECT("Lookup_"&amp;$B29),IF(LEFT($B29,2)="BS",S$2,S$1),0))</f>
        <v>0</v>
      </c>
      <c r="N29" s="571">
        <f aca="1">IF(VLOOKUP($H29,INDIRECT("Lookup_"&amp;$B29),IF(LEFT($B29,2)="BS",S$2,S$1),0)="","",VLOOKUP($H29,INDIRECT("Lookup_"&amp;$B29),IF(LEFT($B29,2)="BS",S$2,S$1),0))</f>
        <v>0</v>
      </c>
    </row>
    <row r="30" spans="1:14">
      <c r="A30" t="n">
        <v>29</v>
      </c>
      <c r="B30" t="str">
        <f>VLOOKUP($A30,Aop!$A$2:$P$453,2,0)</f>
        <v>BSa</v>
      </c>
      <c r="C30" t="n">
        <v>25</v>
      </c>
      <c r="D30" t="str">
        <f aca="1">Podatak_MB</f>
        <v>1062280</v>
      </c>
      <c r="E30" t="str">
        <f aca="1">Podatak_JIB</f>
        <v>4400471400001</v>
      </c>
      <c r="F30" t="b">
        <f aca="1">Konsolidovan_izvjestaj</f>
        <v>0</v>
      </c>
      <c r="G30" s="20">
        <f aca="1">Datum_Broj</f>
        <v>45382</v>
      </c>
      <c r="H30" t="n">
        <v>29</v>
      </c>
      <c r="I30">
        <f aca="1">Godina</f>
        <v>2024</v>
      </c>
      <c r="J30" t="str">
        <f aca="1">IF(VLOOKUP($H30,INDIRECT("Lookup_"&amp;$B30),IF(LEFT($B30,2)="BS",P$2,P$1),0)="","",VLOOKUP($H30,INDIRECT("Lookup_"&amp;$B30),IF($B30="BSa",P$2,P$1),0))</f>
        <v/>
      </c>
      <c r="K30" t="str">
        <f aca="1">IF(VLOOKUP($H30,INDIRECT("Lookup_"&amp;$B30),IF(LEFT($B30,2)="BS",Q$2,Q$1),0)="","",VLOOKUP($H30,INDIRECT("Lookup_"&amp;$B30),IF($B30="BSa",Q$2,Q$1),0))</f>
        <v/>
      </c>
      <c r="L30" t="str">
        <f aca="1">IF(VLOOKUP($H30,INDIRECT("Lookup_"&amp;$B30),IF(LEFT($B30,2)="BS",R$2,R$1),0)="","",VLOOKUP($H30,INDIRECT("Lookup_"&amp;$B30),IF($B30="BSa",R$2,R$1),0))</f>
        <v/>
      </c>
      <c r="M30" s="571">
        <f aca="1">IF(VLOOKUP($H30,INDIRECT("Lookup_"&amp;$B30),IF(LEFT($B30,2)="BS",S$2,S$1),0)="","",VLOOKUP($H30,INDIRECT("Lookup_"&amp;$B30),IF(LEFT($B30,2)="BS",S$2,S$1),0))</f>
        <v>0</v>
      </c>
      <c r="N30" s="571">
        <f aca="1">IF(VLOOKUP($H30,INDIRECT("Lookup_"&amp;$B30),IF(LEFT($B30,2)="BS",S$2,S$1),0)="","",VLOOKUP($H30,INDIRECT("Lookup_"&amp;$B30),IF(LEFT($B30,2)="BS",S$2,S$1),0))</f>
        <v>0</v>
      </c>
    </row>
    <row r="31" spans="1:14">
      <c r="A31" t="n">
        <v>30</v>
      </c>
      <c r="B31" t="str">
        <f>VLOOKUP($A31,Aop!$A$2:$P$453,2,0)</f>
        <v>BSa</v>
      </c>
      <c r="C31" t="n">
        <v>25</v>
      </c>
      <c r="D31" t="str">
        <f aca="1">Podatak_MB</f>
        <v>1062280</v>
      </c>
      <c r="E31" t="str">
        <f aca="1">Podatak_JIB</f>
        <v>4400471400001</v>
      </c>
      <c r="F31" t="b">
        <f aca="1">Konsolidovan_izvjestaj</f>
        <v>0</v>
      </c>
      <c r="G31" s="20">
        <f aca="1">Datum_Broj</f>
        <v>45382</v>
      </c>
      <c r="H31" t="n">
        <v>30</v>
      </c>
      <c r="I31">
        <f aca="1">Godina</f>
        <v>2024</v>
      </c>
      <c r="J31" t="str">
        <f aca="1">IF(VLOOKUP($H31,INDIRECT("Lookup_"&amp;$B31),IF(LEFT($B31,2)="BS",P$2,P$1),0)="","",VLOOKUP($H31,INDIRECT("Lookup_"&amp;$B31),IF($B31="BSa",P$2,P$1),0))</f>
        <v/>
      </c>
      <c r="K31" s="571">
        <f aca="1">IF(VLOOKUP($H31,INDIRECT("Lookup_"&amp;$B31),IF(LEFT($B31,2)="BS",Q$2,Q$1),0)="","",VLOOKUP($H31,INDIRECT("Lookup_"&amp;$B31),IF($B31="BSa",Q$2,Q$1),0))</f>
        <v>0</v>
      </c>
      <c r="L31" s="571">
        <f aca="1">IF(VLOOKUP($H31,INDIRECT("Lookup_"&amp;$B31),IF(LEFT($B31,2)="BS",R$2,R$1),0)="","",VLOOKUP($H31,INDIRECT("Lookup_"&amp;$B31),IF($B31="BSa",R$2,R$1),0))</f>
        <v>0</v>
      </c>
      <c r="M31" s="571">
        <f aca="1">IF(VLOOKUP($H31,INDIRECT("Lookup_"&amp;$B31),IF(LEFT($B31,2)="BS",S$2,S$1),0)="","",VLOOKUP($H31,INDIRECT("Lookup_"&amp;$B31),IF(LEFT($B31,2)="BS",S$2,S$1),0))</f>
        <v>0</v>
      </c>
      <c r="N31" s="571">
        <f aca="1">IF(VLOOKUP($H31,INDIRECT("Lookup_"&amp;$B31),IF(LEFT($B31,2)="BS",S$2,S$1),0)="","",VLOOKUP($H31,INDIRECT("Lookup_"&amp;$B31),IF(LEFT($B31,2)="BS",S$2,S$1),0))</f>
        <v>0</v>
      </c>
    </row>
    <row r="32" spans="1:14">
      <c r="A32" t="n">
        <v>31</v>
      </c>
      <c r="B32" t="str">
        <f>VLOOKUP($A32,Aop!$A$2:$P$453,2,0)</f>
        <v>BSa</v>
      </c>
      <c r="C32" t="n">
        <v>25</v>
      </c>
      <c r="D32" t="str">
        <f aca="1">Podatak_MB</f>
        <v>1062280</v>
      </c>
      <c r="E32" t="str">
        <f aca="1">Podatak_JIB</f>
        <v>4400471400001</v>
      </c>
      <c r="F32" t="b">
        <f aca="1">Konsolidovan_izvjestaj</f>
        <v>0</v>
      </c>
      <c r="G32" s="20">
        <f aca="1">Datum_Broj</f>
        <v>45382</v>
      </c>
      <c r="H32" t="n">
        <v>31</v>
      </c>
      <c r="I32">
        <f aca="1">Godina</f>
        <v>2024</v>
      </c>
      <c r="J32" t="str">
        <f aca="1">IF(VLOOKUP($H32,INDIRECT("Lookup_"&amp;$B32),IF(LEFT($B32,2)="BS",P$2,P$1),0)="","",VLOOKUP($H32,INDIRECT("Lookup_"&amp;$B32),IF($B32="BSa",P$2,P$1),0))</f>
        <v/>
      </c>
      <c r="K32" t="str">
        <f aca="1">IF(VLOOKUP($H32,INDIRECT("Lookup_"&amp;$B32),IF(LEFT($B32,2)="BS",Q$2,Q$1),0)="","",VLOOKUP($H32,INDIRECT("Lookup_"&amp;$B32),IF($B32="BSa",Q$2,Q$1),0))</f>
        <v/>
      </c>
      <c r="L32" t="str">
        <f aca="1">IF(VLOOKUP($H32,INDIRECT("Lookup_"&amp;$B32),IF(LEFT($B32,2)="BS",R$2,R$1),0)="","",VLOOKUP($H32,INDIRECT("Lookup_"&amp;$B32),IF($B32="BSa",R$2,R$1),0))</f>
        <v/>
      </c>
      <c r="M32" s="571">
        <f aca="1">IF(VLOOKUP($H32,INDIRECT("Lookup_"&amp;$B32),IF(LEFT($B32,2)="BS",S$2,S$1),0)="","",VLOOKUP($H32,INDIRECT("Lookup_"&amp;$B32),IF(LEFT($B32,2)="BS",S$2,S$1),0))</f>
        <v>0</v>
      </c>
      <c r="N32" s="571">
        <f aca="1">IF(VLOOKUP($H32,INDIRECT("Lookup_"&amp;$B32),IF(LEFT($B32,2)="BS",S$2,S$1),0)="","",VLOOKUP($H32,INDIRECT("Lookup_"&amp;$B32),IF(LEFT($B32,2)="BS",S$2,S$1),0))</f>
        <v>0</v>
      </c>
    </row>
    <row r="33" spans="1:14">
      <c r="A33" t="n">
        <v>32</v>
      </c>
      <c r="B33" t="str">
        <f>VLOOKUP($A33,Aop!$A$2:$P$453,2,0)</f>
        <v>BSa</v>
      </c>
      <c r="C33" t="n">
        <v>25</v>
      </c>
      <c r="D33" t="str">
        <f aca="1">Podatak_MB</f>
        <v>1062280</v>
      </c>
      <c r="E33" t="str">
        <f aca="1">Podatak_JIB</f>
        <v>4400471400001</v>
      </c>
      <c r="F33" t="b">
        <f aca="1">Konsolidovan_izvjestaj</f>
        <v>0</v>
      </c>
      <c r="G33" s="20">
        <f aca="1">Datum_Broj</f>
        <v>45382</v>
      </c>
      <c r="H33" t="n">
        <v>32</v>
      </c>
      <c r="I33">
        <f aca="1">Godina</f>
        <v>2024</v>
      </c>
      <c r="J33" t="str">
        <f aca="1">IF(VLOOKUP($H33,INDIRECT("Lookup_"&amp;$B33),IF(LEFT($B33,2)="BS",P$2,P$1),0)="","",VLOOKUP($H33,INDIRECT("Lookup_"&amp;$B33),IF($B33="BSa",P$2,P$1),0))</f>
        <v/>
      </c>
      <c r="K33" t="str">
        <f aca="1">IF(VLOOKUP($H33,INDIRECT("Lookup_"&amp;$B33),IF(LEFT($B33,2)="BS",Q$2,Q$1),0)="","",VLOOKUP($H33,INDIRECT("Lookup_"&amp;$B33),IF($B33="BSa",Q$2,Q$1),0))</f>
        <v/>
      </c>
      <c r="L33" t="str">
        <f aca="1">IF(VLOOKUP($H33,INDIRECT("Lookup_"&amp;$B33),IF(LEFT($B33,2)="BS",R$2,R$1),0)="","",VLOOKUP($H33,INDIRECT("Lookup_"&amp;$B33),IF($B33="BSa",R$2,R$1),0))</f>
        <v/>
      </c>
      <c r="M33" s="571">
        <f aca="1">IF(VLOOKUP($H33,INDIRECT("Lookup_"&amp;$B33),IF(LEFT($B33,2)="BS",S$2,S$1),0)="","",VLOOKUP($H33,INDIRECT("Lookup_"&amp;$B33),IF(LEFT($B33,2)="BS",S$2,S$1),0))</f>
        <v>0</v>
      </c>
      <c r="N33" s="571">
        <f aca="1">IF(VLOOKUP($H33,INDIRECT("Lookup_"&amp;$B33),IF(LEFT($B33,2)="BS",S$2,S$1),0)="","",VLOOKUP($H33,INDIRECT("Lookup_"&amp;$B33),IF(LEFT($B33,2)="BS",S$2,S$1),0))</f>
        <v>0</v>
      </c>
    </row>
    <row r="34" spans="1:14">
      <c r="A34" t="n">
        <v>33</v>
      </c>
      <c r="B34" t="str">
        <f>VLOOKUP($A34,Aop!$A$2:$P$453,2,0)</f>
        <v>BSa</v>
      </c>
      <c r="C34" t="n">
        <v>25</v>
      </c>
      <c r="D34" t="str">
        <f aca="1">Podatak_MB</f>
        <v>1062280</v>
      </c>
      <c r="E34" t="str">
        <f aca="1">Podatak_JIB</f>
        <v>4400471400001</v>
      </c>
      <c r="F34" t="b">
        <f aca="1">Konsolidovan_izvjestaj</f>
        <v>0</v>
      </c>
      <c r="G34" s="20">
        <f aca="1">Datum_Broj</f>
        <v>45382</v>
      </c>
      <c r="H34" t="n">
        <v>33</v>
      </c>
      <c r="I34">
        <f aca="1">Godina</f>
        <v>2024</v>
      </c>
      <c r="J34" t="str">
        <f aca="1">IF(VLOOKUP($H34,INDIRECT("Lookup_"&amp;$B34),IF(LEFT($B34,2)="BS",P$2,P$1),0)="","",VLOOKUP($H34,INDIRECT("Lookup_"&amp;$B34),IF($B34="BSa",P$2,P$1),0))</f>
        <v/>
      </c>
      <c r="K34" t="str">
        <f aca="1">IF(VLOOKUP($H34,INDIRECT("Lookup_"&amp;$B34),IF(LEFT($B34,2)="BS",Q$2,Q$1),0)="","",VLOOKUP($H34,INDIRECT("Lookup_"&amp;$B34),IF($B34="BSa",Q$2,Q$1),0))</f>
        <v/>
      </c>
      <c r="L34" t="str">
        <f aca="1">IF(VLOOKUP($H34,INDIRECT("Lookup_"&amp;$B34),IF(LEFT($B34,2)="BS",R$2,R$1),0)="","",VLOOKUP($H34,INDIRECT("Lookup_"&amp;$B34),IF($B34="BSa",R$2,R$1),0))</f>
        <v/>
      </c>
      <c r="M34" s="571">
        <f aca="1">IF(VLOOKUP($H34,INDIRECT("Lookup_"&amp;$B34),IF(LEFT($B34,2)="BS",S$2,S$1),0)="","",VLOOKUP($H34,INDIRECT("Lookup_"&amp;$B34),IF(LEFT($B34,2)="BS",S$2,S$1),0))</f>
        <v>0</v>
      </c>
      <c r="N34" s="571">
        <f aca="1">IF(VLOOKUP($H34,INDIRECT("Lookup_"&amp;$B34),IF(LEFT($B34,2)="BS",S$2,S$1),0)="","",VLOOKUP($H34,INDIRECT("Lookup_"&amp;$B34),IF(LEFT($B34,2)="BS",S$2,S$1),0))</f>
        <v>0</v>
      </c>
    </row>
    <row r="35" spans="1:14">
      <c r="A35" t="n">
        <v>34</v>
      </c>
      <c r="B35" t="str">
        <f>VLOOKUP($A35,Aop!$A$2:$P$453,2,0)</f>
        <v>BSa</v>
      </c>
      <c r="C35" t="n">
        <v>25</v>
      </c>
      <c r="D35" t="str">
        <f aca="1">Podatak_MB</f>
        <v>1062280</v>
      </c>
      <c r="E35" t="str">
        <f aca="1">Podatak_JIB</f>
        <v>4400471400001</v>
      </c>
      <c r="F35" t="b">
        <f aca="1">Konsolidovan_izvjestaj</f>
        <v>0</v>
      </c>
      <c r="G35" s="20">
        <f aca="1">Datum_Broj</f>
        <v>45382</v>
      </c>
      <c r="H35" t="n">
        <v>34</v>
      </c>
      <c r="I35">
        <f aca="1">Godina</f>
        <v>2024</v>
      </c>
      <c r="J35" t="str">
        <f aca="1">IF(VLOOKUP($H35,INDIRECT("Lookup_"&amp;$B35),IF(LEFT($B35,2)="BS",P$2,P$1),0)="","",VLOOKUP($H35,INDIRECT("Lookup_"&amp;$B35),IF($B35="BSa",P$2,P$1),0))</f>
        <v/>
      </c>
      <c r="K35" t="str">
        <f aca="1">IF(VLOOKUP($H35,INDIRECT("Lookup_"&amp;$B35),IF(LEFT($B35,2)="BS",Q$2,Q$1),0)="","",VLOOKUP($H35,INDIRECT("Lookup_"&amp;$B35),IF($B35="BSa",Q$2,Q$1),0))</f>
        <v/>
      </c>
      <c r="L35" t="str">
        <f aca="1">IF(VLOOKUP($H35,INDIRECT("Lookup_"&amp;$B35),IF(LEFT($B35,2)="BS",R$2,R$1),0)="","",VLOOKUP($H35,INDIRECT("Lookup_"&amp;$B35),IF($B35="BSa",R$2,R$1),0))</f>
        <v/>
      </c>
      <c r="M35" s="571">
        <f aca="1">IF(VLOOKUP($H35,INDIRECT("Lookup_"&amp;$B35),IF(LEFT($B35,2)="BS",S$2,S$1),0)="","",VLOOKUP($H35,INDIRECT("Lookup_"&amp;$B35),IF(LEFT($B35,2)="BS",S$2,S$1),0))</f>
        <v>0</v>
      </c>
      <c r="N35" s="571">
        <f aca="1">IF(VLOOKUP($H35,INDIRECT("Lookup_"&amp;$B35),IF(LEFT($B35,2)="BS",S$2,S$1),0)="","",VLOOKUP($H35,INDIRECT("Lookup_"&amp;$B35),IF(LEFT($B35,2)="BS",S$2,S$1),0))</f>
        <v>0</v>
      </c>
    </row>
    <row r="36" spans="1:14">
      <c r="A36" t="n">
        <v>35</v>
      </c>
      <c r="B36" t="str">
        <f>VLOOKUP($A36,Aop!$A$2:$P$453,2,0)</f>
        <v>BSa</v>
      </c>
      <c r="C36" t="n">
        <v>25</v>
      </c>
      <c r="D36" t="str">
        <f aca="1">Podatak_MB</f>
        <v>1062280</v>
      </c>
      <c r="E36" t="str">
        <f aca="1">Podatak_JIB</f>
        <v>4400471400001</v>
      </c>
      <c r="F36" t="b">
        <f aca="1">Konsolidovan_izvjestaj</f>
        <v>0</v>
      </c>
      <c r="G36" s="20">
        <f aca="1">Datum_Broj</f>
        <v>45382</v>
      </c>
      <c r="H36" t="n">
        <v>35</v>
      </c>
      <c r="I36">
        <f aca="1">Godina</f>
        <v>2024</v>
      </c>
      <c r="J36" t="str">
        <f aca="1">IF(VLOOKUP($H36,INDIRECT("Lookup_"&amp;$B36),IF(LEFT($B36,2)="BS",P$2,P$1),0)="","",VLOOKUP($H36,INDIRECT("Lookup_"&amp;$B36),IF($B36="BSa",P$2,P$1),0))</f>
        <v/>
      </c>
      <c r="K36" s="575">
        <f aca="1">IF(VLOOKUP($H36,INDIRECT("Lookup_"&amp;$B36),IF(LEFT($B36,2)="BS",Q$2,Q$1),0)="","",VLOOKUP($H36,INDIRECT("Lookup_"&amp;$B36),IF($B36="BSa",Q$2,Q$1),0))</f>
        <v>3947</v>
      </c>
      <c r="L36" t="str">
        <f aca="1">IF(VLOOKUP($H36,INDIRECT("Lookup_"&amp;$B36),IF(LEFT($B36,2)="BS",R$2,R$1),0)="","",VLOOKUP($H36,INDIRECT("Lookup_"&amp;$B36),IF($B36="BSa",R$2,R$1),0))</f>
        <v/>
      </c>
      <c r="M36" s="571">
        <f aca="1">IF(VLOOKUP($H36,INDIRECT("Lookup_"&amp;$B36),IF(LEFT($B36,2)="BS",S$2,S$1),0)="","",VLOOKUP($H36,INDIRECT("Lookup_"&amp;$B36),IF(LEFT($B36,2)="BS",S$2,S$1),0))</f>
        <v>3947</v>
      </c>
      <c r="N36" s="571">
        <f aca="1">IF(VLOOKUP($H36,INDIRECT("Lookup_"&amp;$B36),IF(LEFT($B36,2)="BS",S$2,S$1),0)="","",VLOOKUP($H36,INDIRECT("Lookup_"&amp;$B36),IF(LEFT($B36,2)="BS",S$2,S$1),0))</f>
        <v>3947</v>
      </c>
    </row>
    <row r="37" spans="1:14">
      <c r="A37" t="n">
        <v>36</v>
      </c>
      <c r="B37" t="str">
        <f>VLOOKUP($A37,Aop!$A$2:$P$453,2,0)</f>
        <v>BSa</v>
      </c>
      <c r="C37" t="n">
        <v>25</v>
      </c>
      <c r="D37" t="str">
        <f aca="1">Podatak_MB</f>
        <v>1062280</v>
      </c>
      <c r="E37" t="str">
        <f aca="1">Podatak_JIB</f>
        <v>4400471400001</v>
      </c>
      <c r="F37" t="b">
        <f aca="1">Konsolidovan_izvjestaj</f>
        <v>0</v>
      </c>
      <c r="G37" s="20">
        <f aca="1">Datum_Broj</f>
        <v>45382</v>
      </c>
      <c r="H37" t="n">
        <v>36</v>
      </c>
      <c r="I37">
        <f aca="1">Godina</f>
        <v>2024</v>
      </c>
      <c r="J37" t="str">
        <f aca="1">IF(VLOOKUP($H37,INDIRECT("Lookup_"&amp;$B37),IF(LEFT($B37,2)="BS",P$2,P$1),0)="","",VLOOKUP($H37,INDIRECT("Lookup_"&amp;$B37),IF($B37="BSa",P$2,P$1),0))</f>
        <v/>
      </c>
      <c r="K37" s="571">
        <f aca="1">IF(VLOOKUP($H37,INDIRECT("Lookup_"&amp;$B37),IF(LEFT($B37,2)="BS",Q$2,Q$1),0)="","",VLOOKUP($H37,INDIRECT("Lookup_"&amp;$B37),IF($B37="BSa",Q$2,Q$1),0))</f>
        <v>4500318</v>
      </c>
      <c r="L37" s="571">
        <f aca="1">IF(VLOOKUP($H37,INDIRECT("Lookup_"&amp;$B37),IF(LEFT($B37,2)="BS",R$2,R$1),0)="","",VLOOKUP($H37,INDIRECT("Lookup_"&amp;$B37),IF($B37="BSa",R$2,R$1),0))</f>
        <v>44491</v>
      </c>
      <c r="M37" s="571">
        <f aca="1">IF(VLOOKUP($H37,INDIRECT("Lookup_"&amp;$B37),IF(LEFT($B37,2)="BS",S$2,S$1),0)="","",VLOOKUP($H37,INDIRECT("Lookup_"&amp;$B37),IF(LEFT($B37,2)="BS",S$2,S$1),0))</f>
        <v>4455827</v>
      </c>
      <c r="N37" s="571">
        <f aca="1">IF(VLOOKUP($H37,INDIRECT("Lookup_"&amp;$B37),IF(LEFT($B37,2)="BS",S$2,S$1),0)="","",VLOOKUP($H37,INDIRECT("Lookup_"&amp;$B37),IF(LEFT($B37,2)="BS",S$2,S$1),0))</f>
        <v>4455827</v>
      </c>
    </row>
    <row r="38" spans="1:14">
      <c r="A38" t="n">
        <v>37</v>
      </c>
      <c r="B38" t="str">
        <f>VLOOKUP($A38,Aop!$A$2:$P$453,2,0)</f>
        <v>BSa</v>
      </c>
      <c r="C38" t="n">
        <v>25</v>
      </c>
      <c r="D38" t="str">
        <f aca="1">Podatak_MB</f>
        <v>1062280</v>
      </c>
      <c r="E38" t="str">
        <f aca="1">Podatak_JIB</f>
        <v>4400471400001</v>
      </c>
      <c r="F38" t="b">
        <f aca="1">Konsolidovan_izvjestaj</f>
        <v>0</v>
      </c>
      <c r="G38" s="20">
        <f aca="1">Datum_Broj</f>
        <v>45382</v>
      </c>
      <c r="H38" t="n">
        <v>37</v>
      </c>
      <c r="I38">
        <f aca="1">Godina</f>
        <v>2024</v>
      </c>
      <c r="J38" t="str">
        <f aca="1">IF(VLOOKUP($H38,INDIRECT("Lookup_"&amp;$B38),IF(LEFT($B38,2)="BS",P$2,P$1),0)="","",VLOOKUP($H38,INDIRECT("Lookup_"&amp;$B38),IF($B38="BSa",P$2,P$1),0))</f>
        <v/>
      </c>
      <c r="K38" s="571">
        <f aca="1">IF(VLOOKUP($H38,INDIRECT("Lookup_"&amp;$B38),IF(LEFT($B38,2)="BS",Q$2,Q$1),0)="","",VLOOKUP($H38,INDIRECT("Lookup_"&amp;$B38),IF($B38="BSa",Q$2,Q$1),0))</f>
        <v>3730969</v>
      </c>
      <c r="L38" s="571">
        <f aca="1">IF(VLOOKUP($H38,INDIRECT("Lookup_"&amp;$B38),IF(LEFT($B38,2)="BS",R$2,R$1),0)="","",VLOOKUP($H38,INDIRECT("Lookup_"&amp;$B38),IF($B38="BSa",R$2,R$1),0))</f>
        <v>0</v>
      </c>
      <c r="M38" s="571">
        <f aca="1">IF(VLOOKUP($H38,INDIRECT("Lookup_"&amp;$B38),IF(LEFT($B38,2)="BS",S$2,S$1),0)="","",VLOOKUP($H38,INDIRECT("Lookup_"&amp;$B38),IF(LEFT($B38,2)="BS",S$2,S$1),0))</f>
        <v>3730969</v>
      </c>
      <c r="N38" s="571">
        <f aca="1">IF(VLOOKUP($H38,INDIRECT("Lookup_"&amp;$B38),IF(LEFT($B38,2)="BS",S$2,S$1),0)="","",VLOOKUP($H38,INDIRECT("Lookup_"&amp;$B38),IF(LEFT($B38,2)="BS",S$2,S$1),0))</f>
        <v>3730969</v>
      </c>
    </row>
    <row r="39" spans="1:14">
      <c r="A39" t="n">
        <v>38</v>
      </c>
      <c r="B39" t="str">
        <f>VLOOKUP($A39,Aop!$A$2:$P$453,2,0)</f>
        <v>BSa</v>
      </c>
      <c r="C39" t="n">
        <v>25</v>
      </c>
      <c r="D39" t="str">
        <f aca="1">Podatak_MB</f>
        <v>1062280</v>
      </c>
      <c r="E39" t="str">
        <f aca="1">Podatak_JIB</f>
        <v>4400471400001</v>
      </c>
      <c r="F39" t="b">
        <f aca="1">Konsolidovan_izvjestaj</f>
        <v>0</v>
      </c>
      <c r="G39" s="20">
        <f aca="1">Datum_Broj</f>
        <v>45382</v>
      </c>
      <c r="H39" t="n">
        <v>38</v>
      </c>
      <c r="I39">
        <f aca="1">Godina</f>
        <v>2024</v>
      </c>
      <c r="J39" t="str">
        <f aca="1">IF(VLOOKUP($H39,INDIRECT("Lookup_"&amp;$B39),IF(LEFT($B39,2)="BS",P$2,P$1),0)="","",VLOOKUP($H39,INDIRECT("Lookup_"&amp;$B39),IF($B39="BSa",P$2,P$1),0))</f>
        <v/>
      </c>
      <c r="K39" s="575">
        <f aca="1">IF(VLOOKUP($H39,INDIRECT("Lookup_"&amp;$B39),IF(LEFT($B39,2)="BS",Q$2,Q$1),0)="","",VLOOKUP($H39,INDIRECT("Lookup_"&amp;$B39),IF($B39="BSa",Q$2,Q$1),0))</f>
        <v>267194</v>
      </c>
      <c r="L39" t="str">
        <f aca="1">IF(VLOOKUP($H39,INDIRECT("Lookup_"&amp;$B39),IF(LEFT($B39,2)="BS",R$2,R$1),0)="","",VLOOKUP($H39,INDIRECT("Lookup_"&amp;$B39),IF($B39="BSa",R$2,R$1),0))</f>
        <v/>
      </c>
      <c r="M39" s="571">
        <f aca="1">IF(VLOOKUP($H39,INDIRECT("Lookup_"&amp;$B39),IF(LEFT($B39,2)="BS",S$2,S$1),0)="","",VLOOKUP($H39,INDIRECT("Lookup_"&amp;$B39),IF(LEFT($B39,2)="BS",S$2,S$1),0))</f>
        <v>267194</v>
      </c>
      <c r="N39" s="571">
        <f aca="1">IF(VLOOKUP($H39,INDIRECT("Lookup_"&amp;$B39),IF(LEFT($B39,2)="BS",S$2,S$1),0)="","",VLOOKUP($H39,INDIRECT("Lookup_"&amp;$B39),IF(LEFT($B39,2)="BS",S$2,S$1),0))</f>
        <v>267194</v>
      </c>
    </row>
    <row r="40" spans="1:14">
      <c r="A40" t="n">
        <v>39</v>
      </c>
      <c r="B40" t="str">
        <f>VLOOKUP($A40,Aop!$A$2:$P$453,2,0)</f>
        <v>BSa</v>
      </c>
      <c r="C40" t="n">
        <v>25</v>
      </c>
      <c r="D40" t="str">
        <f aca="1">Podatak_MB</f>
        <v>1062280</v>
      </c>
      <c r="E40" t="str">
        <f aca="1">Podatak_JIB</f>
        <v>4400471400001</v>
      </c>
      <c r="F40" t="b">
        <f aca="1">Konsolidovan_izvjestaj</f>
        <v>0</v>
      </c>
      <c r="G40" s="20">
        <f aca="1">Datum_Broj</f>
        <v>45382</v>
      </c>
      <c r="H40" t="n">
        <v>39</v>
      </c>
      <c r="I40">
        <f aca="1">Godina</f>
        <v>2024</v>
      </c>
      <c r="J40" t="str">
        <f aca="1">IF(VLOOKUP($H40,INDIRECT("Lookup_"&amp;$B40),IF(LEFT($B40,2)="BS",P$2,P$1),0)="","",VLOOKUP($H40,INDIRECT("Lookup_"&amp;$B40),IF($B40="BSa",P$2,P$1),0))</f>
        <v/>
      </c>
      <c r="K40" s="575">
        <f aca="1">IF(VLOOKUP($H40,INDIRECT("Lookup_"&amp;$B40),IF(LEFT($B40,2)="BS",Q$2,Q$1),0)="","",VLOOKUP($H40,INDIRECT("Lookup_"&amp;$B40),IF($B40="BSa",Q$2,Q$1),0))</f>
        <v>3177550</v>
      </c>
      <c r="L40" t="str">
        <f aca="1">IF(VLOOKUP($H40,INDIRECT("Lookup_"&amp;$B40),IF(LEFT($B40,2)="BS",R$2,R$1),0)="","",VLOOKUP($H40,INDIRECT("Lookup_"&amp;$B40),IF($B40="BSa",R$2,R$1),0))</f>
        <v/>
      </c>
      <c r="M40" s="571">
        <f aca="1">IF(VLOOKUP($H40,INDIRECT("Lookup_"&amp;$B40),IF(LEFT($B40,2)="BS",S$2,S$1),0)="","",VLOOKUP($H40,INDIRECT("Lookup_"&amp;$B40),IF(LEFT($B40,2)="BS",S$2,S$1),0))</f>
        <v>3177550</v>
      </c>
      <c r="N40" s="571">
        <f aca="1">IF(VLOOKUP($H40,INDIRECT("Lookup_"&amp;$B40),IF(LEFT($B40,2)="BS",S$2,S$1),0)="","",VLOOKUP($H40,INDIRECT("Lookup_"&amp;$B40),IF(LEFT($B40,2)="BS",S$2,S$1),0))</f>
        <v>3177550</v>
      </c>
    </row>
    <row r="41" spans="1:14">
      <c r="A41" t="n">
        <v>40</v>
      </c>
      <c r="B41" t="str">
        <f>VLOOKUP($A41,Aop!$A$2:$P$453,2,0)</f>
        <v>BSa</v>
      </c>
      <c r="C41" t="n">
        <v>25</v>
      </c>
      <c r="D41" t="str">
        <f aca="1">Podatak_MB</f>
        <v>1062280</v>
      </c>
      <c r="E41" t="str">
        <f aca="1">Podatak_JIB</f>
        <v>4400471400001</v>
      </c>
      <c r="F41" t="b">
        <f aca="1">Konsolidovan_izvjestaj</f>
        <v>0</v>
      </c>
      <c r="G41" s="20">
        <f aca="1">Datum_Broj</f>
        <v>45382</v>
      </c>
      <c r="H41" t="n">
        <v>40</v>
      </c>
      <c r="I41">
        <f aca="1">Godina</f>
        <v>2024</v>
      </c>
      <c r="J41" t="str">
        <f aca="1">IF(VLOOKUP($H41,INDIRECT("Lookup_"&amp;$B41),IF(LEFT($B41,2)="BS",P$2,P$1),0)="","",VLOOKUP($H41,INDIRECT("Lookup_"&amp;$B41),IF($B41="BSa",P$2,P$1),0))</f>
        <v/>
      </c>
      <c r="K41" s="575">
        <f aca="1">IF(VLOOKUP($H41,INDIRECT("Lookup_"&amp;$B41),IF(LEFT($B41,2)="BS",Q$2,Q$1),0)="","",VLOOKUP($H41,INDIRECT("Lookup_"&amp;$B41),IF($B41="BSa",Q$2,Q$1),0))</f>
        <v>286225</v>
      </c>
      <c r="L41" t="str">
        <f aca="1">IF(VLOOKUP($H41,INDIRECT("Lookup_"&amp;$B41),IF(LEFT($B41,2)="BS",R$2,R$1),0)="","",VLOOKUP($H41,INDIRECT("Lookup_"&amp;$B41),IF($B41="BSa",R$2,R$1),0))</f>
        <v/>
      </c>
      <c r="M41" s="571">
        <f aca="1">IF(VLOOKUP($H41,INDIRECT("Lookup_"&amp;$B41),IF(LEFT($B41,2)="BS",S$2,S$1),0)="","",VLOOKUP($H41,INDIRECT("Lookup_"&amp;$B41),IF(LEFT($B41,2)="BS",S$2,S$1),0))</f>
        <v>286225</v>
      </c>
      <c r="N41" s="571">
        <f aca="1">IF(VLOOKUP($H41,INDIRECT("Lookup_"&amp;$B41),IF(LEFT($B41,2)="BS",S$2,S$1),0)="","",VLOOKUP($H41,INDIRECT("Lookup_"&amp;$B41),IF(LEFT($B41,2)="BS",S$2,S$1),0))</f>
        <v>286225</v>
      </c>
    </row>
    <row r="42" spans="1:14">
      <c r="A42" t="n">
        <v>41</v>
      </c>
      <c r="B42" t="str">
        <f>VLOOKUP($A42,Aop!$A$2:$P$453,2,0)</f>
        <v>BSa</v>
      </c>
      <c r="C42" t="n">
        <v>25</v>
      </c>
      <c r="D42" t="str">
        <f aca="1">Podatak_MB</f>
        <v>1062280</v>
      </c>
      <c r="E42" t="str">
        <f aca="1">Podatak_JIB</f>
        <v>4400471400001</v>
      </c>
      <c r="F42" t="b">
        <f aca="1">Konsolidovan_izvjestaj</f>
        <v>0</v>
      </c>
      <c r="G42" s="20">
        <f aca="1">Datum_Broj</f>
        <v>45382</v>
      </c>
      <c r="H42" t="n">
        <v>41</v>
      </c>
      <c r="I42">
        <f aca="1">Godina</f>
        <v>2024</v>
      </c>
      <c r="J42" t="str">
        <f aca="1">IF(VLOOKUP($H42,INDIRECT("Lookup_"&amp;$B42),IF(LEFT($B42,2)="BS",P$2,P$1),0)="","",VLOOKUP($H42,INDIRECT("Lookup_"&amp;$B42),IF($B42="BSa",P$2,P$1),0))</f>
        <v/>
      </c>
      <c r="K42" t="str">
        <f aca="1">IF(VLOOKUP($H42,INDIRECT("Lookup_"&amp;$B42),IF(LEFT($B42,2)="BS",Q$2,Q$1),0)="","",VLOOKUP($H42,INDIRECT("Lookup_"&amp;$B42),IF($B42="BSa",Q$2,Q$1),0))</f>
        <v/>
      </c>
      <c r="L42" t="str">
        <f aca="1">IF(VLOOKUP($H42,INDIRECT("Lookup_"&amp;$B42),IF(LEFT($B42,2)="BS",R$2,R$1),0)="","",VLOOKUP($H42,INDIRECT("Lookup_"&amp;$B42),IF($B42="BSa",R$2,R$1),0))</f>
        <v/>
      </c>
      <c r="M42" s="571">
        <f aca="1">IF(VLOOKUP($H42,INDIRECT("Lookup_"&amp;$B42),IF(LEFT($B42,2)="BS",S$2,S$1),0)="","",VLOOKUP($H42,INDIRECT("Lookup_"&amp;$B42),IF(LEFT($B42,2)="BS",S$2,S$1),0))</f>
        <v>0</v>
      </c>
      <c r="N42" s="571">
        <f aca="1">IF(VLOOKUP($H42,INDIRECT("Lookup_"&amp;$B42),IF(LEFT($B42,2)="BS",S$2,S$1),0)="","",VLOOKUP($H42,INDIRECT("Lookup_"&amp;$B42),IF(LEFT($B42,2)="BS",S$2,S$1),0))</f>
        <v>0</v>
      </c>
    </row>
    <row r="43" spans="1:14">
      <c r="A43" t="n">
        <v>42</v>
      </c>
      <c r="B43" t="str">
        <f>VLOOKUP($A43,Aop!$A$2:$P$453,2,0)</f>
        <v>BSa</v>
      </c>
      <c r="C43" t="n">
        <v>25</v>
      </c>
      <c r="D43" t="str">
        <f aca="1">Podatak_MB</f>
        <v>1062280</v>
      </c>
      <c r="E43" t="str">
        <f aca="1">Podatak_JIB</f>
        <v>4400471400001</v>
      </c>
      <c r="F43" t="b">
        <f aca="1">Konsolidovan_izvjestaj</f>
        <v>0</v>
      </c>
      <c r="G43" s="20">
        <f aca="1">Datum_Broj</f>
        <v>45382</v>
      </c>
      <c r="H43" t="n">
        <v>42</v>
      </c>
      <c r="I43">
        <f aca="1">Godina</f>
        <v>2024</v>
      </c>
      <c r="J43" t="str">
        <f aca="1">IF(VLOOKUP($H43,INDIRECT("Lookup_"&amp;$B43),IF(LEFT($B43,2)="BS",P$2,P$1),0)="","",VLOOKUP($H43,INDIRECT("Lookup_"&amp;$B43),IF($B43="BSa",P$2,P$1),0))</f>
        <v/>
      </c>
      <c r="K43" t="str">
        <f aca="1">IF(VLOOKUP($H43,INDIRECT("Lookup_"&amp;$B43),IF(LEFT($B43,2)="BS",Q$2,Q$1),0)="","",VLOOKUP($H43,INDIRECT("Lookup_"&amp;$B43),IF($B43="BSa",Q$2,Q$1),0))</f>
        <v/>
      </c>
      <c r="L43" t="str">
        <f aca="1">IF(VLOOKUP($H43,INDIRECT("Lookup_"&amp;$B43),IF(LEFT($B43,2)="BS",R$2,R$1),0)="","",VLOOKUP($H43,INDIRECT("Lookup_"&amp;$B43),IF($B43="BSa",R$2,R$1),0))</f>
        <v/>
      </c>
      <c r="M43" s="571">
        <f aca="1">IF(VLOOKUP($H43,INDIRECT("Lookup_"&amp;$B43),IF(LEFT($B43,2)="BS",S$2,S$1),0)="","",VLOOKUP($H43,INDIRECT("Lookup_"&amp;$B43),IF(LEFT($B43,2)="BS",S$2,S$1),0))</f>
        <v>0</v>
      </c>
      <c r="N43" s="571">
        <f aca="1">IF(VLOOKUP($H43,INDIRECT("Lookup_"&amp;$B43),IF(LEFT($B43,2)="BS",S$2,S$1),0)="","",VLOOKUP($H43,INDIRECT("Lookup_"&amp;$B43),IF(LEFT($B43,2)="BS",S$2,S$1),0))</f>
        <v>0</v>
      </c>
    </row>
    <row r="44" spans="1:14">
      <c r="A44" t="n">
        <v>43</v>
      </c>
      <c r="B44" t="str">
        <f>VLOOKUP($A44,Aop!$A$2:$P$453,2,0)</f>
        <v>BSa</v>
      </c>
      <c r="C44" t="n">
        <v>25</v>
      </c>
      <c r="D44" t="str">
        <f aca="1">Podatak_MB</f>
        <v>1062280</v>
      </c>
      <c r="E44" t="str">
        <f aca="1">Podatak_JIB</f>
        <v>4400471400001</v>
      </c>
      <c r="F44" t="b">
        <f aca="1">Konsolidovan_izvjestaj</f>
        <v>0</v>
      </c>
      <c r="G44" s="20">
        <f aca="1">Datum_Broj</f>
        <v>45382</v>
      </c>
      <c r="H44" t="n">
        <v>43</v>
      </c>
      <c r="I44">
        <f aca="1">Godina</f>
        <v>2024</v>
      </c>
      <c r="J44" t="str">
        <f aca="1">IF(VLOOKUP($H44,INDIRECT("Lookup_"&amp;$B44),IF(LEFT($B44,2)="BS",P$2,P$1),0)="","",VLOOKUP($H44,INDIRECT("Lookup_"&amp;$B44),IF($B44="BSa",P$2,P$1),0))</f>
        <v/>
      </c>
      <c r="K44" t="str">
        <f aca="1">IF(VLOOKUP($H44,INDIRECT("Lookup_"&amp;$B44),IF(LEFT($B44,2)="BS",Q$2,Q$1),0)="","",VLOOKUP($H44,INDIRECT("Lookup_"&amp;$B44),IF($B44="BSa",Q$2,Q$1),0))</f>
        <v/>
      </c>
      <c r="L44" t="str">
        <f aca="1">IF(VLOOKUP($H44,INDIRECT("Lookup_"&amp;$B44),IF(LEFT($B44,2)="BS",R$2,R$1),0)="","",VLOOKUP($H44,INDIRECT("Lookup_"&amp;$B44),IF($B44="BSa",R$2,R$1),0))</f>
        <v/>
      </c>
      <c r="M44" s="571">
        <f aca="1">IF(VLOOKUP($H44,INDIRECT("Lookup_"&amp;$B44),IF(LEFT($B44,2)="BS",S$2,S$1),0)="","",VLOOKUP($H44,INDIRECT("Lookup_"&amp;$B44),IF(LEFT($B44,2)="BS",S$2,S$1),0))</f>
        <v>0</v>
      </c>
      <c r="N44" s="571">
        <f aca="1">IF(VLOOKUP($H44,INDIRECT("Lookup_"&amp;$B44),IF(LEFT($B44,2)="BS",S$2,S$1),0)="","",VLOOKUP($H44,INDIRECT("Lookup_"&amp;$B44),IF(LEFT($B44,2)="BS",S$2,S$1),0))</f>
        <v>0</v>
      </c>
    </row>
    <row r="45" spans="1:14">
      <c r="A45" t="n">
        <v>44</v>
      </c>
      <c r="B45" t="str">
        <f>VLOOKUP($A45,Aop!$A$2:$P$453,2,0)</f>
        <v>BSa</v>
      </c>
      <c r="C45" t="n">
        <v>25</v>
      </c>
      <c r="D45" t="str">
        <f aca="1">Podatak_MB</f>
        <v>1062280</v>
      </c>
      <c r="E45" t="str">
        <f aca="1">Podatak_JIB</f>
        <v>4400471400001</v>
      </c>
      <c r="F45" t="b">
        <f aca="1">Konsolidovan_izvjestaj</f>
        <v>0</v>
      </c>
      <c r="G45" s="20">
        <f aca="1">Datum_Broj</f>
        <v>45382</v>
      </c>
      <c r="H45" t="n">
        <v>44</v>
      </c>
      <c r="I45">
        <f aca="1">Godina</f>
        <v>2024</v>
      </c>
      <c r="J45" t="str">
        <f aca="1">IF(VLOOKUP($H45,INDIRECT("Lookup_"&amp;$B45),IF(LEFT($B45,2)="BS",P$2,P$1),0)="","",VLOOKUP($H45,INDIRECT("Lookup_"&amp;$B45),IF($B45="BSa",P$2,P$1),0))</f>
        <v/>
      </c>
      <c r="K45" s="571">
        <f aca="1">IF(VLOOKUP($H45,INDIRECT("Lookup_"&amp;$B45),IF(LEFT($B45,2)="BS",Q$2,Q$1),0)="","",VLOOKUP($H45,INDIRECT("Lookup_"&amp;$B45),IF($B45="BSa",Q$2,Q$1),0))</f>
        <v>769349</v>
      </c>
      <c r="L45" s="571">
        <f aca="1">IF(VLOOKUP($H45,INDIRECT("Lookup_"&amp;$B45),IF(LEFT($B45,2)="BS",R$2,R$1),0)="","",VLOOKUP($H45,INDIRECT("Lookup_"&amp;$B45),IF($B45="BSa",R$2,R$1),0))</f>
        <v>44491</v>
      </c>
      <c r="M45" s="571">
        <f aca="1">IF(VLOOKUP($H45,INDIRECT("Lookup_"&amp;$B45),IF(LEFT($B45,2)="BS",S$2,S$1),0)="","",VLOOKUP($H45,INDIRECT("Lookup_"&amp;$B45),IF(LEFT($B45,2)="BS",S$2,S$1),0))</f>
        <v>724858</v>
      </c>
      <c r="N45" s="571">
        <f aca="1">IF(VLOOKUP($H45,INDIRECT("Lookup_"&amp;$B45),IF(LEFT($B45,2)="BS",S$2,S$1),0)="","",VLOOKUP($H45,INDIRECT("Lookup_"&amp;$B45),IF(LEFT($B45,2)="BS",S$2,S$1),0))</f>
        <v>724858</v>
      </c>
    </row>
    <row r="46" spans="1:14">
      <c r="A46" t="n">
        <v>45</v>
      </c>
      <c r="B46" t="str">
        <f>VLOOKUP($A46,Aop!$A$2:$P$453,2,0)</f>
        <v>BSa</v>
      </c>
      <c r="C46" t="n">
        <v>25</v>
      </c>
      <c r="D46" t="str">
        <f aca="1">Podatak_MB</f>
        <v>1062280</v>
      </c>
      <c r="E46" t="str">
        <f aca="1">Podatak_JIB</f>
        <v>4400471400001</v>
      </c>
      <c r="F46" t="b">
        <f aca="1">Konsolidovan_izvjestaj</f>
        <v>0</v>
      </c>
      <c r="G46" s="20">
        <f aca="1">Datum_Broj</f>
        <v>45382</v>
      </c>
      <c r="H46" t="n">
        <v>45</v>
      </c>
      <c r="I46">
        <f aca="1">Godina</f>
        <v>2024</v>
      </c>
      <c r="J46" t="str">
        <f aca="1">IF(VLOOKUP($H46,INDIRECT("Lookup_"&amp;$B46),IF(LEFT($B46,2)="BS",P$2,P$1),0)="","",VLOOKUP($H46,INDIRECT("Lookup_"&amp;$B46),IF($B46="BSa",P$2,P$1),0))</f>
        <v/>
      </c>
      <c r="K46" s="571">
        <f aca="1">IF(VLOOKUP($H46,INDIRECT("Lookup_"&amp;$B46),IF(LEFT($B46,2)="BS",Q$2,Q$1),0)="","",VLOOKUP($H46,INDIRECT("Lookup_"&amp;$B46),IF($B46="BSa",Q$2,Q$1),0))</f>
        <v>397064</v>
      </c>
      <c r="L46" s="571">
        <f aca="1">IF(VLOOKUP($H46,INDIRECT("Lookup_"&amp;$B46),IF(LEFT($B46,2)="BS",R$2,R$1),0)="","",VLOOKUP($H46,INDIRECT("Lookup_"&amp;$B46),IF($B46="BSa",R$2,R$1),0))</f>
        <v>44491</v>
      </c>
      <c r="M46" s="571">
        <f aca="1">IF(VLOOKUP($H46,INDIRECT("Lookup_"&amp;$B46),IF(LEFT($B46,2)="BS",S$2,S$1),0)="","",VLOOKUP($H46,INDIRECT("Lookup_"&amp;$B46),IF(LEFT($B46,2)="BS",S$2,S$1),0))</f>
        <v>352573</v>
      </c>
      <c r="N46" s="571">
        <f aca="1">IF(VLOOKUP($H46,INDIRECT("Lookup_"&amp;$B46),IF(LEFT($B46,2)="BS",S$2,S$1),0)="","",VLOOKUP($H46,INDIRECT("Lookup_"&amp;$B46),IF(LEFT($B46,2)="BS",S$2,S$1),0))</f>
        <v>352573</v>
      </c>
    </row>
    <row r="47" spans="1:14">
      <c r="A47" t="n">
        <v>46</v>
      </c>
      <c r="B47" t="str">
        <f>VLOOKUP($A47,Aop!$A$2:$P$453,2,0)</f>
        <v>BSa</v>
      </c>
      <c r="C47" t="n">
        <v>25</v>
      </c>
      <c r="D47" t="str">
        <f aca="1">Podatak_MB</f>
        <v>1062280</v>
      </c>
      <c r="E47" t="str">
        <f aca="1">Podatak_JIB</f>
        <v>4400471400001</v>
      </c>
      <c r="F47" t="b">
        <f aca="1">Konsolidovan_izvjestaj</f>
        <v>0</v>
      </c>
      <c r="G47" s="20">
        <f aca="1">Datum_Broj</f>
        <v>45382</v>
      </c>
      <c r="H47" t="n">
        <v>46</v>
      </c>
      <c r="I47">
        <f aca="1">Godina</f>
        <v>2024</v>
      </c>
      <c r="J47" t="str">
        <f aca="1">IF(VLOOKUP($H47,INDIRECT("Lookup_"&amp;$B47),IF(LEFT($B47,2)="BS",P$2,P$1),0)="","",VLOOKUP($H47,INDIRECT("Lookup_"&amp;$B47),IF($B47="BSa",P$2,P$1),0))</f>
        <v/>
      </c>
      <c r="K47" t="str">
        <f aca="1">IF(VLOOKUP($H47,INDIRECT("Lookup_"&amp;$B47),IF(LEFT($B47,2)="BS",Q$2,Q$1),0)="","",VLOOKUP($H47,INDIRECT("Lookup_"&amp;$B47),IF($B47="BSa",Q$2,Q$1),0))</f>
        <v/>
      </c>
      <c r="L47" t="str">
        <f aca="1">IF(VLOOKUP($H47,INDIRECT("Lookup_"&amp;$B47),IF(LEFT($B47,2)="BS",R$2,R$1),0)="","",VLOOKUP($H47,INDIRECT("Lookup_"&amp;$B47),IF($B47="BSa",R$2,R$1),0))</f>
        <v/>
      </c>
      <c r="M47" s="571">
        <f aca="1">IF(VLOOKUP($H47,INDIRECT("Lookup_"&amp;$B47),IF(LEFT($B47,2)="BS",S$2,S$1),0)="","",VLOOKUP($H47,INDIRECT("Lookup_"&amp;$B47),IF(LEFT($B47,2)="BS",S$2,S$1),0))</f>
        <v>0</v>
      </c>
      <c r="N47" s="571">
        <f aca="1">IF(VLOOKUP($H47,INDIRECT("Lookup_"&amp;$B47),IF(LEFT($B47,2)="BS",S$2,S$1),0)="","",VLOOKUP($H47,INDIRECT("Lookup_"&amp;$B47),IF(LEFT($B47,2)="BS",S$2,S$1),0))</f>
        <v>0</v>
      </c>
    </row>
    <row r="48" spans="1:14">
      <c r="A48" t="n">
        <v>47</v>
      </c>
      <c r="B48" t="str">
        <f>VLOOKUP($A48,Aop!$A$2:$P$453,2,0)</f>
        <v>BSa</v>
      </c>
      <c r="C48" t="n">
        <v>25</v>
      </c>
      <c r="D48" t="str">
        <f aca="1">Podatak_MB</f>
        <v>1062280</v>
      </c>
      <c r="E48" t="str">
        <f aca="1">Podatak_JIB</f>
        <v>4400471400001</v>
      </c>
      <c r="F48" t="b">
        <f aca="1">Konsolidovan_izvjestaj</f>
        <v>0</v>
      </c>
      <c r="G48" s="20">
        <f aca="1">Datum_Broj</f>
        <v>45382</v>
      </c>
      <c r="H48" t="n">
        <v>47</v>
      </c>
      <c r="I48">
        <f aca="1">Godina</f>
        <v>2024</v>
      </c>
      <c r="J48" t="str">
        <f aca="1">IF(VLOOKUP($H48,INDIRECT("Lookup_"&amp;$B48),IF(LEFT($B48,2)="BS",P$2,P$1),0)="","",VLOOKUP($H48,INDIRECT("Lookup_"&amp;$B48),IF($B48="BSa",P$2,P$1),0))</f>
        <v/>
      </c>
      <c r="K48" s="575">
        <f aca="1">IF(VLOOKUP($H48,INDIRECT("Lookup_"&amp;$B48),IF(LEFT($B48,2)="BS",Q$2,Q$1),0)="","",VLOOKUP($H48,INDIRECT("Lookup_"&amp;$B48),IF($B48="BSa",Q$2,Q$1),0))</f>
        <v>311544</v>
      </c>
      <c r="L48" s="575">
        <f aca="1">IF(VLOOKUP($H48,INDIRECT("Lookup_"&amp;$B48),IF(LEFT($B48,2)="BS",R$2,R$1),0)="","",VLOOKUP($H48,INDIRECT("Lookup_"&amp;$B48),IF($B48="BSa",R$2,R$1),0))</f>
        <v>44161</v>
      </c>
      <c r="M48" s="571">
        <f aca="1">IF(VLOOKUP($H48,INDIRECT("Lookup_"&amp;$B48),IF(LEFT($B48,2)="BS",S$2,S$1),0)="","",VLOOKUP($H48,INDIRECT("Lookup_"&amp;$B48),IF(LEFT($B48,2)="BS",S$2,S$1),0))</f>
        <v>267383</v>
      </c>
      <c r="N48" s="571">
        <f aca="1">IF(VLOOKUP($H48,INDIRECT("Lookup_"&amp;$B48),IF(LEFT($B48,2)="BS",S$2,S$1),0)="","",VLOOKUP($H48,INDIRECT("Lookup_"&amp;$B48),IF(LEFT($B48,2)="BS",S$2,S$1),0))</f>
        <v>267383</v>
      </c>
    </row>
    <row r="49" spans="1:14">
      <c r="A49" t="n">
        <v>48</v>
      </c>
      <c r="B49" t="str">
        <f>VLOOKUP($A49,Aop!$A$2:$P$453,2,0)</f>
        <v>BSa</v>
      </c>
      <c r="C49" t="n">
        <v>25</v>
      </c>
      <c r="D49" t="str">
        <f aca="1">Podatak_MB</f>
        <v>1062280</v>
      </c>
      <c r="E49" t="str">
        <f aca="1">Podatak_JIB</f>
        <v>4400471400001</v>
      </c>
      <c r="F49" t="b">
        <f aca="1">Konsolidovan_izvjestaj</f>
        <v>0</v>
      </c>
      <c r="G49" s="20">
        <f aca="1">Datum_Broj</f>
        <v>45382</v>
      </c>
      <c r="H49" t="n">
        <v>48</v>
      </c>
      <c r="I49">
        <f aca="1">Godina</f>
        <v>2024</v>
      </c>
      <c r="J49" t="str">
        <f aca="1">IF(VLOOKUP($H49,INDIRECT("Lookup_"&amp;$B49),IF(LEFT($B49,2)="BS",P$2,P$1),0)="","",VLOOKUP($H49,INDIRECT("Lookup_"&amp;$B49),IF($B49="BSa",P$2,P$1),0))</f>
        <v/>
      </c>
      <c r="K49" t="str">
        <f aca="1">IF(VLOOKUP($H49,INDIRECT("Lookup_"&amp;$B49),IF(LEFT($B49,2)="BS",Q$2,Q$1),0)="","",VLOOKUP($H49,INDIRECT("Lookup_"&amp;$B49),IF($B49="BSa",Q$2,Q$1),0))</f>
        <v/>
      </c>
      <c r="L49" t="str">
        <f aca="1">IF(VLOOKUP($H49,INDIRECT("Lookup_"&amp;$B49),IF(LEFT($B49,2)="BS",R$2,R$1),0)="","",VLOOKUP($H49,INDIRECT("Lookup_"&amp;$B49),IF($B49="BSa",R$2,R$1),0))</f>
        <v/>
      </c>
      <c r="M49" s="571">
        <f aca="1">IF(VLOOKUP($H49,INDIRECT("Lookup_"&amp;$B49),IF(LEFT($B49,2)="BS",S$2,S$1),0)="","",VLOOKUP($H49,INDIRECT("Lookup_"&amp;$B49),IF(LEFT($B49,2)="BS",S$2,S$1),0))</f>
        <v>0</v>
      </c>
      <c r="N49" s="571">
        <f aca="1">IF(VLOOKUP($H49,INDIRECT("Lookup_"&amp;$B49),IF(LEFT($B49,2)="BS",S$2,S$1),0)="","",VLOOKUP($H49,INDIRECT("Lookup_"&amp;$B49),IF(LEFT($B49,2)="BS",S$2,S$1),0))</f>
        <v>0</v>
      </c>
    </row>
    <row r="50" spans="1:14">
      <c r="A50" t="n">
        <v>49</v>
      </c>
      <c r="B50" t="str">
        <f>VLOOKUP($A50,Aop!$A$2:$P$453,2,0)</f>
        <v>BSa</v>
      </c>
      <c r="C50" t="n">
        <v>25</v>
      </c>
      <c r="D50" t="str">
        <f aca="1">Podatak_MB</f>
        <v>1062280</v>
      </c>
      <c r="E50" t="str">
        <f aca="1">Podatak_JIB</f>
        <v>4400471400001</v>
      </c>
      <c r="F50" t="b">
        <f aca="1">Konsolidovan_izvjestaj</f>
        <v>0</v>
      </c>
      <c r="G50" s="20">
        <f aca="1">Datum_Broj</f>
        <v>45382</v>
      </c>
      <c r="H50" t="n">
        <v>49</v>
      </c>
      <c r="I50">
        <f aca="1">Godina</f>
        <v>2024</v>
      </c>
      <c r="J50" t="str">
        <f aca="1">IF(VLOOKUP($H50,INDIRECT("Lookup_"&amp;$B50),IF(LEFT($B50,2)="BS",P$2,P$1),0)="","",VLOOKUP($H50,INDIRECT("Lookup_"&amp;$B50),IF($B50="BSa",P$2,P$1),0))</f>
        <v/>
      </c>
      <c r="K50" t="str">
        <f aca="1">IF(VLOOKUP($H50,INDIRECT("Lookup_"&amp;$B50),IF(LEFT($B50,2)="BS",Q$2,Q$1),0)="","",VLOOKUP($H50,INDIRECT("Lookup_"&amp;$B50),IF($B50="BSa",Q$2,Q$1),0))</f>
        <v/>
      </c>
      <c r="L50" t="str">
        <f aca="1">IF(VLOOKUP($H50,INDIRECT("Lookup_"&amp;$B50),IF(LEFT($B50,2)="BS",R$2,R$1),0)="","",VLOOKUP($H50,INDIRECT("Lookup_"&amp;$B50),IF($B50="BSa",R$2,R$1),0))</f>
        <v/>
      </c>
      <c r="M50" s="571">
        <f aca="1">IF(VLOOKUP($H50,INDIRECT("Lookup_"&amp;$B50),IF(LEFT($B50,2)="BS",S$2,S$1),0)="","",VLOOKUP($H50,INDIRECT("Lookup_"&amp;$B50),IF(LEFT($B50,2)="BS",S$2,S$1),0))</f>
        <v>0</v>
      </c>
      <c r="N50" s="571">
        <f aca="1">IF(VLOOKUP($H50,INDIRECT("Lookup_"&amp;$B50),IF(LEFT($B50,2)="BS",S$2,S$1),0)="","",VLOOKUP($H50,INDIRECT("Lookup_"&amp;$B50),IF(LEFT($B50,2)="BS",S$2,S$1),0))</f>
        <v>0</v>
      </c>
    </row>
    <row r="51" spans="1:14">
      <c r="A51" t="n">
        <v>50</v>
      </c>
      <c r="B51" t="str">
        <f>VLOOKUP($A51,Aop!$A$2:$P$453,2,0)</f>
        <v>BSa</v>
      </c>
      <c r="C51" t="n">
        <v>25</v>
      </c>
      <c r="D51" t="str">
        <f aca="1">Podatak_MB</f>
        <v>1062280</v>
      </c>
      <c r="E51" t="str">
        <f aca="1">Podatak_JIB</f>
        <v>4400471400001</v>
      </c>
      <c r="F51" t="b">
        <f aca="1">Konsolidovan_izvjestaj</f>
        <v>0</v>
      </c>
      <c r="G51" s="20">
        <f aca="1">Datum_Broj</f>
        <v>45382</v>
      </c>
      <c r="H51" t="n">
        <v>50</v>
      </c>
      <c r="I51">
        <f aca="1">Godina</f>
        <v>2024</v>
      </c>
      <c r="J51" t="str">
        <f aca="1">IF(VLOOKUP($H51,INDIRECT("Lookup_"&amp;$B51),IF(LEFT($B51,2)="BS",P$2,P$1),0)="","",VLOOKUP($H51,INDIRECT("Lookup_"&amp;$B51),IF($B51="BSa",P$2,P$1),0))</f>
        <v/>
      </c>
      <c r="K51" s="575">
        <f aca="1">IF(VLOOKUP($H51,INDIRECT("Lookup_"&amp;$B51),IF(LEFT($B51,2)="BS",Q$2,Q$1),0)="","",VLOOKUP($H51,INDIRECT("Lookup_"&amp;$B51),IF($B51="BSa",Q$2,Q$1),0))</f>
        <v>85520</v>
      </c>
      <c r="L51" s="575">
        <f aca="1">IF(VLOOKUP($H51,INDIRECT("Lookup_"&amp;$B51),IF(LEFT($B51,2)="BS",R$2,R$1),0)="","",VLOOKUP($H51,INDIRECT("Lookup_"&amp;$B51),IF($B51="BSa",R$2,R$1),0))</f>
        <v>330</v>
      </c>
      <c r="M51" s="571">
        <f aca="1">IF(VLOOKUP($H51,INDIRECT("Lookup_"&amp;$B51),IF(LEFT($B51,2)="BS",S$2,S$1),0)="","",VLOOKUP($H51,INDIRECT("Lookup_"&amp;$B51),IF(LEFT($B51,2)="BS",S$2,S$1),0))</f>
        <v>85190</v>
      </c>
      <c r="N51" s="571">
        <f aca="1">IF(VLOOKUP($H51,INDIRECT("Lookup_"&amp;$B51),IF(LEFT($B51,2)="BS",S$2,S$1),0)="","",VLOOKUP($H51,INDIRECT("Lookup_"&amp;$B51),IF(LEFT($B51,2)="BS",S$2,S$1),0))</f>
        <v>85190</v>
      </c>
    </row>
    <row r="52" spans="1:14">
      <c r="A52" t="n">
        <v>51</v>
      </c>
      <c r="B52" t="str">
        <f>VLOOKUP($A52,Aop!$A$2:$P$453,2,0)</f>
        <v>BSa</v>
      </c>
      <c r="C52" t="n">
        <v>25</v>
      </c>
      <c r="D52" t="str">
        <f aca="1">Podatak_MB</f>
        <v>1062280</v>
      </c>
      <c r="E52" t="str">
        <f aca="1">Podatak_JIB</f>
        <v>4400471400001</v>
      </c>
      <c r="F52" t="b">
        <f aca="1">Konsolidovan_izvjestaj</f>
        <v>0</v>
      </c>
      <c r="G52" s="20">
        <f aca="1">Datum_Broj</f>
        <v>45382</v>
      </c>
      <c r="H52" t="n">
        <v>51</v>
      </c>
      <c r="I52">
        <f aca="1">Godina</f>
        <v>2024</v>
      </c>
      <c r="J52" t="str">
        <f aca="1">IF(VLOOKUP($H52,INDIRECT("Lookup_"&amp;$B52),IF(LEFT($B52,2)="BS",P$2,P$1),0)="","",VLOOKUP($H52,INDIRECT("Lookup_"&amp;$B52),IF($B52="BSa",P$2,P$1),0))</f>
        <v/>
      </c>
      <c r="K52" t="str">
        <f aca="1">IF(VLOOKUP($H52,INDIRECT("Lookup_"&amp;$B52),IF(LEFT($B52,2)="BS",Q$2,Q$1),0)="","",VLOOKUP($H52,INDIRECT("Lookup_"&amp;$B52),IF($B52="BSa",Q$2,Q$1),0))</f>
        <v/>
      </c>
      <c r="L52" t="str">
        <f aca="1">IF(VLOOKUP($H52,INDIRECT("Lookup_"&amp;$B52),IF(LEFT($B52,2)="BS",R$2,R$1),0)="","",VLOOKUP($H52,INDIRECT("Lookup_"&amp;$B52),IF($B52="BSa",R$2,R$1),0))</f>
        <v/>
      </c>
      <c r="M52" s="571">
        <f aca="1">IF(VLOOKUP($H52,INDIRECT("Lookup_"&amp;$B52),IF(LEFT($B52,2)="BS",S$2,S$1),0)="","",VLOOKUP($H52,INDIRECT("Lookup_"&amp;$B52),IF(LEFT($B52,2)="BS",S$2,S$1),0))</f>
        <v>0</v>
      </c>
      <c r="N52" s="571">
        <f aca="1">IF(VLOOKUP($H52,INDIRECT("Lookup_"&amp;$B52),IF(LEFT($B52,2)="BS",S$2,S$1),0)="","",VLOOKUP($H52,INDIRECT("Lookup_"&amp;$B52),IF(LEFT($B52,2)="BS",S$2,S$1),0))</f>
        <v>0</v>
      </c>
    </row>
    <row r="53" spans="1:14">
      <c r="A53" t="n">
        <v>52</v>
      </c>
      <c r="B53" t="str">
        <f>VLOOKUP($A53,Aop!$A$2:$P$453,2,0)</f>
        <v>BSa</v>
      </c>
      <c r="C53" t="n">
        <v>25</v>
      </c>
      <c r="D53" t="str">
        <f aca="1">Podatak_MB</f>
        <v>1062280</v>
      </c>
      <c r="E53" t="str">
        <f aca="1">Podatak_JIB</f>
        <v>4400471400001</v>
      </c>
      <c r="F53" t="b">
        <f aca="1">Konsolidovan_izvjestaj</f>
        <v>0</v>
      </c>
      <c r="G53" s="20">
        <f aca="1">Datum_Broj</f>
        <v>45382</v>
      </c>
      <c r="H53" t="n">
        <v>52</v>
      </c>
      <c r="I53">
        <f aca="1">Godina</f>
        <v>2024</v>
      </c>
      <c r="J53" t="str">
        <f aca="1">IF(VLOOKUP($H53,INDIRECT("Lookup_"&amp;$B53),IF(LEFT($B53,2)="BS",P$2,P$1),0)="","",VLOOKUP($H53,INDIRECT("Lookup_"&amp;$B53),IF($B53="BSa",P$2,P$1),0))</f>
        <v/>
      </c>
      <c r="K53" s="571">
        <f aca="1">IF(VLOOKUP($H53,INDIRECT("Lookup_"&amp;$B53),IF(LEFT($B53,2)="BS",Q$2,Q$1),0)="","",VLOOKUP($H53,INDIRECT("Lookup_"&amp;$B53),IF($B53="BSa",Q$2,Q$1),0))</f>
        <v>0</v>
      </c>
      <c r="L53" s="571">
        <f aca="1">IF(VLOOKUP($H53,INDIRECT("Lookup_"&amp;$B53),IF(LEFT($B53,2)="BS",R$2,R$1),0)="","",VLOOKUP($H53,INDIRECT("Lookup_"&amp;$B53),IF($B53="BSa",R$2,R$1),0))</f>
        <v>0</v>
      </c>
      <c r="M53" s="571">
        <f aca="1">IF(VLOOKUP($H53,INDIRECT("Lookup_"&amp;$B53),IF(LEFT($B53,2)="BS",S$2,S$1),0)="","",VLOOKUP($H53,INDIRECT("Lookup_"&amp;$B53),IF(LEFT($B53,2)="BS",S$2,S$1),0))</f>
        <v>0</v>
      </c>
      <c r="N53" s="571">
        <f aca="1">IF(VLOOKUP($H53,INDIRECT("Lookup_"&amp;$B53),IF(LEFT($B53,2)="BS",S$2,S$1),0)="","",VLOOKUP($H53,INDIRECT("Lookup_"&amp;$B53),IF(LEFT($B53,2)="BS",S$2,S$1),0))</f>
        <v>0</v>
      </c>
    </row>
    <row r="54" spans="1:14">
      <c r="A54" t="n">
        <v>53</v>
      </c>
      <c r="B54" t="str">
        <f>VLOOKUP($A54,Aop!$A$2:$P$453,2,0)</f>
        <v>BSa</v>
      </c>
      <c r="C54" t="n">
        <v>25</v>
      </c>
      <c r="D54" t="str">
        <f aca="1">Podatak_MB</f>
        <v>1062280</v>
      </c>
      <c r="E54" t="str">
        <f aca="1">Podatak_JIB</f>
        <v>4400471400001</v>
      </c>
      <c r="F54" t="b">
        <f aca="1">Konsolidovan_izvjestaj</f>
        <v>0</v>
      </c>
      <c r="G54" s="20">
        <f aca="1">Datum_Broj</f>
        <v>45382</v>
      </c>
      <c r="H54" t="n">
        <v>53</v>
      </c>
      <c r="I54">
        <f aca="1">Godina</f>
        <v>2024</v>
      </c>
      <c r="J54" t="str">
        <f aca="1">IF(VLOOKUP($H54,INDIRECT("Lookup_"&amp;$B54),IF(LEFT($B54,2)="BS",P$2,P$1),0)="","",VLOOKUP($H54,INDIRECT("Lookup_"&amp;$B54),IF($B54="BSa",P$2,P$1),0))</f>
        <v/>
      </c>
      <c r="K54" s="571">
        <f aca="1">IF(VLOOKUP($H54,INDIRECT("Lookup_"&amp;$B54),IF(LEFT($B54,2)="BS",Q$2,Q$1),0)="","",VLOOKUP($H54,INDIRECT("Lookup_"&amp;$B54),IF($B54="BSa",Q$2,Q$1),0))</f>
        <v>0</v>
      </c>
      <c r="L54" s="571">
        <f aca="1">IF(VLOOKUP($H54,INDIRECT("Lookup_"&amp;$B54),IF(LEFT($B54,2)="BS",R$2,R$1),0)="","",VLOOKUP($H54,INDIRECT("Lookup_"&amp;$B54),IF($B54="BSa",R$2,R$1),0))</f>
        <v>0</v>
      </c>
      <c r="M54" s="571">
        <f aca="1">IF(VLOOKUP($H54,INDIRECT("Lookup_"&amp;$B54),IF(LEFT($B54,2)="BS",S$2,S$1),0)="","",VLOOKUP($H54,INDIRECT("Lookup_"&amp;$B54),IF(LEFT($B54,2)="BS",S$2,S$1),0))</f>
        <v>0</v>
      </c>
      <c r="N54" s="571">
        <f aca="1">IF(VLOOKUP($H54,INDIRECT("Lookup_"&amp;$B54),IF(LEFT($B54,2)="BS",S$2,S$1),0)="","",VLOOKUP($H54,INDIRECT("Lookup_"&amp;$B54),IF(LEFT($B54,2)="BS",S$2,S$1),0))</f>
        <v>0</v>
      </c>
    </row>
    <row r="55" spans="1:14">
      <c r="A55" t="n">
        <v>54</v>
      </c>
      <c r="B55" t="str">
        <f>VLOOKUP($A55,Aop!$A$2:$P$453,2,0)</f>
        <v>BSa</v>
      </c>
      <c r="C55" t="n">
        <v>25</v>
      </c>
      <c r="D55" t="str">
        <f aca="1">Podatak_MB</f>
        <v>1062280</v>
      </c>
      <c r="E55" t="str">
        <f aca="1">Podatak_JIB</f>
        <v>4400471400001</v>
      </c>
      <c r="F55" t="b">
        <f aca="1">Konsolidovan_izvjestaj</f>
        <v>0</v>
      </c>
      <c r="G55" s="20">
        <f aca="1">Datum_Broj</f>
        <v>45382</v>
      </c>
      <c r="H55" t="n">
        <v>54</v>
      </c>
      <c r="I55">
        <f aca="1">Godina</f>
        <v>2024</v>
      </c>
      <c r="J55" t="str">
        <f aca="1">IF(VLOOKUP($H55,INDIRECT("Lookup_"&amp;$B55),IF(LEFT($B55,2)="BS",P$2,P$1),0)="","",VLOOKUP($H55,INDIRECT("Lookup_"&amp;$B55),IF($B55="BSa",P$2,P$1),0))</f>
        <v/>
      </c>
      <c r="K55" t="str">
        <f aca="1">IF(VLOOKUP($H55,INDIRECT("Lookup_"&amp;$B55),IF(LEFT($B55,2)="BS",Q$2,Q$1),0)="","",VLOOKUP($H55,INDIRECT("Lookup_"&amp;$B55),IF($B55="BSa",Q$2,Q$1),0))</f>
        <v/>
      </c>
      <c r="L55" t="str">
        <f aca="1">IF(VLOOKUP($H55,INDIRECT("Lookup_"&amp;$B55),IF(LEFT($B55,2)="BS",R$2,R$1),0)="","",VLOOKUP($H55,INDIRECT("Lookup_"&amp;$B55),IF($B55="BSa",R$2,R$1),0))</f>
        <v/>
      </c>
      <c r="M55" s="571">
        <f aca="1">IF(VLOOKUP($H55,INDIRECT("Lookup_"&amp;$B55),IF(LEFT($B55,2)="BS",S$2,S$1),0)="","",VLOOKUP($H55,INDIRECT("Lookup_"&amp;$B55),IF(LEFT($B55,2)="BS",S$2,S$1),0))</f>
        <v>0</v>
      </c>
      <c r="N55" s="571">
        <f aca="1">IF(VLOOKUP($H55,INDIRECT("Lookup_"&amp;$B55),IF(LEFT($B55,2)="BS",S$2,S$1),0)="","",VLOOKUP($H55,INDIRECT("Lookup_"&amp;$B55),IF(LEFT($B55,2)="BS",S$2,S$1),0))</f>
        <v>0</v>
      </c>
    </row>
    <row r="56" spans="1:14">
      <c r="A56" t="n">
        <v>55</v>
      </c>
      <c r="B56" t="str">
        <f>VLOOKUP($A56,Aop!$A$2:$P$453,2,0)</f>
        <v>BSa</v>
      </c>
      <c r="C56" t="n">
        <v>25</v>
      </c>
      <c r="D56" t="str">
        <f aca="1">Podatak_MB</f>
        <v>1062280</v>
      </c>
      <c r="E56" t="str">
        <f aca="1">Podatak_JIB</f>
        <v>4400471400001</v>
      </c>
      <c r="F56" t="b">
        <f aca="1">Konsolidovan_izvjestaj</f>
        <v>0</v>
      </c>
      <c r="G56" s="20">
        <f aca="1">Datum_Broj</f>
        <v>45382</v>
      </c>
      <c r="H56" t="n">
        <v>55</v>
      </c>
      <c r="I56">
        <f aca="1">Godina</f>
        <v>2024</v>
      </c>
      <c r="J56" t="str">
        <f aca="1">IF(VLOOKUP($H56,INDIRECT("Lookup_"&amp;$B56),IF(LEFT($B56,2)="BS",P$2,P$1),0)="","",VLOOKUP($H56,INDIRECT("Lookup_"&amp;$B56),IF($B56="BSa",P$2,P$1),0))</f>
        <v/>
      </c>
      <c r="K56" t="str">
        <f aca="1">IF(VLOOKUP($H56,INDIRECT("Lookup_"&amp;$B56),IF(LEFT($B56,2)="BS",Q$2,Q$1),0)="","",VLOOKUP($H56,INDIRECT("Lookup_"&amp;$B56),IF($B56="BSa",Q$2,Q$1),0))</f>
        <v/>
      </c>
      <c r="L56" t="str">
        <f aca="1">IF(VLOOKUP($H56,INDIRECT("Lookup_"&amp;$B56),IF(LEFT($B56,2)="BS",R$2,R$1),0)="","",VLOOKUP($H56,INDIRECT("Lookup_"&amp;$B56),IF($B56="BSa",R$2,R$1),0))</f>
        <v/>
      </c>
      <c r="M56" s="571">
        <f aca="1">IF(VLOOKUP($H56,INDIRECT("Lookup_"&amp;$B56),IF(LEFT($B56,2)="BS",S$2,S$1),0)="","",VLOOKUP($H56,INDIRECT("Lookup_"&amp;$B56),IF(LEFT($B56,2)="BS",S$2,S$1),0))</f>
        <v>0</v>
      </c>
      <c r="N56" s="571">
        <f aca="1">IF(VLOOKUP($H56,INDIRECT("Lookup_"&amp;$B56),IF(LEFT($B56,2)="BS",S$2,S$1),0)="","",VLOOKUP($H56,INDIRECT("Lookup_"&amp;$B56),IF(LEFT($B56,2)="BS",S$2,S$1),0))</f>
        <v>0</v>
      </c>
    </row>
    <row r="57" spans="1:14">
      <c r="A57" t="n">
        <v>56</v>
      </c>
      <c r="B57" t="str">
        <f>VLOOKUP($A57,Aop!$A$2:$P$453,2,0)</f>
        <v>BSa</v>
      </c>
      <c r="C57" t="n">
        <v>25</v>
      </c>
      <c r="D57" t="str">
        <f aca="1">Podatak_MB</f>
        <v>1062280</v>
      </c>
      <c r="E57" t="str">
        <f aca="1">Podatak_JIB</f>
        <v>4400471400001</v>
      </c>
      <c r="F57" t="b">
        <f aca="1">Konsolidovan_izvjestaj</f>
        <v>0</v>
      </c>
      <c r="G57" s="20">
        <f aca="1">Datum_Broj</f>
        <v>45382</v>
      </c>
      <c r="H57" t="n">
        <v>56</v>
      </c>
      <c r="I57">
        <f aca="1">Godina</f>
        <v>2024</v>
      </c>
      <c r="J57" t="str">
        <f aca="1">IF(VLOOKUP($H57,INDIRECT("Lookup_"&amp;$B57),IF(LEFT($B57,2)="BS",P$2,P$1),0)="","",VLOOKUP($H57,INDIRECT("Lookup_"&amp;$B57),IF($B57="BSa",P$2,P$1),0))</f>
        <v/>
      </c>
      <c r="K57" t="str">
        <f aca="1">IF(VLOOKUP($H57,INDIRECT("Lookup_"&amp;$B57),IF(LEFT($B57,2)="BS",Q$2,Q$1),0)="","",VLOOKUP($H57,INDIRECT("Lookup_"&amp;$B57),IF($B57="BSa",Q$2,Q$1),0))</f>
        <v/>
      </c>
      <c r="L57" t="str">
        <f aca="1">IF(VLOOKUP($H57,INDIRECT("Lookup_"&amp;$B57),IF(LEFT($B57,2)="BS",R$2,R$1),0)="","",VLOOKUP($H57,INDIRECT("Lookup_"&amp;$B57),IF($B57="BSa",R$2,R$1),0))</f>
        <v/>
      </c>
      <c r="M57" s="571">
        <f aca="1">IF(VLOOKUP($H57,INDIRECT("Lookup_"&amp;$B57),IF(LEFT($B57,2)="BS",S$2,S$1),0)="","",VLOOKUP($H57,INDIRECT("Lookup_"&amp;$B57),IF(LEFT($B57,2)="BS",S$2,S$1),0))</f>
        <v>0</v>
      </c>
      <c r="N57" s="571">
        <f aca="1">IF(VLOOKUP($H57,INDIRECT("Lookup_"&amp;$B57),IF(LEFT($B57,2)="BS",S$2,S$1),0)="","",VLOOKUP($H57,INDIRECT("Lookup_"&amp;$B57),IF(LEFT($B57,2)="BS",S$2,S$1),0))</f>
        <v>0</v>
      </c>
    </row>
    <row r="58" spans="1:14">
      <c r="A58" t="n">
        <v>57</v>
      </c>
      <c r="B58" t="str">
        <f>VLOOKUP($A58,Aop!$A$2:$P$453,2,0)</f>
        <v>BSa</v>
      </c>
      <c r="C58" t="n">
        <v>25</v>
      </c>
      <c r="D58" t="str">
        <f aca="1">Podatak_MB</f>
        <v>1062280</v>
      </c>
      <c r="E58" t="str">
        <f aca="1">Podatak_JIB</f>
        <v>4400471400001</v>
      </c>
      <c r="F58" t="b">
        <f aca="1">Konsolidovan_izvjestaj</f>
        <v>0</v>
      </c>
      <c r="G58" s="20">
        <f aca="1">Datum_Broj</f>
        <v>45382</v>
      </c>
      <c r="H58" t="n">
        <v>57</v>
      </c>
      <c r="I58">
        <f aca="1">Godina</f>
        <v>2024</v>
      </c>
      <c r="J58" t="str">
        <f aca="1">IF(VLOOKUP($H58,INDIRECT("Lookup_"&amp;$B58),IF(LEFT($B58,2)="BS",P$2,P$1),0)="","",VLOOKUP($H58,INDIRECT("Lookup_"&amp;$B58),IF($B58="BSa",P$2,P$1),0))</f>
        <v/>
      </c>
      <c r="K58" t="str">
        <f aca="1">IF(VLOOKUP($H58,INDIRECT("Lookup_"&amp;$B58),IF(LEFT($B58,2)="BS",Q$2,Q$1),0)="","",VLOOKUP($H58,INDIRECT("Lookup_"&amp;$B58),IF($B58="BSa",Q$2,Q$1),0))</f>
        <v/>
      </c>
      <c r="L58" t="str">
        <f aca="1">IF(VLOOKUP($H58,INDIRECT("Lookup_"&amp;$B58),IF(LEFT($B58,2)="BS",R$2,R$1),0)="","",VLOOKUP($H58,INDIRECT("Lookup_"&amp;$B58),IF($B58="BSa",R$2,R$1),0))</f>
        <v/>
      </c>
      <c r="M58" s="571">
        <f aca="1">IF(VLOOKUP($H58,INDIRECT("Lookup_"&amp;$B58),IF(LEFT($B58,2)="BS",S$2,S$1),0)="","",VLOOKUP($H58,INDIRECT("Lookup_"&amp;$B58),IF(LEFT($B58,2)="BS",S$2,S$1),0))</f>
        <v>0</v>
      </c>
      <c r="N58" s="571">
        <f aca="1">IF(VLOOKUP($H58,INDIRECT("Lookup_"&amp;$B58),IF(LEFT($B58,2)="BS",S$2,S$1),0)="","",VLOOKUP($H58,INDIRECT("Lookup_"&amp;$B58),IF(LEFT($B58,2)="BS",S$2,S$1),0))</f>
        <v>0</v>
      </c>
    </row>
    <row r="59" spans="1:14">
      <c r="A59" t="n">
        <v>58</v>
      </c>
      <c r="B59" t="str">
        <f>VLOOKUP($A59,Aop!$A$2:$P$453,2,0)</f>
        <v>BSa</v>
      </c>
      <c r="C59" t="n">
        <v>25</v>
      </c>
      <c r="D59" t="str">
        <f aca="1">Podatak_MB</f>
        <v>1062280</v>
      </c>
      <c r="E59" t="str">
        <f aca="1">Podatak_JIB</f>
        <v>4400471400001</v>
      </c>
      <c r="F59" t="b">
        <f aca="1">Konsolidovan_izvjestaj</f>
        <v>0</v>
      </c>
      <c r="G59" s="20">
        <f aca="1">Datum_Broj</f>
        <v>45382</v>
      </c>
      <c r="H59" t="n">
        <v>58</v>
      </c>
      <c r="I59">
        <f aca="1">Godina</f>
        <v>2024</v>
      </c>
      <c r="J59" t="str">
        <f aca="1">IF(VLOOKUP($H59,INDIRECT("Lookup_"&amp;$B59),IF(LEFT($B59,2)="BS",P$2,P$1),0)="","",VLOOKUP($H59,INDIRECT("Lookup_"&amp;$B59),IF($B59="BSa",P$2,P$1),0))</f>
        <v/>
      </c>
      <c r="K59" t="str">
        <f aca="1">IF(VLOOKUP($H59,INDIRECT("Lookup_"&amp;$B59),IF(LEFT($B59,2)="BS",Q$2,Q$1),0)="","",VLOOKUP($H59,INDIRECT("Lookup_"&amp;$B59),IF($B59="BSa",Q$2,Q$1),0))</f>
        <v/>
      </c>
      <c r="L59" t="str">
        <f aca="1">IF(VLOOKUP($H59,INDIRECT("Lookup_"&amp;$B59),IF(LEFT($B59,2)="BS",R$2,R$1),0)="","",VLOOKUP($H59,INDIRECT("Lookup_"&amp;$B59),IF($B59="BSa",R$2,R$1),0))</f>
        <v/>
      </c>
      <c r="M59" s="571">
        <f aca="1">IF(VLOOKUP($H59,INDIRECT("Lookup_"&amp;$B59),IF(LEFT($B59,2)="BS",S$2,S$1),0)="","",VLOOKUP($H59,INDIRECT("Lookup_"&amp;$B59),IF(LEFT($B59,2)="BS",S$2,S$1),0))</f>
        <v>0</v>
      </c>
      <c r="N59" s="571">
        <f aca="1">IF(VLOOKUP($H59,INDIRECT("Lookup_"&amp;$B59),IF(LEFT($B59,2)="BS",S$2,S$1),0)="","",VLOOKUP($H59,INDIRECT("Lookup_"&amp;$B59),IF(LEFT($B59,2)="BS",S$2,S$1),0))</f>
        <v>0</v>
      </c>
    </row>
    <row r="60" spans="1:14">
      <c r="A60" t="n">
        <v>59</v>
      </c>
      <c r="B60" t="str">
        <f>VLOOKUP($A60,Aop!$A$2:$P$453,2,0)</f>
        <v>BSa</v>
      </c>
      <c r="C60" t="n">
        <v>25</v>
      </c>
      <c r="D60" t="str">
        <f aca="1">Podatak_MB</f>
        <v>1062280</v>
      </c>
      <c r="E60" t="str">
        <f aca="1">Podatak_JIB</f>
        <v>4400471400001</v>
      </c>
      <c r="F60" t="b">
        <f aca="1">Konsolidovan_izvjestaj</f>
        <v>0</v>
      </c>
      <c r="G60" s="20">
        <f aca="1">Datum_Broj</f>
        <v>45382</v>
      </c>
      <c r="H60" t="n">
        <v>59</v>
      </c>
      <c r="I60">
        <f aca="1">Godina</f>
        <v>2024</v>
      </c>
      <c r="J60" t="str">
        <f aca="1">IF(VLOOKUP($H60,INDIRECT("Lookup_"&amp;$B60),IF(LEFT($B60,2)="BS",P$2,P$1),0)="","",VLOOKUP($H60,INDIRECT("Lookup_"&amp;$B60),IF($B60="BSa",P$2,P$1),0))</f>
        <v/>
      </c>
      <c r="K60" t="str">
        <f aca="1">IF(VLOOKUP($H60,INDIRECT("Lookup_"&amp;$B60),IF(LEFT($B60,2)="BS",Q$2,Q$1),0)="","",VLOOKUP($H60,INDIRECT("Lookup_"&amp;$B60),IF($B60="BSa",Q$2,Q$1),0))</f>
        <v/>
      </c>
      <c r="L60" t="str">
        <f aca="1">IF(VLOOKUP($H60,INDIRECT("Lookup_"&amp;$B60),IF(LEFT($B60,2)="BS",R$2,R$1),0)="","",VLOOKUP($H60,INDIRECT("Lookup_"&amp;$B60),IF($B60="BSa",R$2,R$1),0))</f>
        <v/>
      </c>
      <c r="M60" s="571">
        <f aca="1">IF(VLOOKUP($H60,INDIRECT("Lookup_"&amp;$B60),IF(LEFT($B60,2)="BS",S$2,S$1),0)="","",VLOOKUP($H60,INDIRECT("Lookup_"&amp;$B60),IF(LEFT($B60,2)="BS",S$2,S$1),0))</f>
        <v>0</v>
      </c>
      <c r="N60" s="571">
        <f aca="1">IF(VLOOKUP($H60,INDIRECT("Lookup_"&amp;$B60),IF(LEFT($B60,2)="BS",S$2,S$1),0)="","",VLOOKUP($H60,INDIRECT("Lookup_"&amp;$B60),IF(LEFT($B60,2)="BS",S$2,S$1),0))</f>
        <v>0</v>
      </c>
    </row>
    <row r="61" spans="1:14">
      <c r="A61" t="n">
        <v>60</v>
      </c>
      <c r="B61" t="str">
        <f>VLOOKUP($A61,Aop!$A$2:$P$453,2,0)</f>
        <v>BSa</v>
      </c>
      <c r="C61" t="n">
        <v>25</v>
      </c>
      <c r="D61" t="str">
        <f aca="1">Podatak_MB</f>
        <v>1062280</v>
      </c>
      <c r="E61" t="str">
        <f aca="1">Podatak_JIB</f>
        <v>4400471400001</v>
      </c>
      <c r="F61" t="b">
        <f aca="1">Konsolidovan_izvjestaj</f>
        <v>0</v>
      </c>
      <c r="G61" s="20">
        <f aca="1">Datum_Broj</f>
        <v>45382</v>
      </c>
      <c r="H61" t="n">
        <v>60</v>
      </c>
      <c r="I61">
        <f aca="1">Godina</f>
        <v>2024</v>
      </c>
      <c r="J61" t="str">
        <f aca="1">IF(VLOOKUP($H61,INDIRECT("Lookup_"&amp;$B61),IF(LEFT($B61,2)="BS",P$2,P$1),0)="","",VLOOKUP($H61,INDIRECT("Lookup_"&amp;$B61),IF($B61="BSa",P$2,P$1),0))</f>
        <v/>
      </c>
      <c r="K61" t="str">
        <f aca="1">IF(VLOOKUP($H61,INDIRECT("Lookup_"&amp;$B61),IF(LEFT($B61,2)="BS",Q$2,Q$1),0)="","",VLOOKUP($H61,INDIRECT("Lookup_"&amp;$B61),IF($B61="BSa",Q$2,Q$1),0))</f>
        <v/>
      </c>
      <c r="L61" t="str">
        <f aca="1">IF(VLOOKUP($H61,INDIRECT("Lookup_"&amp;$B61),IF(LEFT($B61,2)="BS",R$2,R$1),0)="","",VLOOKUP($H61,INDIRECT("Lookup_"&amp;$B61),IF($B61="BSa",R$2,R$1),0))</f>
        <v/>
      </c>
      <c r="M61" s="571">
        <f aca="1">IF(VLOOKUP($H61,INDIRECT("Lookup_"&amp;$B61),IF(LEFT($B61,2)="BS",S$2,S$1),0)="","",VLOOKUP($H61,INDIRECT("Lookup_"&amp;$B61),IF(LEFT($B61,2)="BS",S$2,S$1),0))</f>
        <v>0</v>
      </c>
      <c r="N61" s="571">
        <f aca="1">IF(VLOOKUP($H61,INDIRECT("Lookup_"&amp;$B61),IF(LEFT($B61,2)="BS",S$2,S$1),0)="","",VLOOKUP($H61,INDIRECT("Lookup_"&amp;$B61),IF(LEFT($B61,2)="BS",S$2,S$1),0))</f>
        <v>0</v>
      </c>
    </row>
    <row r="62" spans="1:14">
      <c r="A62" t="n">
        <v>61</v>
      </c>
      <c r="B62" t="str">
        <f>VLOOKUP($A62,Aop!$A$2:$P$453,2,0)</f>
        <v>BSa</v>
      </c>
      <c r="C62" t="n">
        <v>25</v>
      </c>
      <c r="D62" t="str">
        <f aca="1">Podatak_MB</f>
        <v>1062280</v>
      </c>
      <c r="E62" t="str">
        <f aca="1">Podatak_JIB</f>
        <v>4400471400001</v>
      </c>
      <c r="F62" t="b">
        <f aca="1">Konsolidovan_izvjestaj</f>
        <v>0</v>
      </c>
      <c r="G62" s="20">
        <f aca="1">Datum_Broj</f>
        <v>45382</v>
      </c>
      <c r="H62" t="n">
        <v>61</v>
      </c>
      <c r="I62">
        <f aca="1">Godina</f>
        <v>2024</v>
      </c>
      <c r="J62" t="str">
        <f aca="1">IF(VLOOKUP($H62,INDIRECT("Lookup_"&amp;$B62),IF(LEFT($B62,2)="BS",P$2,P$1),0)="","",VLOOKUP($H62,INDIRECT("Lookup_"&amp;$B62),IF($B62="BSa",P$2,P$1),0))</f>
        <v/>
      </c>
      <c r="K62" s="571">
        <f aca="1">IF(VLOOKUP($H62,INDIRECT("Lookup_"&amp;$B62),IF(LEFT($B62,2)="BS",Q$2,Q$1),0)="","",VLOOKUP($H62,INDIRECT("Lookup_"&amp;$B62),IF($B62="BSa",Q$2,Q$1),0))</f>
        <v>9345</v>
      </c>
      <c r="L62" s="571">
        <f aca="1">IF(VLOOKUP($H62,INDIRECT("Lookup_"&amp;$B62),IF(LEFT($B62,2)="BS",R$2,R$1),0)="","",VLOOKUP($H62,INDIRECT("Lookup_"&amp;$B62),IF($B62="BSa",R$2,R$1),0))</f>
        <v>0</v>
      </c>
      <c r="M62" s="571">
        <f aca="1">IF(VLOOKUP($H62,INDIRECT("Lookup_"&amp;$B62),IF(LEFT($B62,2)="BS",S$2,S$1),0)="","",VLOOKUP($H62,INDIRECT("Lookup_"&amp;$B62),IF(LEFT($B62,2)="BS",S$2,S$1),0))</f>
        <v>9345</v>
      </c>
      <c r="N62" s="571">
        <f aca="1">IF(VLOOKUP($H62,INDIRECT("Lookup_"&amp;$B62),IF(LEFT($B62,2)="BS",S$2,S$1),0)="","",VLOOKUP($H62,INDIRECT("Lookup_"&amp;$B62),IF(LEFT($B62,2)="BS",S$2,S$1),0))</f>
        <v>9345</v>
      </c>
    </row>
    <row r="63" spans="1:14">
      <c r="A63" t="n">
        <v>62</v>
      </c>
      <c r="B63" t="str">
        <f>VLOOKUP($A63,Aop!$A$2:$P$453,2,0)</f>
        <v>BSa</v>
      </c>
      <c r="C63" t="n">
        <v>25</v>
      </c>
      <c r="D63" t="str">
        <f aca="1">Podatak_MB</f>
        <v>1062280</v>
      </c>
      <c r="E63" t="str">
        <f aca="1">Podatak_JIB</f>
        <v>4400471400001</v>
      </c>
      <c r="F63" t="b">
        <f aca="1">Konsolidovan_izvjestaj</f>
        <v>0</v>
      </c>
      <c r="G63" s="20">
        <f aca="1">Datum_Broj</f>
        <v>45382</v>
      </c>
      <c r="H63" t="n">
        <v>62</v>
      </c>
      <c r="I63">
        <f aca="1">Godina</f>
        <v>2024</v>
      </c>
      <c r="J63" t="str">
        <f aca="1">IF(VLOOKUP($H63,INDIRECT("Lookup_"&amp;$B63),IF(LEFT($B63,2)="BS",P$2,P$1),0)="","",VLOOKUP($H63,INDIRECT("Lookup_"&amp;$B63),IF($B63="BSa",P$2,P$1),0))</f>
        <v/>
      </c>
      <c r="K63" t="str">
        <f aca="1">IF(VLOOKUP($H63,INDIRECT("Lookup_"&amp;$B63),IF(LEFT($B63,2)="BS",Q$2,Q$1),0)="","",VLOOKUP($H63,INDIRECT("Lookup_"&amp;$B63),IF($B63="BSa",Q$2,Q$1),0))</f>
        <v/>
      </c>
      <c r="L63" t="str">
        <f aca="1">IF(VLOOKUP($H63,INDIRECT("Lookup_"&amp;$B63),IF(LEFT($B63,2)="BS",R$2,R$1),0)="","",VLOOKUP($H63,INDIRECT("Lookup_"&amp;$B63),IF($B63="BSa",R$2,R$1),0))</f>
        <v/>
      </c>
      <c r="M63" s="571">
        <f aca="1">IF(VLOOKUP($H63,INDIRECT("Lookup_"&amp;$B63),IF(LEFT($B63,2)="BS",S$2,S$1),0)="","",VLOOKUP($H63,INDIRECT("Lookup_"&amp;$B63),IF(LEFT($B63,2)="BS",S$2,S$1),0))</f>
        <v>0</v>
      </c>
      <c r="N63" s="571">
        <f aca="1">IF(VLOOKUP($H63,INDIRECT("Lookup_"&amp;$B63),IF(LEFT($B63,2)="BS",S$2,S$1),0)="","",VLOOKUP($H63,INDIRECT("Lookup_"&amp;$B63),IF(LEFT($B63,2)="BS",S$2,S$1),0))</f>
        <v>0</v>
      </c>
    </row>
    <row r="64" spans="1:14">
      <c r="A64" t="n">
        <v>63</v>
      </c>
      <c r="B64" t="str">
        <f>VLOOKUP($A64,Aop!$A$2:$P$453,2,0)</f>
        <v>BSa</v>
      </c>
      <c r="C64" t="n">
        <v>25</v>
      </c>
      <c r="D64" t="str">
        <f aca="1">Podatak_MB</f>
        <v>1062280</v>
      </c>
      <c r="E64" t="str">
        <f aca="1">Podatak_JIB</f>
        <v>4400471400001</v>
      </c>
      <c r="F64" t="b">
        <f aca="1">Konsolidovan_izvjestaj</f>
        <v>0</v>
      </c>
      <c r="G64" s="20">
        <f aca="1">Datum_Broj</f>
        <v>45382</v>
      </c>
      <c r="H64" t="n">
        <v>63</v>
      </c>
      <c r="I64">
        <f aca="1">Godina</f>
        <v>2024</v>
      </c>
      <c r="J64" t="str">
        <f aca="1">IF(VLOOKUP($H64,INDIRECT("Lookup_"&amp;$B64),IF(LEFT($B64,2)="BS",P$2,P$1),0)="","",VLOOKUP($H64,INDIRECT("Lookup_"&amp;$B64),IF($B64="BSa",P$2,P$1),0))</f>
        <v/>
      </c>
      <c r="K64" s="575">
        <f aca="1">IF(VLOOKUP($H64,INDIRECT("Lookup_"&amp;$B64),IF(LEFT($B64,2)="BS",Q$2,Q$1),0)="","",VLOOKUP($H64,INDIRECT("Lookup_"&amp;$B64),IF($B64="BSa",Q$2,Q$1),0))</f>
        <v>9345</v>
      </c>
      <c r="L64" t="str">
        <f aca="1">IF(VLOOKUP($H64,INDIRECT("Lookup_"&amp;$B64),IF(LEFT($B64,2)="BS",R$2,R$1),0)="","",VLOOKUP($H64,INDIRECT("Lookup_"&amp;$B64),IF($B64="BSa",R$2,R$1),0))</f>
        <v/>
      </c>
      <c r="M64" s="571">
        <f aca="1">IF(VLOOKUP($H64,INDIRECT("Lookup_"&amp;$B64),IF(LEFT($B64,2)="BS",S$2,S$1),0)="","",VLOOKUP($H64,INDIRECT("Lookup_"&amp;$B64),IF(LEFT($B64,2)="BS",S$2,S$1),0))</f>
        <v>9345</v>
      </c>
      <c r="N64" s="571">
        <f aca="1">IF(VLOOKUP($H64,INDIRECT("Lookup_"&amp;$B64),IF(LEFT($B64,2)="BS",S$2,S$1),0)="","",VLOOKUP($H64,INDIRECT("Lookup_"&amp;$B64),IF(LEFT($B64,2)="BS",S$2,S$1),0))</f>
        <v>9345</v>
      </c>
    </row>
    <row r="65" spans="1:14">
      <c r="A65" t="n">
        <v>64</v>
      </c>
      <c r="B65" t="str">
        <f>VLOOKUP($A65,Aop!$A$2:$P$453,2,0)</f>
        <v>BSa</v>
      </c>
      <c r="C65" t="n">
        <v>25</v>
      </c>
      <c r="D65" t="str">
        <f aca="1">Podatak_MB</f>
        <v>1062280</v>
      </c>
      <c r="E65" t="str">
        <f aca="1">Podatak_JIB</f>
        <v>4400471400001</v>
      </c>
      <c r="F65" t="b">
        <f aca="1">Konsolidovan_izvjestaj</f>
        <v>0</v>
      </c>
      <c r="G65" s="20">
        <f aca="1">Datum_Broj</f>
        <v>45382</v>
      </c>
      <c r="H65" t="n">
        <v>64</v>
      </c>
      <c r="I65">
        <f aca="1">Godina</f>
        <v>2024</v>
      </c>
      <c r="J65" t="str">
        <f aca="1">IF(VLOOKUP($H65,INDIRECT("Lookup_"&amp;$B65),IF(LEFT($B65,2)="BS",P$2,P$1),0)="","",VLOOKUP($H65,INDIRECT("Lookup_"&amp;$B65),IF($B65="BSa",P$2,P$1),0))</f>
        <v/>
      </c>
      <c r="K65" s="575" t="str">
        <f aca="1">IF(VLOOKUP($H65,INDIRECT("Lookup_"&amp;$B65),IF(LEFT($B65,2)="BS",Q$2,Q$1),0)="","",VLOOKUP($H65,INDIRECT("Lookup_"&amp;$B65),IF($B65="BSa",Q$2,Q$1),0))</f>
        <v/>
      </c>
      <c r="L65" t="str">
        <f aca="1">IF(VLOOKUP($H65,INDIRECT("Lookup_"&amp;$B65),IF(LEFT($B65,2)="BS",R$2,R$1),0)="","",VLOOKUP($H65,INDIRECT("Lookup_"&amp;$B65),IF($B65="BSa",R$2,R$1),0))</f>
        <v/>
      </c>
      <c r="M65" s="571">
        <f aca="1">IF(VLOOKUP($H65,INDIRECT("Lookup_"&amp;$B65),IF(LEFT($B65,2)="BS",S$2,S$1),0)="","",VLOOKUP($H65,INDIRECT("Lookup_"&amp;$B65),IF(LEFT($B65,2)="BS",S$2,S$1),0))</f>
        <v>0</v>
      </c>
      <c r="N65" s="571">
        <f aca="1">IF(VLOOKUP($H65,INDIRECT("Lookup_"&amp;$B65),IF(LEFT($B65,2)="BS",S$2,S$1),0)="","",VLOOKUP($H65,INDIRECT("Lookup_"&amp;$B65),IF(LEFT($B65,2)="BS",S$2,S$1),0))</f>
        <v>0</v>
      </c>
    </row>
    <row r="66" spans="1:14">
      <c r="A66" t="n">
        <v>65</v>
      </c>
      <c r="B66" t="str">
        <f>VLOOKUP($A66,Aop!$A$2:$P$453,2,0)</f>
        <v>BSa</v>
      </c>
      <c r="C66" t="n">
        <v>25</v>
      </c>
      <c r="D66" t="str">
        <f aca="1">Podatak_MB</f>
        <v>1062280</v>
      </c>
      <c r="E66" t="str">
        <f aca="1">Podatak_JIB</f>
        <v>4400471400001</v>
      </c>
      <c r="F66" t="b">
        <f aca="1">Konsolidovan_izvjestaj</f>
        <v>0</v>
      </c>
      <c r="G66" s="20">
        <f aca="1">Datum_Broj</f>
        <v>45382</v>
      </c>
      <c r="H66" t="n">
        <v>65</v>
      </c>
      <c r="I66">
        <f aca="1">Godina</f>
        <v>2024</v>
      </c>
      <c r="J66" t="str">
        <f aca="1">IF(VLOOKUP($H66,INDIRECT("Lookup_"&amp;$B66),IF(LEFT($B66,2)="BS",P$2,P$1),0)="","",VLOOKUP($H66,INDIRECT("Lookup_"&amp;$B66),IF($B66="BSa",P$2,P$1),0))</f>
        <v/>
      </c>
      <c r="K66" s="575">
        <f aca="1">IF(VLOOKUP($H66,INDIRECT("Lookup_"&amp;$B66),IF(LEFT($B66,2)="BS",Q$2,Q$1),0)="","",VLOOKUP($H66,INDIRECT("Lookup_"&amp;$B66),IF($B66="BSa",Q$2,Q$1),0))</f>
        <v>362940</v>
      </c>
      <c r="L66" t="str">
        <f aca="1">IF(VLOOKUP($H66,INDIRECT("Lookup_"&amp;$B66),IF(LEFT($B66,2)="BS",R$2,R$1),0)="","",VLOOKUP($H66,INDIRECT("Lookup_"&amp;$B66),IF($B66="BSa",R$2,R$1),0))</f>
        <v/>
      </c>
      <c r="M66" s="571">
        <f aca="1">IF(VLOOKUP($H66,INDIRECT("Lookup_"&amp;$B66),IF(LEFT($B66,2)="BS",S$2,S$1),0)="","",VLOOKUP($H66,INDIRECT("Lookup_"&amp;$B66),IF(LEFT($B66,2)="BS",S$2,S$1),0))</f>
        <v>362940</v>
      </c>
      <c r="N66" s="571">
        <f aca="1">IF(VLOOKUP($H66,INDIRECT("Lookup_"&amp;$B66),IF(LEFT($B66,2)="BS",S$2,S$1),0)="","",VLOOKUP($H66,INDIRECT("Lookup_"&amp;$B66),IF(LEFT($B66,2)="BS",S$2,S$1),0))</f>
        <v>362940</v>
      </c>
    </row>
    <row r="67" spans="1:14">
      <c r="A67" t="n">
        <v>66</v>
      </c>
      <c r="B67" t="str">
        <f>VLOOKUP($A67,Aop!$A$2:$P$453,2,0)</f>
        <v>BSa</v>
      </c>
      <c r="C67" t="n">
        <v>25</v>
      </c>
      <c r="D67" t="str">
        <f aca="1">Podatak_MB</f>
        <v>1062280</v>
      </c>
      <c r="E67" t="str">
        <f aca="1">Podatak_JIB</f>
        <v>4400471400001</v>
      </c>
      <c r="F67" t="b">
        <f aca="1">Konsolidovan_izvjestaj</f>
        <v>0</v>
      </c>
      <c r="G67" s="20">
        <f aca="1">Datum_Broj</f>
        <v>45382</v>
      </c>
      <c r="H67" t="n">
        <v>66</v>
      </c>
      <c r="I67">
        <f aca="1">Godina</f>
        <v>2024</v>
      </c>
      <c r="J67" t="str">
        <f aca="1">IF(VLOOKUP($H67,INDIRECT("Lookup_"&amp;$B67),IF(LEFT($B67,2)="BS",P$2,P$1),0)="","",VLOOKUP($H67,INDIRECT("Lookup_"&amp;$B67),IF($B67="BSa",P$2,P$1),0))</f>
        <v/>
      </c>
      <c r="K67" s="571">
        <f aca="1">IF(VLOOKUP($H67,INDIRECT("Lookup_"&amp;$B67),IF(LEFT($B67,2)="BS",Q$2,Q$1),0)="","",VLOOKUP($H67,INDIRECT("Lookup_"&amp;$B67),IF($B67="BSa",Q$2,Q$1),0))</f>
        <v>13512348</v>
      </c>
      <c r="L67" s="571">
        <f aca="1">IF(VLOOKUP($H67,INDIRECT("Lookup_"&amp;$B67),IF(LEFT($B67,2)="BS",R$2,R$1),0)="","",VLOOKUP($H67,INDIRECT("Lookup_"&amp;$B67),IF($B67="BSa",R$2,R$1),0))</f>
        <v>6113126</v>
      </c>
      <c r="M67" s="571">
        <f aca="1">IF(VLOOKUP($H67,INDIRECT("Lookup_"&amp;$B67),IF(LEFT($B67,2)="BS",S$2,S$1),0)="","",VLOOKUP($H67,INDIRECT("Lookup_"&amp;$B67),IF(LEFT($B67,2)="BS",S$2,S$1),0))</f>
        <v>7399222</v>
      </c>
      <c r="N67" s="571">
        <f aca="1">IF(VLOOKUP($H67,INDIRECT("Lookup_"&amp;$B67),IF(LEFT($B67,2)="BS",S$2,S$1),0)="","",VLOOKUP($H67,INDIRECT("Lookup_"&amp;$B67),IF(LEFT($B67,2)="BS",S$2,S$1),0))</f>
        <v>7399222</v>
      </c>
    </row>
    <row r="68" spans="1:14">
      <c r="A68" t="n">
        <v>67</v>
      </c>
      <c r="B68" t="str">
        <f>VLOOKUP($A68,Aop!$A$2:$P$453,2,0)</f>
        <v>BSa</v>
      </c>
      <c r="C68" t="n">
        <v>25</v>
      </c>
      <c r="D68" t="str">
        <f aca="1">Podatak_MB</f>
        <v>1062280</v>
      </c>
      <c r="E68" t="str">
        <f aca="1">Podatak_JIB</f>
        <v>4400471400001</v>
      </c>
      <c r="F68" t="b">
        <f aca="1">Konsolidovan_izvjestaj</f>
        <v>0</v>
      </c>
      <c r="G68" s="20">
        <f aca="1">Datum_Broj</f>
        <v>45382</v>
      </c>
      <c r="H68" t="n">
        <v>67</v>
      </c>
      <c r="I68">
        <f aca="1">Godina</f>
        <v>2024</v>
      </c>
      <c r="J68" t="str">
        <f aca="1">IF(VLOOKUP($H68,INDIRECT("Lookup_"&amp;$B68),IF(LEFT($B68,2)="BS",P$2,P$1),0)="","",VLOOKUP($H68,INDIRECT("Lookup_"&amp;$B68),IF($B68="BSa",P$2,P$1),0))</f>
        <v/>
      </c>
      <c r="K68" t="str">
        <f aca="1">IF(VLOOKUP($H68,INDIRECT("Lookup_"&amp;$B68),IF(LEFT($B68,2)="BS",Q$2,Q$1),0)="","",VLOOKUP($H68,INDIRECT("Lookup_"&amp;$B68),IF($B68="BSa",Q$2,Q$1),0))</f>
        <v/>
      </c>
      <c r="L68" t="str">
        <f aca="1">IF(VLOOKUP($H68,INDIRECT("Lookup_"&amp;$B68),IF(LEFT($B68,2)="BS",R$2,R$1),0)="","",VLOOKUP($H68,INDIRECT("Lookup_"&amp;$B68),IF($B68="BSa",R$2,R$1),0))</f>
        <v/>
      </c>
      <c r="M68" s="571">
        <f aca="1">IF(VLOOKUP($H68,INDIRECT("Lookup_"&amp;$B68),IF(LEFT($B68,2)="BS",S$2,S$1),0)="","",VLOOKUP($H68,INDIRECT("Lookup_"&amp;$B68),IF(LEFT($B68,2)="BS",S$2,S$1),0))</f>
        <v>0</v>
      </c>
      <c r="N68" s="571">
        <f aca="1">IF(VLOOKUP($H68,INDIRECT("Lookup_"&amp;$B68),IF(LEFT($B68,2)="BS",S$2,S$1),0)="","",VLOOKUP($H68,INDIRECT("Lookup_"&amp;$B68),IF(LEFT($B68,2)="BS",S$2,S$1),0))</f>
        <v>0</v>
      </c>
    </row>
    <row r="69" spans="1:14">
      <c r="A69" t="n">
        <v>68</v>
      </c>
      <c r="B69" t="str">
        <f>VLOOKUP($A69,Aop!$A$2:$P$453,2,0)</f>
        <v>BSp</v>
      </c>
      <c r="C69" t="n">
        <v>26</v>
      </c>
      <c r="D69" t="str">
        <f aca="1">Podatak_MB</f>
        <v>1062280</v>
      </c>
      <c r="E69" t="str">
        <f aca="1">Podatak_JIB</f>
        <v>4400471400001</v>
      </c>
      <c r="F69" t="b">
        <f aca="1">Konsolidovan_izvjestaj</f>
        <v>0</v>
      </c>
      <c r="G69" s="20">
        <f aca="1">Datum_Broj</f>
        <v>45382</v>
      </c>
      <c r="H69" s="572">
        <f>VLOOKUP($A69,Aop!$A$2:$P$453,4,0)</f>
        <v>101</v>
      </c>
      <c r="I69">
        <f aca="1">Godina</f>
        <v>2024</v>
      </c>
      <c r="J69" t="str">
        <f aca="1">IF(VLOOKUP($H69,INDIRECT("Lookup_"&amp;$B69),IF(LEFT($B69,2)="BS",P$2,P$1),0)="","",VLOOKUP($H69,INDIRECT("Lookup_"&amp;$B69),IF($B69="BSp",P$2,P$1),0))</f>
        <v/>
      </c>
      <c r="K69"/>
      <c r="L69" t="str">
        <f aca="1">IF(VLOOKUP($H69,INDIRECT("Lookup_"&amp;$B69),IF(LEFT($B69,2)="BS",R$2,R$1),0)="","",VLOOKUP($H69,INDIRECT("Lookup_"&amp;$B69),IF($B69="BSa",R$2,R$1),0))</f>
        <v/>
      </c>
      <c r="M69" s="571">
        <f aca="1">IF(VLOOKUP($H69,INDIRECT("Lookup_"&amp;$B69),IF(LEFT($B69,2)="BS",S$2,S$1),0)="","",VLOOKUP($H69,INDIRECT("Lookup_"&amp;$B69),IF(LEFT($B69,2)="BS",S$2,S$1),0))</f>
        <v>1190514</v>
      </c>
      <c r="N69" s="571">
        <f aca="1">IF(VLOOKUP($H69,INDIRECT("Lookup_"&amp;$B69),IF(LEFT($B69,2)="BS",S$2,S$1),0)="","",VLOOKUP($H69,INDIRECT("Lookup_"&amp;$B69),IF(LEFT($B69,2)="BS",S$2,S$1),0))</f>
        <v>1190514</v>
      </c>
    </row>
    <row r="70" spans="1:14">
      <c r="A70" t="n">
        <v>69</v>
      </c>
      <c r="B70" t="str">
        <f>VLOOKUP($A70,Aop!$A$2:$P$453,2,0)</f>
        <v>BSp</v>
      </c>
      <c r="C70" t="n">
        <v>26</v>
      </c>
      <c r="D70" t="str">
        <f aca="1">Podatak_MB</f>
        <v>1062280</v>
      </c>
      <c r="E70" t="str">
        <f aca="1">Podatak_JIB</f>
        <v>4400471400001</v>
      </c>
      <c r="F70" t="b">
        <f aca="1">Konsolidovan_izvjestaj</f>
        <v>0</v>
      </c>
      <c r="G70" s="20">
        <f aca="1">Datum_Broj</f>
        <v>45382</v>
      </c>
      <c r="H70" s="572">
        <f>VLOOKUP($A70,Aop!$A$2:$P$453,4,0)</f>
        <v>102</v>
      </c>
      <c r="I70">
        <f aca="1">Godina</f>
        <v>2024</v>
      </c>
      <c r="J70" t="str">
        <f aca="1">IF(VLOOKUP($H70,INDIRECT("Lookup_"&amp;$B70),IF(LEFT($B70,2)="BS",P$2,P$1),0)="","",VLOOKUP($H70,INDIRECT("Lookup_"&amp;$B70),IF($B70="BSp",P$2,P$1),0))</f>
        <v/>
      </c>
      <c r="K70"/>
      <c r="L70" t="str">
        <f aca="1">IF(VLOOKUP($H70,INDIRECT("Lookup_"&amp;$B70),IF(LEFT($B70,2)="BS",R$2,R$1),0)="","",VLOOKUP($H70,INDIRECT("Lookup_"&amp;$B70),IF($B70="BSa",R$2,R$1),0))</f>
        <v/>
      </c>
      <c r="M70" s="571">
        <f aca="1">IF(VLOOKUP($H70,INDIRECT("Lookup_"&amp;$B70),IF(LEFT($B70,2)="BS",S$2,S$1),0)="","",VLOOKUP($H70,INDIRECT("Lookup_"&amp;$B70),IF(LEFT($B70,2)="BS",S$2,S$1),0))</f>
        <v>6015177</v>
      </c>
      <c r="N70" s="571">
        <f aca="1">IF(VLOOKUP($H70,INDIRECT("Lookup_"&amp;$B70),IF(LEFT($B70,2)="BS",S$2,S$1),0)="","",VLOOKUP($H70,INDIRECT("Lookup_"&amp;$B70),IF(LEFT($B70,2)="BS",S$2,S$1),0))</f>
        <v>6015177</v>
      </c>
    </row>
    <row r="71" spans="1:14">
      <c r="A71" t="n">
        <v>70</v>
      </c>
      <c r="B71" t="str">
        <f>VLOOKUP($A71,Aop!$A$2:$P$453,2,0)</f>
        <v>BSp</v>
      </c>
      <c r="C71" t="n">
        <v>26</v>
      </c>
      <c r="D71" t="str">
        <f aca="1">Podatak_MB</f>
        <v>1062280</v>
      </c>
      <c r="E71" t="str">
        <f aca="1">Podatak_JIB</f>
        <v>4400471400001</v>
      </c>
      <c r="F71" t="b">
        <f aca="1">Konsolidovan_izvjestaj</f>
        <v>0</v>
      </c>
      <c r="G71" s="20">
        <f aca="1">Datum_Broj</f>
        <v>45382</v>
      </c>
      <c r="H71" s="572">
        <f>VLOOKUP($A71,Aop!$A$2:$P$453,4,0)</f>
        <v>103</v>
      </c>
      <c r="I71">
        <f aca="1">Godina</f>
        <v>2024</v>
      </c>
      <c r="J71" t="str">
        <f aca="1">IF(VLOOKUP($H71,INDIRECT("Lookup_"&amp;$B71),IF(LEFT($B71,2)="BS",P$2,P$1),0)="","",VLOOKUP($H71,INDIRECT("Lookup_"&amp;$B71),IF($B71="BSp",P$2,P$1),0))</f>
        <v/>
      </c>
      <c r="K71"/>
      <c r="L71" t="str">
        <f aca="1">IF(VLOOKUP($H71,INDIRECT("Lookup_"&amp;$B71),IF(LEFT($B71,2)="BS",R$2,R$1),0)="","",VLOOKUP($H71,INDIRECT("Lookup_"&amp;$B71),IF($B71="BSa",R$2,R$1),0))</f>
        <v/>
      </c>
      <c r="M71" s="571">
        <f aca="1">IF(VLOOKUP($H71,INDIRECT("Lookup_"&amp;$B71),IF(LEFT($B71,2)="BS",S$2,S$1),0)="","",VLOOKUP($H71,INDIRECT("Lookup_"&amp;$B71),IF(LEFT($B71,2)="BS",S$2,S$1),0))</f>
        <v>6015177</v>
      </c>
      <c r="N71" s="571">
        <f aca="1">IF(VLOOKUP($H71,INDIRECT("Lookup_"&amp;$B71),IF(LEFT($B71,2)="BS",S$2,S$1),0)="","",VLOOKUP($H71,INDIRECT("Lookup_"&amp;$B71),IF(LEFT($B71,2)="BS",S$2,S$1),0))</f>
        <v>6015177</v>
      </c>
    </row>
    <row r="72" spans="1:14">
      <c r="A72" t="n">
        <v>71</v>
      </c>
      <c r="B72" t="str">
        <f>VLOOKUP($A72,Aop!$A$2:$P$453,2,0)</f>
        <v>BSp</v>
      </c>
      <c r="C72" t="n">
        <v>26</v>
      </c>
      <c r="D72" t="str">
        <f aca="1">Podatak_MB</f>
        <v>1062280</v>
      </c>
      <c r="E72" t="str">
        <f aca="1">Podatak_JIB</f>
        <v>4400471400001</v>
      </c>
      <c r="F72" t="b">
        <f aca="1">Konsolidovan_izvjestaj</f>
        <v>0</v>
      </c>
      <c r="G72" s="20">
        <f aca="1">Datum_Broj</f>
        <v>45382</v>
      </c>
      <c r="H72" s="572">
        <f>VLOOKUP($A72,Aop!$A$2:$P$453,4,0)</f>
        <v>104</v>
      </c>
      <c r="I72">
        <f aca="1">Godina</f>
        <v>2024</v>
      </c>
      <c r="J72" t="str">
        <f aca="1">IF(VLOOKUP($H72,INDIRECT("Lookup_"&amp;$B72),IF(LEFT($B72,2)="BS",P$2,P$1),0)="","",VLOOKUP($H72,INDIRECT("Lookup_"&amp;$B72),IF($B72="BSp",P$2,P$1),0))</f>
        <v/>
      </c>
      <c r="K72"/>
      <c r="L72" t="str">
        <f aca="1">IF(VLOOKUP($H72,INDIRECT("Lookup_"&amp;$B72),IF(LEFT($B72,2)="BS",R$2,R$1),0)="","",VLOOKUP($H72,INDIRECT("Lookup_"&amp;$B72),IF($B72="BSa",R$2,R$1),0))</f>
        <v/>
      </c>
      <c r="M72" s="575">
        <f aca="1">IF(VLOOKUP($H72,INDIRECT("Lookup_"&amp;$B72),IF(LEFT($B72,2)="BS",S$2,S$1),0)="","",VLOOKUP($H72,INDIRECT("Lookup_"&amp;$B72),IF(LEFT($B72,2)="BS",S$2,S$1),0))</f>
        <v>6015177</v>
      </c>
      <c r="N72" s="575">
        <f aca="1">IF(VLOOKUP($H72,INDIRECT("Lookup_"&amp;$B72),IF(LEFT($B72,2)="BS",S$2,S$1),0)="","",VLOOKUP($H72,INDIRECT("Lookup_"&amp;$B72),IF(LEFT($B72,2)="BS",S$2,S$1),0))</f>
        <v>6015177</v>
      </c>
    </row>
    <row r="73" spans="1:14">
      <c r="A73" t="n">
        <v>72</v>
      </c>
      <c r="B73" t="str">
        <f>VLOOKUP($A73,Aop!$A$2:$P$453,2,0)</f>
        <v>BSp</v>
      </c>
      <c r="C73" t="n">
        <v>26</v>
      </c>
      <c r="D73" t="str">
        <f aca="1">Podatak_MB</f>
        <v>1062280</v>
      </c>
      <c r="E73" t="str">
        <f aca="1">Podatak_JIB</f>
        <v>4400471400001</v>
      </c>
      <c r="F73" t="b">
        <f aca="1">Konsolidovan_izvjestaj</f>
        <v>0</v>
      </c>
      <c r="G73" s="20">
        <f aca="1">Datum_Broj</f>
        <v>45382</v>
      </c>
      <c r="H73" s="572">
        <f>VLOOKUP($A73,Aop!$A$2:$P$453,4,0)</f>
        <v>105</v>
      </c>
      <c r="I73">
        <f aca="1">Godina</f>
        <v>2024</v>
      </c>
      <c r="J73" t="str">
        <f aca="1">IF(VLOOKUP($H73,INDIRECT("Lookup_"&amp;$B73),IF(LEFT($B73,2)="BS",P$2,P$1),0)="","",VLOOKUP($H73,INDIRECT("Lookup_"&amp;$B73),IF($B73="BSp",P$2,P$1),0))</f>
        <v/>
      </c>
      <c r="K73"/>
      <c r="L73" t="str">
        <f aca="1">IF(VLOOKUP($H73,INDIRECT("Lookup_"&amp;$B73),IF(LEFT($B73,2)="BS",R$2,R$1),0)="","",VLOOKUP($H73,INDIRECT("Lookup_"&amp;$B73),IF($B73="BSa",R$2,R$1),0))</f>
        <v/>
      </c>
      <c r="M73" t="str">
        <f aca="1">IF(VLOOKUP($H73,INDIRECT("Lookup_"&amp;$B73),IF(LEFT($B73,2)="BS",S$2,S$1),0)="","",VLOOKUP($H73,INDIRECT("Lookup_"&amp;$B73),IF(LEFT($B73,2)="BS",S$2,S$1),0))</f>
        <v/>
      </c>
      <c r="N73" t="str">
        <f aca="1">IF(VLOOKUP($H73,INDIRECT("Lookup_"&amp;$B73),IF(LEFT($B73,2)="BS",S$2,S$1),0)="","",VLOOKUP($H73,INDIRECT("Lookup_"&amp;$B73),IF(LEFT($B73,2)="BS",S$2,S$1),0))</f>
        <v/>
      </c>
    </row>
    <row r="74" spans="1:14">
      <c r="A74" t="n">
        <v>73</v>
      </c>
      <c r="B74" t="str">
        <f>VLOOKUP($A74,Aop!$A$2:$P$453,2,0)</f>
        <v>BSp</v>
      </c>
      <c r="C74" t="n">
        <v>26</v>
      </c>
      <c r="D74" t="str">
        <f aca="1">Podatak_MB</f>
        <v>1062280</v>
      </c>
      <c r="E74" t="str">
        <f aca="1">Podatak_JIB</f>
        <v>4400471400001</v>
      </c>
      <c r="F74" t="b">
        <f aca="1">Konsolidovan_izvjestaj</f>
        <v>0</v>
      </c>
      <c r="G74" s="20">
        <f aca="1">Datum_Broj</f>
        <v>45382</v>
      </c>
      <c r="H74" s="572">
        <f>VLOOKUP($A74,Aop!$A$2:$P$453,4,0)</f>
        <v>106</v>
      </c>
      <c r="I74">
        <f aca="1">Godina</f>
        <v>2024</v>
      </c>
      <c r="J74" t="str">
        <f aca="1">IF(VLOOKUP($H74,INDIRECT("Lookup_"&amp;$B74),IF(LEFT($B74,2)="BS",P$2,P$1),0)="","",VLOOKUP($H74,INDIRECT("Lookup_"&amp;$B74),IF($B74="BSp",P$2,P$1),0))</f>
        <v/>
      </c>
      <c r="K74"/>
      <c r="L74" t="str">
        <f aca="1">IF(VLOOKUP($H74,INDIRECT("Lookup_"&amp;$B74),IF(LEFT($B74,2)="BS",R$2,R$1),0)="","",VLOOKUP($H74,INDIRECT("Lookup_"&amp;$B74),IF($B74="BSa",R$2,R$1),0))</f>
        <v/>
      </c>
      <c r="M74" t="str">
        <f aca="1">IF(VLOOKUP($H74,INDIRECT("Lookup_"&amp;$B74),IF(LEFT($B74,2)="BS",S$2,S$1),0)="","",VLOOKUP($H74,INDIRECT("Lookup_"&amp;$B74),IF(LEFT($B74,2)="BS",S$2,S$1),0))</f>
        <v/>
      </c>
      <c r="N74" t="str">
        <f aca="1">IF(VLOOKUP($H74,INDIRECT("Lookup_"&amp;$B74),IF(LEFT($B74,2)="BS",S$2,S$1),0)="","",VLOOKUP($H74,INDIRECT("Lookup_"&amp;$B74),IF(LEFT($B74,2)="BS",S$2,S$1),0))</f>
        <v/>
      </c>
    </row>
    <row r="75" spans="1:14">
      <c r="A75" t="n">
        <v>74</v>
      </c>
      <c r="B75" t="str">
        <f>VLOOKUP($A75,Aop!$A$2:$P$453,2,0)</f>
        <v>BSp</v>
      </c>
      <c r="C75" t="n">
        <v>26</v>
      </c>
      <c r="D75" t="str">
        <f aca="1">Podatak_MB</f>
        <v>1062280</v>
      </c>
      <c r="E75" t="str">
        <f aca="1">Podatak_JIB</f>
        <v>4400471400001</v>
      </c>
      <c r="F75" t="b">
        <f aca="1">Konsolidovan_izvjestaj</f>
        <v>0</v>
      </c>
      <c r="G75" s="20">
        <f aca="1">Datum_Broj</f>
        <v>45382</v>
      </c>
      <c r="H75" s="572">
        <f>VLOOKUP($A75,Aop!$A$2:$P$453,4,0)</f>
        <v>107</v>
      </c>
      <c r="I75">
        <f aca="1">Godina</f>
        <v>2024</v>
      </c>
      <c r="J75" t="str">
        <f aca="1">IF(VLOOKUP($H75,INDIRECT("Lookup_"&amp;$B75),IF(LEFT($B75,2)="BS",P$2,P$1),0)="","",VLOOKUP($H75,INDIRECT("Lookup_"&amp;$B75),IF($B75="BSp",P$2,P$1),0))</f>
        <v/>
      </c>
      <c r="K75"/>
      <c r="L75" t="str">
        <f aca="1">IF(VLOOKUP($H75,INDIRECT("Lookup_"&amp;$B75),IF(LEFT($B75,2)="BS",R$2,R$1),0)="","",VLOOKUP($H75,INDIRECT("Lookup_"&amp;$B75),IF($B75="BSa",R$2,R$1),0))</f>
        <v/>
      </c>
      <c r="M75" t="str">
        <f aca="1">IF(VLOOKUP($H75,INDIRECT("Lookup_"&amp;$B75),IF(LEFT($B75,2)="BS",S$2,S$1),0)="","",VLOOKUP($H75,INDIRECT("Lookup_"&amp;$B75),IF(LEFT($B75,2)="BS",S$2,S$1),0))</f>
        <v/>
      </c>
      <c r="N75" t="str">
        <f aca="1">IF(VLOOKUP($H75,INDIRECT("Lookup_"&amp;$B75),IF(LEFT($B75,2)="BS",S$2,S$1),0)="","",VLOOKUP($H75,INDIRECT("Lookup_"&amp;$B75),IF(LEFT($B75,2)="BS",S$2,S$1),0))</f>
        <v/>
      </c>
    </row>
    <row r="76" spans="1:14">
      <c r="A76" t="n">
        <v>75</v>
      </c>
      <c r="B76" t="str">
        <f>VLOOKUP($A76,Aop!$A$2:$P$453,2,0)</f>
        <v>BSp</v>
      </c>
      <c r="C76" t="n">
        <v>26</v>
      </c>
      <c r="D76" t="str">
        <f aca="1">Podatak_MB</f>
        <v>1062280</v>
      </c>
      <c r="E76" t="str">
        <f aca="1">Podatak_JIB</f>
        <v>4400471400001</v>
      </c>
      <c r="F76" t="b">
        <f aca="1">Konsolidovan_izvjestaj</f>
        <v>0</v>
      </c>
      <c r="G76" s="20">
        <f aca="1">Datum_Broj</f>
        <v>45382</v>
      </c>
      <c r="H76" s="572">
        <f>VLOOKUP($A76,Aop!$A$2:$P$453,4,0)</f>
        <v>108</v>
      </c>
      <c r="I76">
        <f aca="1">Godina</f>
        <v>2024</v>
      </c>
      <c r="J76" t="str">
        <f aca="1">IF(VLOOKUP($H76,INDIRECT("Lookup_"&amp;$B76),IF(LEFT($B76,2)="BS",P$2,P$1),0)="","",VLOOKUP($H76,INDIRECT("Lookup_"&amp;$B76),IF($B76="BSp",P$2,P$1),0))</f>
        <v/>
      </c>
      <c r="K76"/>
      <c r="L76" t="str">
        <f aca="1">IF(VLOOKUP($H76,INDIRECT("Lookup_"&amp;$B76),IF(LEFT($B76,2)="BS",R$2,R$1),0)="","",VLOOKUP($H76,INDIRECT("Lookup_"&amp;$B76),IF($B76="BSa",R$2,R$1),0))</f>
        <v/>
      </c>
      <c r="M76" t="str">
        <f aca="1">IF(VLOOKUP($H76,INDIRECT("Lookup_"&amp;$B76),IF(LEFT($B76,2)="BS",S$2,S$1),0)="","",VLOOKUP($H76,INDIRECT("Lookup_"&amp;$B76),IF(LEFT($B76,2)="BS",S$2,S$1),0))</f>
        <v/>
      </c>
      <c r="N76" t="str">
        <f aca="1">IF(VLOOKUP($H76,INDIRECT("Lookup_"&amp;$B76),IF(LEFT($B76,2)="BS",S$2,S$1),0)="","",VLOOKUP($H76,INDIRECT("Lookup_"&amp;$B76),IF(LEFT($B76,2)="BS",S$2,S$1),0))</f>
        <v/>
      </c>
    </row>
    <row r="77" spans="1:14">
      <c r="A77" t="n">
        <v>76</v>
      </c>
      <c r="B77" t="str">
        <f>VLOOKUP($A77,Aop!$A$2:$P$453,2,0)</f>
        <v>BSp</v>
      </c>
      <c r="C77" t="n">
        <v>26</v>
      </c>
      <c r="D77" t="str">
        <f aca="1">Podatak_MB</f>
        <v>1062280</v>
      </c>
      <c r="E77" t="str">
        <f aca="1">Podatak_JIB</f>
        <v>4400471400001</v>
      </c>
      <c r="F77" t="b">
        <f aca="1">Konsolidovan_izvjestaj</f>
        <v>0</v>
      </c>
      <c r="G77" s="20">
        <f aca="1">Datum_Broj</f>
        <v>45382</v>
      </c>
      <c r="H77" s="572">
        <f>VLOOKUP($A77,Aop!$A$2:$P$453,4,0)</f>
        <v>109</v>
      </c>
      <c r="I77">
        <f aca="1">Godina</f>
        <v>2024</v>
      </c>
      <c r="J77" t="str">
        <f aca="1">IF(VLOOKUP($H77,INDIRECT("Lookup_"&amp;$B77),IF(LEFT($B77,2)="BS",P$2,P$1),0)="","",VLOOKUP($H77,INDIRECT("Lookup_"&amp;$B77),IF($B77="BSp",P$2,P$1),0))</f>
        <v/>
      </c>
      <c r="K77"/>
      <c r="L77" t="str">
        <f aca="1">IF(VLOOKUP($H77,INDIRECT("Lookup_"&amp;$B77),IF(LEFT($B77,2)="BS",R$2,R$1),0)="","",VLOOKUP($H77,INDIRECT("Lookup_"&amp;$B77),IF($B77="BSa",R$2,R$1),0))</f>
        <v/>
      </c>
      <c r="M77" t="str">
        <f aca="1">IF(VLOOKUP($H77,INDIRECT("Lookup_"&amp;$B77),IF(LEFT($B77,2)="BS",S$2,S$1),0)="","",VLOOKUP($H77,INDIRECT("Lookup_"&amp;$B77),IF(LEFT($B77,2)="BS",S$2,S$1),0))</f>
        <v/>
      </c>
      <c r="N77" t="str">
        <f aca="1">IF(VLOOKUP($H77,INDIRECT("Lookup_"&amp;$B77),IF(LEFT($B77,2)="BS",S$2,S$1),0)="","",VLOOKUP($H77,INDIRECT("Lookup_"&amp;$B77),IF(LEFT($B77,2)="BS",S$2,S$1),0))</f>
        <v/>
      </c>
    </row>
    <row r="78" spans="1:14">
      <c r="A78" t="n">
        <v>77</v>
      </c>
      <c r="B78" t="str">
        <f>VLOOKUP($A78,Aop!$A$2:$P$453,2,0)</f>
        <v>BSp</v>
      </c>
      <c r="C78" t="n">
        <v>26</v>
      </c>
      <c r="D78" t="str">
        <f aca="1">Podatak_MB</f>
        <v>1062280</v>
      </c>
      <c r="E78" t="str">
        <f aca="1">Podatak_JIB</f>
        <v>4400471400001</v>
      </c>
      <c r="F78" t="b">
        <f aca="1">Konsolidovan_izvjestaj</f>
        <v>0</v>
      </c>
      <c r="G78" s="20">
        <f aca="1">Datum_Broj</f>
        <v>45382</v>
      </c>
      <c r="H78">
        <f>VLOOKUP($A78,Aop!$A$2:$P$453,4,0)</f>
        <v>110</v>
      </c>
      <c r="I78">
        <f aca="1">Godina</f>
        <v>2024</v>
      </c>
      <c r="J78" t="str">
        <f aca="1">IF(VLOOKUP($H78,INDIRECT("Lookup_"&amp;$B78),IF(LEFT($B78,2)="BS",P$2,P$1),0)="","",VLOOKUP($H78,INDIRECT("Lookup_"&amp;$B78),IF($B78="BSp",P$2,P$1),0))</f>
        <v/>
      </c>
      <c r="K78"/>
      <c r="L78" t="str">
        <f aca="1">IF(VLOOKUP($H78,INDIRECT("Lookup_"&amp;$B78),IF(LEFT($B78,2)="BS",R$2,R$1),0)="","",VLOOKUP($H78,INDIRECT("Lookup_"&amp;$B78),IF($B78="BSa",R$2,R$1),0))</f>
        <v/>
      </c>
      <c r="M78" s="571">
        <f aca="1">IF(VLOOKUP($H78,INDIRECT("Lookup_"&amp;$B78),IF(LEFT($B78,2)="BS",S$2,S$1),0)="","",VLOOKUP($H78,INDIRECT("Lookup_"&amp;$B78),IF(LEFT($B78,2)="BS",S$2,S$1),0))</f>
        <v>0</v>
      </c>
      <c r="N78" s="571">
        <f aca="1">IF(VLOOKUP($H78,INDIRECT("Lookup_"&amp;$B78),IF(LEFT($B78,2)="BS",S$2,S$1),0)="","",VLOOKUP($H78,INDIRECT("Lookup_"&amp;$B78),IF(LEFT($B78,2)="BS",S$2,S$1),0))</f>
        <v>0</v>
      </c>
    </row>
    <row r="79" spans="1:14">
      <c r="A79" t="n">
        <v>78</v>
      </c>
      <c r="B79" t="str">
        <f>VLOOKUP($A79,Aop!$A$2:$P$453,2,0)</f>
        <v>BSp</v>
      </c>
      <c r="C79" t="n">
        <v>26</v>
      </c>
      <c r="D79" t="str">
        <f aca="1">Podatak_MB</f>
        <v>1062280</v>
      </c>
      <c r="E79" t="str">
        <f aca="1">Podatak_JIB</f>
        <v>4400471400001</v>
      </c>
      <c r="F79" t="b">
        <f aca="1">Konsolidovan_izvjestaj</f>
        <v>0</v>
      </c>
      <c r="G79" s="20">
        <f aca="1">Datum_Broj</f>
        <v>45382</v>
      </c>
      <c r="H79">
        <f>VLOOKUP($A79,Aop!$A$2:$P$453,4,0)</f>
        <v>111</v>
      </c>
      <c r="I79">
        <f aca="1">Godina</f>
        <v>2024</v>
      </c>
      <c r="J79" t="str">
        <f aca="1">IF(VLOOKUP($H79,INDIRECT("Lookup_"&amp;$B79),IF(LEFT($B79,2)="BS",P$2,P$1),0)="","",VLOOKUP($H79,INDIRECT("Lookup_"&amp;$B79),IF($B79="BSp",P$2,P$1),0))</f>
        <v/>
      </c>
      <c r="K79"/>
      <c r="L79" t="str">
        <f aca="1">IF(VLOOKUP($H79,INDIRECT("Lookup_"&amp;$B79),IF(LEFT($B79,2)="BS",R$2,R$1),0)="","",VLOOKUP($H79,INDIRECT("Lookup_"&amp;$B79),IF($B79="BSa",R$2,R$1),0))</f>
        <v/>
      </c>
      <c r="M79" t="str">
        <f aca="1">IF(VLOOKUP($H79,INDIRECT("Lookup_"&amp;$B79),IF(LEFT($B79,2)="BS",S$2,S$1),0)="","",VLOOKUP($H79,INDIRECT("Lookup_"&amp;$B79),IF(LEFT($B79,2)="BS",S$2,S$1),0))</f>
        <v/>
      </c>
      <c r="N79" t="str">
        <f aca="1">IF(VLOOKUP($H79,INDIRECT("Lookup_"&amp;$B79),IF(LEFT($B79,2)="BS",S$2,S$1),0)="","",VLOOKUP($H79,INDIRECT("Lookup_"&amp;$B79),IF(LEFT($B79,2)="BS",S$2,S$1),0))</f>
        <v/>
      </c>
    </row>
    <row r="80" spans="1:14">
      <c r="A80" t="n">
        <v>79</v>
      </c>
      <c r="B80" t="str">
        <f>VLOOKUP($A80,Aop!$A$2:$P$453,2,0)</f>
        <v>BSp</v>
      </c>
      <c r="C80" t="n">
        <v>26</v>
      </c>
      <c r="D80" t="str">
        <f aca="1">Podatak_MB</f>
        <v>1062280</v>
      </c>
      <c r="E80" t="str">
        <f aca="1">Podatak_JIB</f>
        <v>4400471400001</v>
      </c>
      <c r="F80" t="b">
        <f aca="1">Konsolidovan_izvjestaj</f>
        <v>0</v>
      </c>
      <c r="G80" s="20">
        <f aca="1">Datum_Broj</f>
        <v>45382</v>
      </c>
      <c r="H80">
        <f>VLOOKUP($A80,Aop!$A$2:$P$453,4,0)</f>
        <v>112</v>
      </c>
      <c r="I80">
        <f aca="1">Godina</f>
        <v>2024</v>
      </c>
      <c r="J80" t="str">
        <f aca="1">IF(VLOOKUP($H80,INDIRECT("Lookup_"&amp;$B80),IF(LEFT($B80,2)="BS",P$2,P$1),0)="","",VLOOKUP($H80,INDIRECT("Lookup_"&amp;$B80),IF($B80="BSp",P$2,P$1),0))</f>
        <v/>
      </c>
      <c r="K80"/>
      <c r="L80" t="str">
        <f aca="1">IF(VLOOKUP($H80,INDIRECT("Lookup_"&amp;$B80),IF(LEFT($B80,2)="BS",R$2,R$1),0)="","",VLOOKUP($H80,INDIRECT("Lookup_"&amp;$B80),IF($B80="BSa",R$2,R$1),0))</f>
        <v/>
      </c>
      <c r="M80" t="str">
        <f aca="1">IF(VLOOKUP($H80,INDIRECT("Lookup_"&amp;$B80),IF(LEFT($B80,2)="BS",S$2,S$1),0)="","",VLOOKUP($H80,INDIRECT("Lookup_"&amp;$B80),IF(LEFT($B80,2)="BS",S$2,S$1),0))</f>
        <v/>
      </c>
      <c r="N80" t="str">
        <f aca="1">IF(VLOOKUP($H80,INDIRECT("Lookup_"&amp;$B80),IF(LEFT($B80,2)="BS",S$2,S$1),0)="","",VLOOKUP($H80,INDIRECT("Lookup_"&amp;$B80),IF(LEFT($B80,2)="BS",S$2,S$1),0))</f>
        <v/>
      </c>
    </row>
    <row r="81" spans="1:14">
      <c r="A81" t="n">
        <v>80</v>
      </c>
      <c r="B81" t="str">
        <f>VLOOKUP($A81,Aop!$A$2:$P$453,2,0)</f>
        <v>BSp</v>
      </c>
      <c r="C81" t="n">
        <v>26</v>
      </c>
      <c r="D81" t="str">
        <f aca="1">Podatak_MB</f>
        <v>1062280</v>
      </c>
      <c r="E81" t="str">
        <f aca="1">Podatak_JIB</f>
        <v>4400471400001</v>
      </c>
      <c r="F81" t="b">
        <f aca="1">Konsolidovan_izvjestaj</f>
        <v>0</v>
      </c>
      <c r="G81" s="20">
        <f aca="1">Datum_Broj</f>
        <v>45382</v>
      </c>
      <c r="H81">
        <f>VLOOKUP($A81,Aop!$A$2:$P$453,4,0)</f>
        <v>113</v>
      </c>
      <c r="I81">
        <f aca="1">Godina</f>
        <v>2024</v>
      </c>
      <c r="J81" t="str">
        <f aca="1">IF(VLOOKUP($H81,INDIRECT("Lookup_"&amp;$B81),IF(LEFT($B81,2)="BS",P$2,P$1),0)="","",VLOOKUP($H81,INDIRECT("Lookup_"&amp;$B81),IF($B81="BSp",P$2,P$1),0))</f>
        <v/>
      </c>
      <c r="K81"/>
      <c r="L81" t="str">
        <f aca="1">IF(VLOOKUP($H81,INDIRECT("Lookup_"&amp;$B81),IF(LEFT($B81,2)="BS",R$2,R$1),0)="","",VLOOKUP($H81,INDIRECT("Lookup_"&amp;$B81),IF($B81="BSa",R$2,R$1),0))</f>
        <v/>
      </c>
      <c r="M81" t="str">
        <f aca="1">IF(VLOOKUP($H81,INDIRECT("Lookup_"&amp;$B81),IF(LEFT($B81,2)="BS",S$2,S$1),0)="","",VLOOKUP($H81,INDIRECT("Lookup_"&amp;$B81),IF(LEFT($B81,2)="BS",S$2,S$1),0))</f>
        <v/>
      </c>
      <c r="N81" t="str">
        <f aca="1">IF(VLOOKUP($H81,INDIRECT("Lookup_"&amp;$B81),IF(LEFT($B81,2)="BS",S$2,S$1),0)="","",VLOOKUP($H81,INDIRECT("Lookup_"&amp;$B81),IF(LEFT($B81,2)="BS",S$2,S$1),0))</f>
        <v/>
      </c>
    </row>
    <row r="82" spans="1:14">
      <c r="A82" t="n">
        <v>81</v>
      </c>
      <c r="B82" t="str">
        <f>VLOOKUP($A82,Aop!$A$2:$P$453,2,0)</f>
        <v>BSp</v>
      </c>
      <c r="C82" t="n">
        <v>26</v>
      </c>
      <c r="D82" t="str">
        <f aca="1">Podatak_MB</f>
        <v>1062280</v>
      </c>
      <c r="E82" t="str">
        <f aca="1">Podatak_JIB</f>
        <v>4400471400001</v>
      </c>
      <c r="F82" t="b">
        <f aca="1">Konsolidovan_izvjestaj</f>
        <v>0</v>
      </c>
      <c r="G82" s="20">
        <f aca="1">Datum_Broj</f>
        <v>45382</v>
      </c>
      <c r="H82">
        <f>VLOOKUP($A82,Aop!$A$2:$P$453,4,0)</f>
        <v>114</v>
      </c>
      <c r="I82">
        <f aca="1">Godina</f>
        <v>2024</v>
      </c>
      <c r="J82" t="str">
        <f aca="1">IF(VLOOKUP($H82,INDIRECT("Lookup_"&amp;$B82),IF(LEFT($B82,2)="BS",P$2,P$1),0)="","",VLOOKUP($H82,INDIRECT("Lookup_"&amp;$B82),IF($B82="BSp",P$2,P$1),0))</f>
        <v/>
      </c>
      <c r="K82"/>
      <c r="L82" t="str">
        <f aca="1">IF(VLOOKUP($H82,INDIRECT("Lookup_"&amp;$B82),IF(LEFT($B82,2)="BS",R$2,R$1),0)="","",VLOOKUP($H82,INDIRECT("Lookup_"&amp;$B82),IF($B82="BSa",R$2,R$1),0))</f>
        <v/>
      </c>
      <c r="M82" t="str">
        <f aca="1">IF(VLOOKUP($H82,INDIRECT("Lookup_"&amp;$B82),IF(LEFT($B82,2)="BS",S$2,S$1),0)="","",VLOOKUP($H82,INDIRECT("Lookup_"&amp;$B82),IF(LEFT($B82,2)="BS",S$2,S$1),0))</f>
        <v/>
      </c>
      <c r="N82" t="str">
        <f aca="1">IF(VLOOKUP($H82,INDIRECT("Lookup_"&amp;$B82),IF(LEFT($B82,2)="BS",S$2,S$1),0)="","",VLOOKUP($H82,INDIRECT("Lookup_"&amp;$B82),IF(LEFT($B82,2)="BS",S$2,S$1),0))</f>
        <v/>
      </c>
    </row>
    <row r="83" spans="1:14">
      <c r="A83" t="n">
        <v>82</v>
      </c>
      <c r="B83" t="str">
        <f>VLOOKUP($A83,Aop!$A$2:$P$453,2,0)</f>
        <v>BSp</v>
      </c>
      <c r="C83" t="n">
        <v>26</v>
      </c>
      <c r="D83" t="str">
        <f aca="1">Podatak_MB</f>
        <v>1062280</v>
      </c>
      <c r="E83" t="str">
        <f aca="1">Podatak_JIB</f>
        <v>4400471400001</v>
      </c>
      <c r="F83" t="b">
        <f aca="1">Konsolidovan_izvjestaj</f>
        <v>0</v>
      </c>
      <c r="G83" s="20">
        <f aca="1">Datum_Broj</f>
        <v>45382</v>
      </c>
      <c r="H83">
        <f>VLOOKUP($A83,Aop!$A$2:$P$453,4,0)</f>
        <v>115</v>
      </c>
      <c r="I83">
        <f aca="1">Godina</f>
        <v>2024</v>
      </c>
      <c r="J83" t="str">
        <f aca="1">IF(VLOOKUP($H83,INDIRECT("Lookup_"&amp;$B83),IF(LEFT($B83,2)="BS",P$2,P$1),0)="","",VLOOKUP($H83,INDIRECT("Lookup_"&amp;$B83),IF($B83="BSp",P$2,P$1),0))</f>
        <v/>
      </c>
      <c r="K83"/>
      <c r="L83" t="str">
        <f aca="1">IF(VLOOKUP($H83,INDIRECT("Lookup_"&amp;$B83),IF(LEFT($B83,2)="BS",R$2,R$1),0)="","",VLOOKUP($H83,INDIRECT("Lookup_"&amp;$B83),IF($B83="BSa",R$2,R$1),0))</f>
        <v/>
      </c>
      <c r="M83" s="571">
        <f aca="1">IF(VLOOKUP($H83,INDIRECT("Lookup_"&amp;$B83),IF(LEFT($B83,2)="BS",S$2,S$1),0)="","",VLOOKUP($H83,INDIRECT("Lookup_"&amp;$B83),IF(LEFT($B83,2)="BS",S$2,S$1),0))</f>
        <v>869</v>
      </c>
      <c r="N83" s="571">
        <f aca="1">IF(VLOOKUP($H83,INDIRECT("Lookup_"&amp;$B83),IF(LEFT($B83,2)="BS",S$2,S$1),0)="","",VLOOKUP($H83,INDIRECT("Lookup_"&amp;$B83),IF(LEFT($B83,2)="BS",S$2,S$1),0))</f>
        <v>869</v>
      </c>
    </row>
    <row r="84" spans="1:14">
      <c r="A84" t="n">
        <v>83</v>
      </c>
      <c r="B84" t="str">
        <f>VLOOKUP($A84,Aop!$A$2:$P$453,2,0)</f>
        <v>BSp</v>
      </c>
      <c r="C84" t="n">
        <v>26</v>
      </c>
      <c r="D84" t="str">
        <f aca="1">Podatak_MB</f>
        <v>1062280</v>
      </c>
      <c r="E84" t="str">
        <f aca="1">Podatak_JIB</f>
        <v>4400471400001</v>
      </c>
      <c r="F84" t="b">
        <f aca="1">Konsolidovan_izvjestaj</f>
        <v>0</v>
      </c>
      <c r="G84" s="20">
        <f aca="1">Datum_Broj</f>
        <v>45382</v>
      </c>
      <c r="H84">
        <f>VLOOKUP($A84,Aop!$A$2:$P$453,4,0)</f>
        <v>116</v>
      </c>
      <c r="I84">
        <f aca="1">Godina</f>
        <v>2024</v>
      </c>
      <c r="J84" t="str">
        <f aca="1">IF(VLOOKUP($H84,INDIRECT("Lookup_"&amp;$B84),IF(LEFT($B84,2)="BS",P$2,P$1),0)="","",VLOOKUP($H84,INDIRECT("Lookup_"&amp;$B84),IF($B84="BSp",P$2,P$1),0))</f>
        <v/>
      </c>
      <c r="K84"/>
      <c r="L84" t="str">
        <f aca="1">IF(VLOOKUP($H84,INDIRECT("Lookup_"&amp;$B84),IF(LEFT($B84,2)="BS",R$2,R$1),0)="","",VLOOKUP($H84,INDIRECT("Lookup_"&amp;$B84),IF($B84="BSa",R$2,R$1),0))</f>
        <v/>
      </c>
      <c r="M84" s="575">
        <f aca="1">IF(VLOOKUP($H84,INDIRECT("Lookup_"&amp;$B84),IF(LEFT($B84,2)="BS",S$2,S$1),0)="","",VLOOKUP($H84,INDIRECT("Lookup_"&amp;$B84),IF(LEFT($B84,2)="BS",S$2,S$1),0))</f>
        <v>869</v>
      </c>
      <c r="N84" s="575">
        <f aca="1">IF(VLOOKUP($H84,INDIRECT("Lookup_"&amp;$B84),IF(LEFT($B84,2)="BS",S$2,S$1),0)="","",VLOOKUP($H84,INDIRECT("Lookup_"&amp;$B84),IF(LEFT($B84,2)="BS",S$2,S$1),0))</f>
        <v>869</v>
      </c>
    </row>
    <row r="85" spans="1:14">
      <c r="A85" t="n">
        <v>84</v>
      </c>
      <c r="B85" t="str">
        <f>VLOOKUP($A85,Aop!$A$2:$P$453,2,0)</f>
        <v>BSp</v>
      </c>
      <c r="C85" t="n">
        <v>26</v>
      </c>
      <c r="D85" t="str">
        <f aca="1">Podatak_MB</f>
        <v>1062280</v>
      </c>
      <c r="E85" t="str">
        <f aca="1">Podatak_JIB</f>
        <v>4400471400001</v>
      </c>
      <c r="F85" t="b">
        <f aca="1">Konsolidovan_izvjestaj</f>
        <v>0</v>
      </c>
      <c r="G85" s="20">
        <f aca="1">Datum_Broj</f>
        <v>45382</v>
      </c>
      <c r="H85">
        <f>VLOOKUP($A85,Aop!$A$2:$P$453,4,0)</f>
        <v>117</v>
      </c>
      <c r="I85">
        <f aca="1">Godina</f>
        <v>2024</v>
      </c>
      <c r="J85" t="str">
        <f aca="1">IF(VLOOKUP($H85,INDIRECT("Lookup_"&amp;$B85),IF(LEFT($B85,2)="BS",P$2,P$1),0)="","",VLOOKUP($H85,INDIRECT("Lookup_"&amp;$B85),IF($B85="BSp",P$2,P$1),0))</f>
        <v/>
      </c>
      <c r="K85"/>
      <c r="L85" t="str">
        <f aca="1">IF(VLOOKUP($H85,INDIRECT("Lookup_"&amp;$B85),IF(LEFT($B85,2)="BS",R$2,R$1),0)="","",VLOOKUP($H85,INDIRECT("Lookup_"&amp;$B85),IF($B85="BSa",R$2,R$1),0))</f>
        <v/>
      </c>
      <c r="M85" t="str">
        <f aca="1">IF(VLOOKUP($H85,INDIRECT("Lookup_"&amp;$B85),IF(LEFT($B85,2)="BS",S$2,S$1),0)="","",VLOOKUP($H85,INDIRECT("Lookup_"&amp;$B85),IF(LEFT($B85,2)="BS",S$2,S$1),0))</f>
        <v/>
      </c>
      <c r="N85" t="str">
        <f aca="1">IF(VLOOKUP($H85,INDIRECT("Lookup_"&amp;$B85),IF(LEFT($B85,2)="BS",S$2,S$1),0)="","",VLOOKUP($H85,INDIRECT("Lookup_"&amp;$B85),IF(LEFT($B85,2)="BS",S$2,S$1),0))</f>
        <v/>
      </c>
    </row>
    <row r="86" spans="1:14">
      <c r="A86" t="n">
        <v>85</v>
      </c>
      <c r="B86" t="str">
        <f>VLOOKUP($A86,Aop!$A$2:$P$453,2,0)</f>
        <v>BSp</v>
      </c>
      <c r="C86" t="n">
        <v>26</v>
      </c>
      <c r="D86" t="str">
        <f aca="1">Podatak_MB</f>
        <v>1062280</v>
      </c>
      <c r="E86" t="str">
        <f aca="1">Podatak_JIB</f>
        <v>4400471400001</v>
      </c>
      <c r="F86" t="b">
        <f aca="1">Konsolidovan_izvjestaj</f>
        <v>0</v>
      </c>
      <c r="G86" s="20">
        <f aca="1">Datum_Broj</f>
        <v>45382</v>
      </c>
      <c r="H86">
        <f>VLOOKUP($A86,Aop!$A$2:$P$453,4,0)</f>
        <v>118</v>
      </c>
      <c r="I86">
        <f aca="1">Godina</f>
        <v>2024</v>
      </c>
      <c r="J86" t="str">
        <f aca="1">IF(VLOOKUP($H86,INDIRECT("Lookup_"&amp;$B86),IF(LEFT($B86,2)="BS",P$2,P$1),0)="","",VLOOKUP($H86,INDIRECT("Lookup_"&amp;$B86),IF($B86="BSp",P$2,P$1),0))</f>
        <v/>
      </c>
      <c r="K86"/>
      <c r="L86" t="str">
        <f aca="1">IF(VLOOKUP($H86,INDIRECT("Lookup_"&amp;$B86),IF(LEFT($B86,2)="BS",R$2,R$1),0)="","",VLOOKUP($H86,INDIRECT("Lookup_"&amp;$B86),IF($B86="BSa",R$2,R$1),0))</f>
        <v/>
      </c>
      <c r="M86" t="str">
        <f aca="1">IF(VLOOKUP($H86,INDIRECT("Lookup_"&amp;$B86),IF(LEFT($B86,2)="BS",S$2,S$1),0)="","",VLOOKUP($H86,INDIRECT("Lookup_"&amp;$B86),IF(LEFT($B86,2)="BS",S$2,S$1),0))</f>
        <v/>
      </c>
      <c r="N86" t="str">
        <f aca="1">IF(VLOOKUP($H86,INDIRECT("Lookup_"&amp;$B86),IF(LEFT($B86,2)="BS",S$2,S$1),0)="","",VLOOKUP($H86,INDIRECT("Lookup_"&amp;$B86),IF(LEFT($B86,2)="BS",S$2,S$1),0))</f>
        <v/>
      </c>
    </row>
    <row r="87" spans="1:14">
      <c r="A87" t="n">
        <v>86</v>
      </c>
      <c r="B87" t="str">
        <f>VLOOKUP($A87,Aop!$A$2:$P$453,2,0)</f>
        <v>BSp</v>
      </c>
      <c r="C87" t="n">
        <v>26</v>
      </c>
      <c r="D87" t="str">
        <f aca="1">Podatak_MB</f>
        <v>1062280</v>
      </c>
      <c r="E87" t="str">
        <f aca="1">Podatak_JIB</f>
        <v>4400471400001</v>
      </c>
      <c r="F87" t="b">
        <f aca="1">Konsolidovan_izvjestaj</f>
        <v>0</v>
      </c>
      <c r="G87" s="20">
        <f aca="1">Datum_Broj</f>
        <v>45382</v>
      </c>
      <c r="H87">
        <f>VLOOKUP($A87,Aop!$A$2:$P$453,4,0)</f>
        <v>119</v>
      </c>
      <c r="I87">
        <f aca="1">Godina</f>
        <v>2024</v>
      </c>
      <c r="J87" t="str">
        <f aca="1">IF(VLOOKUP($H87,INDIRECT("Lookup_"&amp;$B87),IF(LEFT($B87,2)="BS",P$2,P$1),0)="","",VLOOKUP($H87,INDIRECT("Lookup_"&amp;$B87),IF($B87="BSp",P$2,P$1),0))</f>
        <v/>
      </c>
      <c r="K87"/>
      <c r="L87" t="str">
        <f aca="1">IF(VLOOKUP($H87,INDIRECT("Lookup_"&amp;$B87),IF(LEFT($B87,2)="BS",R$2,R$1),0)="","",VLOOKUP($H87,INDIRECT("Lookup_"&amp;$B87),IF($B87="BSa",R$2,R$1),0))</f>
        <v/>
      </c>
      <c r="M87" s="571">
        <f aca="1">IF(VLOOKUP($H87,INDIRECT("Lookup_"&amp;$B87),IF(LEFT($B87,2)="BS",S$2,S$1),0)="","",VLOOKUP($H87,INDIRECT("Lookup_"&amp;$B87),IF(LEFT($B87,2)="BS",S$2,S$1),0))</f>
        <v>248947</v>
      </c>
      <c r="N87" s="571">
        <f aca="1">IF(VLOOKUP($H87,INDIRECT("Lookup_"&amp;$B87),IF(LEFT($B87,2)="BS",S$2,S$1),0)="","",VLOOKUP($H87,INDIRECT("Lookup_"&amp;$B87),IF(LEFT($B87,2)="BS",S$2,S$1),0))</f>
        <v>248947</v>
      </c>
    </row>
    <row r="88" spans="1:14">
      <c r="A88" t="n">
        <v>87</v>
      </c>
      <c r="B88" t="str">
        <f>VLOOKUP($A88,Aop!$A$2:$P$453,2,0)</f>
        <v>BSp</v>
      </c>
      <c r="C88" t="n">
        <v>26</v>
      </c>
      <c r="D88" t="str">
        <f aca="1">Podatak_MB</f>
        <v>1062280</v>
      </c>
      <c r="E88" t="str">
        <f aca="1">Podatak_JIB</f>
        <v>4400471400001</v>
      </c>
      <c r="F88" t="b">
        <f aca="1">Konsolidovan_izvjestaj</f>
        <v>0</v>
      </c>
      <c r="G88" s="20">
        <f aca="1">Datum_Broj</f>
        <v>45382</v>
      </c>
      <c r="H88">
        <f>VLOOKUP($A88,Aop!$A$2:$P$453,4,0)</f>
        <v>120</v>
      </c>
      <c r="I88">
        <f aca="1">Godina</f>
        <v>2024</v>
      </c>
      <c r="J88" t="str">
        <f aca="1">IF(VLOOKUP($H88,INDIRECT("Lookup_"&amp;$B88),IF(LEFT($B88,2)="BS",P$2,P$1),0)="","",VLOOKUP($H88,INDIRECT("Lookup_"&amp;$B88),IF($B88="BSp",P$2,P$1),0))</f>
        <v/>
      </c>
      <c r="K88"/>
      <c r="L88" t="str">
        <f aca="1">IF(VLOOKUP($H88,INDIRECT("Lookup_"&amp;$B88),IF(LEFT($B88,2)="BS",R$2,R$1),0)="","",VLOOKUP($H88,INDIRECT("Lookup_"&amp;$B88),IF($B88="BSa",R$2,R$1),0))</f>
        <v/>
      </c>
      <c r="M88" s="575">
        <f aca="1">IF(VLOOKUP($H88,INDIRECT("Lookup_"&amp;$B88),IF(LEFT($B88,2)="BS",S$2,S$1),0)="","",VLOOKUP($H88,INDIRECT("Lookup_"&amp;$B88),IF(LEFT($B88,2)="BS",S$2,S$1),0))</f>
        <v>248947</v>
      </c>
      <c r="N88" s="575">
        <f aca="1">IF(VLOOKUP($H88,INDIRECT("Lookup_"&amp;$B88),IF(LEFT($B88,2)="BS",S$2,S$1),0)="","",VLOOKUP($H88,INDIRECT("Lookup_"&amp;$B88),IF(LEFT($B88,2)="BS",S$2,S$1),0))</f>
        <v>248947</v>
      </c>
    </row>
    <row r="89" spans="1:14">
      <c r="A89" t="n">
        <v>88</v>
      </c>
      <c r="B89" t="str">
        <f>VLOOKUP($A89,Aop!$A$2:$P$453,2,0)</f>
        <v>BSp</v>
      </c>
      <c r="C89" t="n">
        <v>26</v>
      </c>
      <c r="D89" t="str">
        <f aca="1">Podatak_MB</f>
        <v>1062280</v>
      </c>
      <c r="E89" t="str">
        <f aca="1">Podatak_JIB</f>
        <v>4400471400001</v>
      </c>
      <c r="F89" t="b">
        <f aca="1">Konsolidovan_izvjestaj</f>
        <v>0</v>
      </c>
      <c r="G89" s="20">
        <f aca="1">Datum_Broj</f>
        <v>45382</v>
      </c>
      <c r="H89">
        <f>VLOOKUP($A89,Aop!$A$2:$P$453,4,0)</f>
        <v>121</v>
      </c>
      <c r="I89">
        <f aca="1">Godina</f>
        <v>2024</v>
      </c>
      <c r="J89" t="str">
        <f aca="1">IF(VLOOKUP($H89,INDIRECT("Lookup_"&amp;$B89),IF(LEFT($B89,2)="BS",P$2,P$1),0)="","",VLOOKUP($H89,INDIRECT("Lookup_"&amp;$B89),IF($B89="BSp",P$2,P$1),0))</f>
        <v/>
      </c>
      <c r="K89"/>
      <c r="L89" t="str">
        <f aca="1">IF(VLOOKUP($H89,INDIRECT("Lookup_"&amp;$B89),IF(LEFT($B89,2)="BS",R$2,R$1),0)="","",VLOOKUP($H89,INDIRECT("Lookup_"&amp;$B89),IF($B89="BSa",R$2,R$1),0))</f>
        <v/>
      </c>
      <c r="M89" t="str">
        <f aca="1">IF(VLOOKUP($H89,INDIRECT("Lookup_"&amp;$B89),IF(LEFT($B89,2)="BS",S$2,S$1),0)="","",VLOOKUP($H89,INDIRECT("Lookup_"&amp;$B89),IF(LEFT($B89,2)="BS",S$2,S$1),0))</f>
        <v/>
      </c>
      <c r="N89" t="str">
        <f aca="1">IF(VLOOKUP($H89,INDIRECT("Lookup_"&amp;$B89),IF(LEFT($B89,2)="BS",S$2,S$1),0)="","",VLOOKUP($H89,INDIRECT("Lookup_"&amp;$B89),IF(LEFT($B89,2)="BS",S$2,S$1),0))</f>
        <v/>
      </c>
    </row>
    <row r="90" spans="1:14">
      <c r="A90" t="n">
        <v>89</v>
      </c>
      <c r="B90" t="str">
        <f>VLOOKUP($A90,Aop!$A$2:$P$453,2,0)</f>
        <v>BSp</v>
      </c>
      <c r="C90" t="n">
        <v>26</v>
      </c>
      <c r="D90" t="str">
        <f aca="1">Podatak_MB</f>
        <v>1062280</v>
      </c>
      <c r="E90" t="str">
        <f aca="1">Podatak_JIB</f>
        <v>4400471400001</v>
      </c>
      <c r="F90" t="b">
        <f aca="1">Konsolidovan_izvjestaj</f>
        <v>0</v>
      </c>
      <c r="G90" s="20">
        <f aca="1">Datum_Broj</f>
        <v>45382</v>
      </c>
      <c r="H90">
        <f>VLOOKUP($A90,Aop!$A$2:$P$453,4,0)</f>
        <v>122</v>
      </c>
      <c r="I90">
        <f aca="1">Godina</f>
        <v>2024</v>
      </c>
      <c r="J90" t="str">
        <f aca="1">IF(VLOOKUP($H90,INDIRECT("Lookup_"&amp;$B90),IF(LEFT($B90,2)="BS",P$2,P$1),0)="","",VLOOKUP($H90,INDIRECT("Lookup_"&amp;$B90),IF($B90="BSp",P$2,P$1),0))</f>
        <v/>
      </c>
      <c r="K90"/>
      <c r="L90" t="str">
        <f aca="1">IF(VLOOKUP($H90,INDIRECT("Lookup_"&amp;$B90),IF(LEFT($B90,2)="BS",R$2,R$1),0)="","",VLOOKUP($H90,INDIRECT("Lookup_"&amp;$B90),IF($B90="BSa",R$2,R$1),0))</f>
        <v/>
      </c>
      <c r="M90" t="str">
        <f aca="1">IF(VLOOKUP($H90,INDIRECT("Lookup_"&amp;$B90),IF(LEFT($B90,2)="BS",S$2,S$1),0)="","",VLOOKUP($H90,INDIRECT("Lookup_"&amp;$B90),IF(LEFT($B90,2)="BS",S$2,S$1),0))</f>
        <v/>
      </c>
      <c r="N90" t="str">
        <f aca="1">IF(VLOOKUP($H90,INDIRECT("Lookup_"&amp;$B90),IF(LEFT($B90,2)="BS",S$2,S$1),0)="","",VLOOKUP($H90,INDIRECT("Lookup_"&amp;$B90),IF(LEFT($B90,2)="BS",S$2,S$1),0))</f>
        <v/>
      </c>
    </row>
    <row r="91" spans="1:14">
      <c r="A91" t="n">
        <v>90</v>
      </c>
      <c r="B91" t="str">
        <f>VLOOKUP($A91,Aop!$A$2:$P$453,2,0)</f>
        <v>BSp</v>
      </c>
      <c r="C91" t="n">
        <v>26</v>
      </c>
      <c r="D91" t="str">
        <f aca="1">Podatak_MB</f>
        <v>1062280</v>
      </c>
      <c r="E91" t="str">
        <f aca="1">Podatak_JIB</f>
        <v>4400471400001</v>
      </c>
      <c r="F91" t="b">
        <f aca="1">Konsolidovan_izvjestaj</f>
        <v>0</v>
      </c>
      <c r="G91" s="20">
        <f aca="1">Datum_Broj</f>
        <v>45382</v>
      </c>
      <c r="H91">
        <f>VLOOKUP($A91,Aop!$A$2:$P$453,4,0)</f>
        <v>123</v>
      </c>
      <c r="I91">
        <f aca="1">Godina</f>
        <v>2024</v>
      </c>
      <c r="J91" t="str">
        <f aca="1">IF(VLOOKUP($H91,INDIRECT("Lookup_"&amp;$B91),IF(LEFT($B91,2)="BS",P$2,P$1),0)="","",VLOOKUP($H91,INDIRECT("Lookup_"&amp;$B91),IF($B91="BSp",P$2,P$1),0))</f>
        <v/>
      </c>
      <c r="K91"/>
      <c r="L91" t="str">
        <f aca="1">IF(VLOOKUP($H91,INDIRECT("Lookup_"&amp;$B91),IF(LEFT($B91,2)="BS",R$2,R$1),0)="","",VLOOKUP($H91,INDIRECT("Lookup_"&amp;$B91),IF($B91="BSa",R$2,R$1),0))</f>
        <v/>
      </c>
      <c r="M91" t="str">
        <f aca="1">IF(VLOOKUP($H91,INDIRECT("Lookup_"&amp;$B91),IF(LEFT($B91,2)="BS",S$2,S$1),0)="","",VLOOKUP($H91,INDIRECT("Lookup_"&amp;$B91),IF(LEFT($B91,2)="BS",S$2,S$1),0))</f>
        <v/>
      </c>
      <c r="N91" t="str">
        <f aca="1">IF(VLOOKUP($H91,INDIRECT("Lookup_"&amp;$B91),IF(LEFT($B91,2)="BS",S$2,S$1),0)="","",VLOOKUP($H91,INDIRECT("Lookup_"&amp;$B91),IF(LEFT($B91,2)="BS",S$2,S$1),0))</f>
        <v/>
      </c>
    </row>
    <row r="92" spans="1:14">
      <c r="A92" t="n">
        <v>91</v>
      </c>
      <c r="B92" t="str">
        <f>VLOOKUP($A92,Aop!$A$2:$P$453,2,0)</f>
        <v>BSp</v>
      </c>
      <c r="C92" t="n">
        <v>26</v>
      </c>
      <c r="D92" t="str">
        <f aca="1">Podatak_MB</f>
        <v>1062280</v>
      </c>
      <c r="E92" t="str">
        <f aca="1">Podatak_JIB</f>
        <v>4400471400001</v>
      </c>
      <c r="F92" t="b">
        <f aca="1">Konsolidovan_izvjestaj</f>
        <v>0</v>
      </c>
      <c r="G92" s="20">
        <f aca="1">Datum_Broj</f>
        <v>45382</v>
      </c>
      <c r="H92">
        <f>VLOOKUP($A92,Aop!$A$2:$P$453,4,0)</f>
        <v>124</v>
      </c>
      <c r="I92">
        <f aca="1">Godina</f>
        <v>2024</v>
      </c>
      <c r="J92" t="str">
        <f aca="1">IF(VLOOKUP($H92,INDIRECT("Lookup_"&amp;$B92),IF(LEFT($B92,2)="BS",P$2,P$1),0)="","",VLOOKUP($H92,INDIRECT("Lookup_"&amp;$B92),IF($B92="BSp",P$2,P$1),0))</f>
        <v/>
      </c>
      <c r="K92"/>
      <c r="L92" t="str">
        <f aca="1">IF(VLOOKUP($H92,INDIRECT("Lookup_"&amp;$B92),IF(LEFT($B92,2)="BS",R$2,R$1),0)="","",VLOOKUP($H92,INDIRECT("Lookup_"&amp;$B92),IF($B92="BSa",R$2,R$1),0))</f>
        <v/>
      </c>
      <c r="M92" s="571">
        <f aca="1">IF(VLOOKUP($H92,INDIRECT("Lookup_"&amp;$B92),IF(LEFT($B92,2)="BS",S$2,S$1),0)="","",VLOOKUP($H92,INDIRECT("Lookup_"&amp;$B92),IF(LEFT($B92,2)="BS",S$2,S$1),0))</f>
        <v>17530</v>
      </c>
      <c r="N92" s="571">
        <f aca="1">IF(VLOOKUP($H92,INDIRECT("Lookup_"&amp;$B92),IF(LEFT($B92,2)="BS",S$2,S$1),0)="","",VLOOKUP($H92,INDIRECT("Lookup_"&amp;$B92),IF(LEFT($B92,2)="BS",S$2,S$1),0))</f>
        <v>17530</v>
      </c>
    </row>
    <row r="93" spans="1:14">
      <c r="A93" t="n">
        <v>92</v>
      </c>
      <c r="B93" t="str">
        <f>VLOOKUP($A93,Aop!$A$2:$P$453,2,0)</f>
        <v>BSp</v>
      </c>
      <c r="C93" t="n">
        <v>26</v>
      </c>
      <c r="D93" t="str">
        <f aca="1">Podatak_MB</f>
        <v>1062280</v>
      </c>
      <c r="E93" t="str">
        <f aca="1">Podatak_JIB</f>
        <v>4400471400001</v>
      </c>
      <c r="F93" t="b">
        <f aca="1">Konsolidovan_izvjestaj</f>
        <v>0</v>
      </c>
      <c r="G93" s="20">
        <f aca="1">Datum_Broj</f>
        <v>45382</v>
      </c>
      <c r="H93">
        <f>VLOOKUP($A93,Aop!$A$2:$P$453,4,0)</f>
        <v>125</v>
      </c>
      <c r="I93">
        <f aca="1">Godina</f>
        <v>2024</v>
      </c>
      <c r="J93" t="str">
        <f aca="1">IF(VLOOKUP($H93,INDIRECT("Lookup_"&amp;$B93),IF(LEFT($B93,2)="BS",P$2,P$1),0)="","",VLOOKUP($H93,INDIRECT("Lookup_"&amp;$B93),IF($B93="BSp",P$2,P$1),0))</f>
        <v/>
      </c>
      <c r="K93"/>
      <c r="L93" t="str">
        <f aca="1">IF(VLOOKUP($H93,INDIRECT("Lookup_"&amp;$B93),IF(LEFT($B93,2)="BS",R$2,R$1),0)="","",VLOOKUP($H93,INDIRECT("Lookup_"&amp;$B93),IF($B93="BSa",R$2,R$1),0))</f>
        <v/>
      </c>
      <c r="M93" t="str">
        <f aca="1">IF(VLOOKUP($H93,INDIRECT("Lookup_"&amp;$B93),IF(LEFT($B93,2)="BS",S$2,S$1),0)="","",VLOOKUP($H93,INDIRECT("Lookup_"&amp;$B93),IF(LEFT($B93,2)="BS",S$2,S$1),0))</f>
        <v/>
      </c>
      <c r="N93" t="str">
        <f aca="1">IF(VLOOKUP($H93,INDIRECT("Lookup_"&amp;$B93),IF(LEFT($B93,2)="BS",S$2,S$1),0)="","",VLOOKUP($H93,INDIRECT("Lookup_"&amp;$B93),IF(LEFT($B93,2)="BS",S$2,S$1),0))</f>
        <v/>
      </c>
    </row>
    <row r="94" spans="1:14">
      <c r="A94" t="n">
        <v>93</v>
      </c>
      <c r="B94" t="str">
        <f>VLOOKUP($A94,Aop!$A$2:$P$453,2,0)</f>
        <v>BSp</v>
      </c>
      <c r="C94" t="n">
        <v>26</v>
      </c>
      <c r="D94" t="str">
        <f aca="1">Podatak_MB</f>
        <v>1062280</v>
      </c>
      <c r="E94" t="str">
        <f aca="1">Podatak_JIB</f>
        <v>4400471400001</v>
      </c>
      <c r="F94" t="b">
        <f aca="1">Konsolidovan_izvjestaj</f>
        <v>0</v>
      </c>
      <c r="G94" s="20">
        <f aca="1">Datum_Broj</f>
        <v>45382</v>
      </c>
      <c r="H94">
        <f>VLOOKUP($A94,Aop!$A$2:$P$453,4,0)</f>
        <v>126</v>
      </c>
      <c r="I94">
        <f aca="1">Godina</f>
        <v>2024</v>
      </c>
      <c r="J94" t="str">
        <f aca="1">IF(VLOOKUP($H94,INDIRECT("Lookup_"&amp;$B94),IF(LEFT($B94,2)="BS",P$2,P$1),0)="","",VLOOKUP($H94,INDIRECT("Lookup_"&amp;$B94),IF($B94="BSp",P$2,P$1),0))</f>
        <v/>
      </c>
      <c r="K94"/>
      <c r="L94" t="str">
        <f aca="1">IF(VLOOKUP($H94,INDIRECT("Lookup_"&amp;$B94),IF(LEFT($B94,2)="BS",R$2,R$1),0)="","",VLOOKUP($H94,INDIRECT("Lookup_"&amp;$B94),IF($B94="BSa",R$2,R$1),0))</f>
        <v/>
      </c>
      <c r="M94" s="575">
        <f aca="1">IF(VLOOKUP($H94,INDIRECT("Lookup_"&amp;$B94),IF(LEFT($B94,2)="BS",S$2,S$1),0)="","",VLOOKUP($H94,INDIRECT("Lookup_"&amp;$B94),IF(LEFT($B94,2)="BS",S$2,S$1),0))</f>
        <v>17530</v>
      </c>
      <c r="N94" s="575">
        <f aca="1">IF(VLOOKUP($H94,INDIRECT("Lookup_"&amp;$B94),IF(LEFT($B94,2)="BS",S$2,S$1),0)="","",VLOOKUP($H94,INDIRECT("Lookup_"&amp;$B94),IF(LEFT($B94,2)="BS",S$2,S$1),0))</f>
        <v>17530</v>
      </c>
    </row>
    <row r="95" spans="1:14">
      <c r="A95" t="n">
        <v>94</v>
      </c>
      <c r="B95" t="str">
        <f>VLOOKUP($A95,Aop!$A$2:$P$453,2,0)</f>
        <v>BSp</v>
      </c>
      <c r="C95" t="n">
        <v>26</v>
      </c>
      <c r="D95" t="str">
        <f aca="1">Podatak_MB</f>
        <v>1062280</v>
      </c>
      <c r="E95" t="str">
        <f aca="1">Podatak_JIB</f>
        <v>4400471400001</v>
      </c>
      <c r="F95" t="b">
        <f aca="1">Konsolidovan_izvjestaj</f>
        <v>0</v>
      </c>
      <c r="G95" s="20">
        <f aca="1">Datum_Broj</f>
        <v>45382</v>
      </c>
      <c r="H95">
        <f>VLOOKUP($A95,Aop!$A$2:$P$453,4,0)</f>
        <v>127</v>
      </c>
      <c r="I95">
        <f aca="1">Godina</f>
        <v>2024</v>
      </c>
      <c r="J95" t="str">
        <f aca="1">IF(VLOOKUP($H95,INDIRECT("Lookup_"&amp;$B95),IF(LEFT($B95,2)="BS",P$2,P$1),0)="","",VLOOKUP($H95,INDIRECT("Lookup_"&amp;$B95),IF($B95="BSp",P$2,P$1),0))</f>
        <v/>
      </c>
      <c r="K95"/>
      <c r="L95" t="str">
        <f aca="1">IF(VLOOKUP($H95,INDIRECT("Lookup_"&amp;$B95),IF(LEFT($B95,2)="BS",R$2,R$1),0)="","",VLOOKUP($H95,INDIRECT("Lookup_"&amp;$B95),IF($B95="BSa",R$2,R$1),0))</f>
        <v/>
      </c>
      <c r="M95" t="str">
        <f aca="1">IF(VLOOKUP($H95,INDIRECT("Lookup_"&amp;$B95),IF(LEFT($B95,2)="BS",S$2,S$1),0)="","",VLOOKUP($H95,INDIRECT("Lookup_"&amp;$B95),IF(LEFT($B95,2)="BS",S$2,S$1),0))</f>
        <v/>
      </c>
      <c r="N95" t="str">
        <f aca="1">IF(VLOOKUP($H95,INDIRECT("Lookup_"&amp;$B95),IF(LEFT($B95,2)="BS",S$2,S$1),0)="","",VLOOKUP($H95,INDIRECT("Lookup_"&amp;$B95),IF(LEFT($B95,2)="BS",S$2,S$1),0))</f>
        <v/>
      </c>
    </row>
    <row r="96" spans="1:14">
      <c r="A96" t="n">
        <v>95</v>
      </c>
      <c r="B96" t="str">
        <f>VLOOKUP($A96,Aop!$A$2:$P$453,2,0)</f>
        <v>BSp</v>
      </c>
      <c r="C96" t="n">
        <v>26</v>
      </c>
      <c r="D96" t="str">
        <f aca="1">Podatak_MB</f>
        <v>1062280</v>
      </c>
      <c r="E96" t="str">
        <f aca="1">Podatak_JIB</f>
        <v>4400471400001</v>
      </c>
      <c r="F96" t="b">
        <f aca="1">Konsolidovan_izvjestaj</f>
        <v>0</v>
      </c>
      <c r="G96" s="20">
        <f aca="1">Datum_Broj</f>
        <v>45382</v>
      </c>
      <c r="H96">
        <f>VLOOKUP($A96,Aop!$A$2:$P$453,4,0)</f>
        <v>128</v>
      </c>
      <c r="I96">
        <f aca="1">Godina</f>
        <v>2024</v>
      </c>
      <c r="J96" t="str">
        <f aca="1">IF(VLOOKUP($H96,INDIRECT("Lookup_"&amp;$B96),IF(LEFT($B96,2)="BS",P$2,P$1),0)="","",VLOOKUP($H96,INDIRECT("Lookup_"&amp;$B96),IF($B96="BSp",P$2,P$1),0))</f>
        <v/>
      </c>
      <c r="K96"/>
      <c r="L96" t="str">
        <f aca="1">IF(VLOOKUP($H96,INDIRECT("Lookup_"&amp;$B96),IF(LEFT($B96,2)="BS",R$2,R$1),0)="","",VLOOKUP($H96,INDIRECT("Lookup_"&amp;$B96),IF($B96="BSa",R$2,R$1),0))</f>
        <v/>
      </c>
      <c r="M96" s="571">
        <f aca="1">IF(VLOOKUP($H96,INDIRECT("Lookup_"&amp;$B96),IF(LEFT($B96,2)="BS",S$2,S$1),0)="","",VLOOKUP($H96,INDIRECT("Lookup_"&amp;$B96),IF(LEFT($B96,2)="BS",S$2,S$1),0))</f>
        <v>5092009</v>
      </c>
      <c r="N96" s="571">
        <f aca="1">IF(VLOOKUP($H96,INDIRECT("Lookup_"&amp;$B96),IF(LEFT($B96,2)="BS",S$2,S$1),0)="","",VLOOKUP($H96,INDIRECT("Lookup_"&amp;$B96),IF(LEFT($B96,2)="BS",S$2,S$1),0))</f>
        <v>5092009</v>
      </c>
    </row>
    <row r="97" spans="1:14">
      <c r="A97" t="n">
        <v>96</v>
      </c>
      <c r="B97" t="str">
        <f>VLOOKUP($A97,Aop!$A$2:$P$453,2,0)</f>
        <v>BSp</v>
      </c>
      <c r="C97" t="n">
        <v>26</v>
      </c>
      <c r="D97" t="str">
        <f aca="1">Podatak_MB</f>
        <v>1062280</v>
      </c>
      <c r="E97" t="str">
        <f aca="1">Podatak_JIB</f>
        <v>4400471400001</v>
      </c>
      <c r="F97" t="b">
        <f aca="1">Konsolidovan_izvjestaj</f>
        <v>0</v>
      </c>
      <c r="G97" s="20">
        <f aca="1">Datum_Broj</f>
        <v>45382</v>
      </c>
      <c r="H97">
        <f>VLOOKUP($A97,Aop!$A$2:$P$453,4,0)</f>
        <v>129</v>
      </c>
      <c r="I97">
        <f aca="1">Godina</f>
        <v>2024</v>
      </c>
      <c r="J97" t="str">
        <f aca="1">IF(VLOOKUP($H97,INDIRECT("Lookup_"&amp;$B97),IF(LEFT($B97,2)="BS",P$2,P$1),0)="","",VLOOKUP($H97,INDIRECT("Lookup_"&amp;$B97),IF($B97="BSp",P$2,P$1),0))</f>
        <v/>
      </c>
      <c r="K97"/>
      <c r="L97" t="str">
        <f aca="1">IF(VLOOKUP($H97,INDIRECT("Lookup_"&amp;$B97),IF(LEFT($B97,2)="BS",R$2,R$1),0)="","",VLOOKUP($H97,INDIRECT("Lookup_"&amp;$B97),IF($B97="BSa",R$2,R$1),0))</f>
        <v/>
      </c>
      <c r="M97" s="575">
        <f aca="1">IF(VLOOKUP($H97,INDIRECT("Lookup_"&amp;$B97),IF(LEFT($B97,2)="BS",S$2,S$1),0)="","",VLOOKUP($H97,INDIRECT("Lookup_"&amp;$B97),IF(LEFT($B97,2)="BS",S$2,S$1),0))</f>
        <v>5092009</v>
      </c>
      <c r="N97" s="575">
        <f aca="1">IF(VLOOKUP($H97,INDIRECT("Lookup_"&amp;$B97),IF(LEFT($B97,2)="BS",S$2,S$1),0)="","",VLOOKUP($H97,INDIRECT("Lookup_"&amp;$B97),IF(LEFT($B97,2)="BS",S$2,S$1),0))</f>
        <v>5092009</v>
      </c>
    </row>
    <row r="98" spans="1:14">
      <c r="A98" t="n">
        <v>97</v>
      </c>
      <c r="B98" t="str">
        <f>VLOOKUP($A98,Aop!$A$2:$P$453,2,0)</f>
        <v>BSp</v>
      </c>
      <c r="C98" t="n">
        <v>26</v>
      </c>
      <c r="D98" t="str">
        <f aca="1">Podatak_MB</f>
        <v>1062280</v>
      </c>
      <c r="E98" t="str">
        <f aca="1">Podatak_JIB</f>
        <v>4400471400001</v>
      </c>
      <c r="F98" t="b">
        <f aca="1">Konsolidovan_izvjestaj</f>
        <v>0</v>
      </c>
      <c r="G98" s="20">
        <f aca="1">Datum_Broj</f>
        <v>45382</v>
      </c>
      <c r="H98">
        <f>VLOOKUP($A98,Aop!$A$2:$P$453,4,0)</f>
        <v>130</v>
      </c>
      <c r="I98">
        <f aca="1">Godina</f>
        <v>2024</v>
      </c>
      <c r="J98" t="str">
        <f aca="1">IF(VLOOKUP($H98,INDIRECT("Lookup_"&amp;$B98),IF(LEFT($B98,2)="BS",P$2,P$1),0)="","",VLOOKUP($H98,INDIRECT("Lookup_"&amp;$B98),IF($B98="BSp",P$2,P$1),0))</f>
        <v/>
      </c>
      <c r="K98"/>
      <c r="L98" t="str">
        <f aca="1">IF(VLOOKUP($H98,INDIRECT("Lookup_"&amp;$B98),IF(LEFT($B98,2)="BS",R$2,R$1),0)="","",VLOOKUP($H98,INDIRECT("Lookup_"&amp;$B98),IF($B98="BSa",R$2,R$1),0))</f>
        <v/>
      </c>
      <c r="M98" t="str">
        <f aca="1">IF(VLOOKUP($H98,INDIRECT("Lookup_"&amp;$B98),IF(LEFT($B98,2)="BS",S$2,S$1),0)="","",VLOOKUP($H98,INDIRECT("Lookup_"&amp;$B98),IF(LEFT($B98,2)="BS",S$2,S$1),0))</f>
        <v/>
      </c>
      <c r="N98" t="str">
        <f aca="1">IF(VLOOKUP($H98,INDIRECT("Lookup_"&amp;$B98),IF(LEFT($B98,2)="BS",S$2,S$1),0)="","",VLOOKUP($H98,INDIRECT("Lookup_"&amp;$B98),IF(LEFT($B98,2)="BS",S$2,S$1),0))</f>
        <v/>
      </c>
    </row>
    <row r="99" spans="1:14">
      <c r="A99" t="n">
        <v>98</v>
      </c>
      <c r="B99" t="str">
        <f>VLOOKUP($A99,Aop!$A$2:$P$453,2,0)</f>
        <v>BSp</v>
      </c>
      <c r="C99" t="n">
        <v>26</v>
      </c>
      <c r="D99" t="str">
        <f aca="1">Podatak_MB</f>
        <v>1062280</v>
      </c>
      <c r="E99" t="str">
        <f aca="1">Podatak_JIB</f>
        <v>4400471400001</v>
      </c>
      <c r="F99" t="b">
        <f aca="1">Konsolidovan_izvjestaj</f>
        <v>0</v>
      </c>
      <c r="G99" s="20">
        <f aca="1">Datum_Broj</f>
        <v>45382</v>
      </c>
      <c r="H99">
        <f>VLOOKUP($A99,Aop!$A$2:$P$453,4,0)</f>
        <v>131</v>
      </c>
      <c r="I99">
        <f aca="1">Godina</f>
        <v>2024</v>
      </c>
      <c r="J99" t="str">
        <f aca="1">IF(VLOOKUP($H99,INDIRECT("Lookup_"&amp;$B99),IF(LEFT($B99,2)="BS",P$2,P$1),0)="","",VLOOKUP($H99,INDIRECT("Lookup_"&amp;$B99),IF($B99="BSp",P$2,P$1),0))</f>
        <v/>
      </c>
      <c r="K99"/>
      <c r="L99" t="str">
        <f aca="1">IF(VLOOKUP($H99,INDIRECT("Lookup_"&amp;$B99),IF(LEFT($B99,2)="BS",R$2,R$1),0)="","",VLOOKUP($H99,INDIRECT("Lookup_"&amp;$B99),IF($B99="BSa",R$2,R$1),0))</f>
        <v/>
      </c>
      <c r="M99" t="str">
        <f aca="1">IF(VLOOKUP($H99,INDIRECT("Lookup_"&amp;$B99),IF(LEFT($B99,2)="BS",S$2,S$1),0)="","",VLOOKUP($H99,INDIRECT("Lookup_"&amp;$B99),IF(LEFT($B99,2)="BS",S$2,S$1),0))</f>
        <v/>
      </c>
      <c r="N99" t="str">
        <f aca="1">IF(VLOOKUP($H99,INDIRECT("Lookup_"&amp;$B99),IF(LEFT($B99,2)="BS",S$2,S$1),0)="","",VLOOKUP($H99,INDIRECT("Lookup_"&amp;$B99),IF(LEFT($B99,2)="BS",S$2,S$1),0))</f>
        <v/>
      </c>
    </row>
    <row r="100" spans="1:14">
      <c r="A100" t="n">
        <v>99</v>
      </c>
      <c r="B100" t="str">
        <f>VLOOKUP($A100,Aop!$A$2:$P$453,2,0)</f>
        <v>BSp</v>
      </c>
      <c r="C100" t="n">
        <v>26</v>
      </c>
      <c r="D100" t="str">
        <f aca="1">Podatak_MB</f>
        <v>1062280</v>
      </c>
      <c r="E100" t="str">
        <f aca="1">Podatak_JIB</f>
        <v>4400471400001</v>
      </c>
      <c r="F100" t="b">
        <f aca="1">Konsolidovan_izvjestaj</f>
        <v>0</v>
      </c>
      <c r="G100" s="20">
        <f aca="1">Datum_Broj</f>
        <v>45382</v>
      </c>
      <c r="H100">
        <f>VLOOKUP($A100,Aop!$A$2:$P$453,4,0)</f>
        <v>132</v>
      </c>
      <c r="I100">
        <f aca="1">Godina</f>
        <v>2024</v>
      </c>
      <c r="J100" t="str">
        <f aca="1">IF(VLOOKUP($H100,INDIRECT("Lookup_"&amp;$B100),IF(LEFT($B100,2)="BS",P$2,P$1),0)="","",VLOOKUP($H100,INDIRECT("Lookup_"&amp;$B100),IF($B100="BSp",P$2,P$1),0))</f>
        <v/>
      </c>
      <c r="K100"/>
      <c r="L100" t="str">
        <f aca="1">IF(VLOOKUP($H100,INDIRECT("Lookup_"&amp;$B100),IF(LEFT($B100,2)="BS",R$2,R$1),0)="","",VLOOKUP($H100,INDIRECT("Lookup_"&amp;$B100),IF($B100="BSa",R$2,R$1),0))</f>
        <v/>
      </c>
      <c r="M100" s="571">
        <f aca="1">IF(VLOOKUP($H100,INDIRECT("Lookup_"&amp;$B100),IF(LEFT($B100,2)="BS",S$2,S$1),0)="","",VLOOKUP($H100,INDIRECT("Lookup_"&amp;$B100),IF(LEFT($B100,2)="BS",S$2,S$1),0))</f>
        <v>601441</v>
      </c>
      <c r="N100" s="571">
        <f aca="1">IF(VLOOKUP($H100,INDIRECT("Lookup_"&amp;$B100),IF(LEFT($B100,2)="BS",S$2,S$1),0)="","",VLOOKUP($H100,INDIRECT("Lookup_"&amp;$B100),IF(LEFT($B100,2)="BS",S$2,S$1),0))</f>
        <v>601441</v>
      </c>
    </row>
    <row r="101" spans="1:14">
      <c r="A101" t="n">
        <v>100</v>
      </c>
      <c r="B101" t="str">
        <f>VLOOKUP($A101,Aop!$A$2:$P$453,2,0)</f>
        <v>BSp</v>
      </c>
      <c r="C101" t="n">
        <v>26</v>
      </c>
      <c r="D101" t="str">
        <f aca="1">Podatak_MB</f>
        <v>1062280</v>
      </c>
      <c r="E101" t="str">
        <f aca="1">Podatak_JIB</f>
        <v>4400471400001</v>
      </c>
      <c r="F101" t="b">
        <f aca="1">Konsolidovan_izvjestaj</f>
        <v>0</v>
      </c>
      <c r="G101" s="20">
        <f aca="1">Datum_Broj</f>
        <v>45382</v>
      </c>
      <c r="H101">
        <f>VLOOKUP($A101,Aop!$A$2:$P$453,4,0)</f>
        <v>133</v>
      </c>
      <c r="I101">
        <f aca="1">Godina</f>
        <v>2024</v>
      </c>
      <c r="J101" t="str">
        <f aca="1">IF(VLOOKUP($H101,INDIRECT("Lookup_"&amp;$B101),IF(LEFT($B101,2)="BS",P$2,P$1),0)="","",VLOOKUP($H101,INDIRECT("Lookup_"&amp;$B101),IF($B101="BSp",P$2,P$1),0))</f>
        <v/>
      </c>
      <c r="K101"/>
      <c r="L101" t="str">
        <f aca="1">IF(VLOOKUP($H101,INDIRECT("Lookup_"&amp;$B101),IF(LEFT($B101,2)="BS",R$2,R$1),0)="","",VLOOKUP($H101,INDIRECT("Lookup_"&amp;$B101),IF($B101="BSa",R$2,R$1),0))</f>
        <v/>
      </c>
      <c r="M101" s="571">
        <f aca="1">IF(VLOOKUP($H101,INDIRECT("Lookup_"&amp;$B101),IF(LEFT($B101,2)="BS",S$2,S$1),0)="","",VLOOKUP($H101,INDIRECT("Lookup_"&amp;$B101),IF(LEFT($B101,2)="BS",S$2,S$1),0))</f>
        <v>9259</v>
      </c>
      <c r="N101" s="571">
        <f aca="1">IF(VLOOKUP($H101,INDIRECT("Lookup_"&amp;$B101),IF(LEFT($B101,2)="BS",S$2,S$1),0)="","",VLOOKUP($H101,INDIRECT("Lookup_"&amp;$B101),IF(LEFT($B101,2)="BS",S$2,S$1),0))</f>
        <v>9259</v>
      </c>
    </row>
    <row r="102" spans="1:14">
      <c r="A102" t="n">
        <v>101</v>
      </c>
      <c r="B102" t="str">
        <f>VLOOKUP($A102,Aop!$A$2:$P$453,2,0)</f>
        <v>BSp</v>
      </c>
      <c r="C102" t="n">
        <v>26</v>
      </c>
      <c r="D102" t="str">
        <f aca="1">Podatak_MB</f>
        <v>1062280</v>
      </c>
      <c r="E102" t="str">
        <f aca="1">Podatak_JIB</f>
        <v>4400471400001</v>
      </c>
      <c r="F102" t="b">
        <f aca="1">Konsolidovan_izvjestaj</f>
        <v>0</v>
      </c>
      <c r="G102" s="20">
        <f aca="1">Datum_Broj</f>
        <v>45382</v>
      </c>
      <c r="H102">
        <f>VLOOKUP($A102,Aop!$A$2:$P$453,4,0)</f>
        <v>134</v>
      </c>
      <c r="I102">
        <f aca="1">Godina</f>
        <v>2024</v>
      </c>
      <c r="J102" t="str">
        <f aca="1">IF(VLOOKUP($H102,INDIRECT("Lookup_"&amp;$B102),IF(LEFT($B102,2)="BS",P$2,P$1),0)="","",VLOOKUP($H102,INDIRECT("Lookup_"&amp;$B102),IF($B102="BSp",P$2,P$1),0))</f>
        <v/>
      </c>
      <c r="K102"/>
      <c r="L102" t="str">
        <f aca="1">IF(VLOOKUP($H102,INDIRECT("Lookup_"&amp;$B102),IF(LEFT($B102,2)="BS",R$2,R$1),0)="","",VLOOKUP($H102,INDIRECT("Lookup_"&amp;$B102),IF($B102="BSa",R$2,R$1),0))</f>
        <v/>
      </c>
      <c r="M102" t="str">
        <f aca="1">IF(VLOOKUP($H102,INDIRECT("Lookup_"&amp;$B102),IF(LEFT($B102,2)="BS",S$2,S$1),0)="","",VLOOKUP($H102,INDIRECT("Lookup_"&amp;$B102),IF(LEFT($B102,2)="BS",S$2,S$1),0))</f>
        <v/>
      </c>
      <c r="N102" t="str">
        <f aca="1">IF(VLOOKUP($H102,INDIRECT("Lookup_"&amp;$B102),IF(LEFT($B102,2)="BS",S$2,S$1),0)="","",VLOOKUP($H102,INDIRECT("Lookup_"&amp;$B102),IF(LEFT($B102,2)="BS",S$2,S$1),0))</f>
        <v/>
      </c>
    </row>
    <row r="103" spans="1:14">
      <c r="A103" t="n">
        <v>102</v>
      </c>
      <c r="B103" t="str">
        <f>VLOOKUP($A103,Aop!$A$2:$P$453,2,0)</f>
        <v>BSp</v>
      </c>
      <c r="C103" t="n">
        <v>26</v>
      </c>
      <c r="D103" t="str">
        <f aca="1">Podatak_MB</f>
        <v>1062280</v>
      </c>
      <c r="E103" t="str">
        <f aca="1">Podatak_JIB</f>
        <v>4400471400001</v>
      </c>
      <c r="F103" t="b">
        <f aca="1">Konsolidovan_izvjestaj</f>
        <v>0</v>
      </c>
      <c r="G103" s="20">
        <f aca="1">Datum_Broj</f>
        <v>45382</v>
      </c>
      <c r="H103">
        <f>VLOOKUP($A103,Aop!$A$2:$P$453,4,0)</f>
        <v>135</v>
      </c>
      <c r="I103">
        <f aca="1">Godina</f>
        <v>2024</v>
      </c>
      <c r="J103" t="str">
        <f aca="1">IF(VLOOKUP($H103,INDIRECT("Lookup_"&amp;$B103),IF(LEFT($B103,2)="BS",P$2,P$1),0)="","",VLOOKUP($H103,INDIRECT("Lookup_"&amp;$B103),IF($B103="BSp",P$2,P$1),0))</f>
        <v/>
      </c>
      <c r="K103"/>
      <c r="L103" t="str">
        <f aca="1">IF(VLOOKUP($H103,INDIRECT("Lookup_"&amp;$B103),IF(LEFT($B103,2)="BS",R$2,R$1),0)="","",VLOOKUP($H103,INDIRECT("Lookup_"&amp;$B103),IF($B103="BSa",R$2,R$1),0))</f>
        <v/>
      </c>
      <c r="M103" s="575">
        <f aca="1">IF(VLOOKUP($H103,INDIRECT("Lookup_"&amp;$B103),IF(LEFT($B103,2)="BS",S$2,S$1),0)="","",VLOOKUP($H103,INDIRECT("Lookup_"&amp;$B103),IF(LEFT($B103,2)="BS",S$2,S$1),0))</f>
        <v>9259</v>
      </c>
      <c r="N103" s="575">
        <f aca="1">IF(VLOOKUP($H103,INDIRECT("Lookup_"&amp;$B103),IF(LEFT($B103,2)="BS",S$2,S$1),0)="","",VLOOKUP($H103,INDIRECT("Lookup_"&amp;$B103),IF(LEFT($B103,2)="BS",S$2,S$1),0))</f>
        <v>9259</v>
      </c>
    </row>
    <row r="104" spans="1:14">
      <c r="A104" t="n">
        <v>103</v>
      </c>
      <c r="B104" t="str">
        <f>VLOOKUP($A104,Aop!$A$2:$P$453,2,0)</f>
        <v>BSp</v>
      </c>
      <c r="C104" t="n">
        <v>26</v>
      </c>
      <c r="D104" t="str">
        <f aca="1">Podatak_MB</f>
        <v>1062280</v>
      </c>
      <c r="E104" t="str">
        <f aca="1">Podatak_JIB</f>
        <v>4400471400001</v>
      </c>
      <c r="F104" t="b">
        <f aca="1">Konsolidovan_izvjestaj</f>
        <v>0</v>
      </c>
      <c r="G104" s="20">
        <f aca="1">Datum_Broj</f>
        <v>45382</v>
      </c>
      <c r="H104">
        <f>VLOOKUP($A104,Aop!$A$2:$P$453,4,0)</f>
        <v>136</v>
      </c>
      <c r="I104">
        <f aca="1">Godina</f>
        <v>2024</v>
      </c>
      <c r="J104" t="str">
        <f aca="1">IF(VLOOKUP($H104,INDIRECT("Lookup_"&amp;$B104),IF(LEFT($B104,2)="BS",P$2,P$1),0)="","",VLOOKUP($H104,INDIRECT("Lookup_"&amp;$B104),IF($B104="BSp",P$2,P$1),0))</f>
        <v/>
      </c>
      <c r="K104"/>
      <c r="L104" t="str">
        <f aca="1">IF(VLOOKUP($H104,INDIRECT("Lookup_"&amp;$B104),IF(LEFT($B104,2)="BS",R$2,R$1),0)="","",VLOOKUP($H104,INDIRECT("Lookup_"&amp;$B104),IF($B104="BSa",R$2,R$1),0))</f>
        <v/>
      </c>
      <c r="M104" t="str">
        <f aca="1">IF(VLOOKUP($H104,INDIRECT("Lookup_"&amp;$B104),IF(LEFT($B104,2)="BS",S$2,S$1),0)="","",VLOOKUP($H104,INDIRECT("Lookup_"&amp;$B104),IF(LEFT($B104,2)="BS",S$2,S$1),0))</f>
        <v/>
      </c>
      <c r="N104" t="str">
        <f aca="1">IF(VLOOKUP($H104,INDIRECT("Lookup_"&amp;$B104),IF(LEFT($B104,2)="BS",S$2,S$1),0)="","",VLOOKUP($H104,INDIRECT("Lookup_"&amp;$B104),IF(LEFT($B104,2)="BS",S$2,S$1),0))</f>
        <v/>
      </c>
    </row>
    <row r="105" spans="1:14">
      <c r="A105" t="n">
        <v>104</v>
      </c>
      <c r="B105" t="str">
        <f>VLOOKUP($A105,Aop!$A$2:$P$453,2,0)</f>
        <v>BSp</v>
      </c>
      <c r="C105" t="n">
        <v>26</v>
      </c>
      <c r="D105" t="str">
        <f aca="1">Podatak_MB</f>
        <v>1062280</v>
      </c>
      <c r="E105" t="str">
        <f aca="1">Podatak_JIB</f>
        <v>4400471400001</v>
      </c>
      <c r="F105" t="b">
        <f aca="1">Konsolidovan_izvjestaj</f>
        <v>0</v>
      </c>
      <c r="G105" s="20">
        <f aca="1">Datum_Broj</f>
        <v>45382</v>
      </c>
      <c r="H105">
        <f>VLOOKUP($A105,Aop!$A$2:$P$453,4,0)</f>
        <v>137</v>
      </c>
      <c r="I105">
        <f aca="1">Godina</f>
        <v>2024</v>
      </c>
      <c r="J105" t="str">
        <f aca="1">IF(VLOOKUP($H105,INDIRECT("Lookup_"&amp;$B105),IF(LEFT($B105,2)="BS",P$2,P$1),0)="","",VLOOKUP($H105,INDIRECT("Lookup_"&amp;$B105),IF($B105="BSp",P$2,P$1),0))</f>
        <v/>
      </c>
      <c r="K105"/>
      <c r="L105" t="str">
        <f aca="1">IF(VLOOKUP($H105,INDIRECT("Lookup_"&amp;$B105),IF(LEFT($B105,2)="BS",R$2,R$1),0)="","",VLOOKUP($H105,INDIRECT("Lookup_"&amp;$B105),IF($B105="BSa",R$2,R$1),0))</f>
        <v/>
      </c>
      <c r="M105" s="571">
        <f aca="1">IF(VLOOKUP($H105,INDIRECT("Lookup_"&amp;$B105),IF(LEFT($B105,2)="BS",S$2,S$1),0)="","",VLOOKUP($H105,INDIRECT("Lookup_"&amp;$B105),IF(LEFT($B105,2)="BS",S$2,S$1),0))</f>
        <v>592182</v>
      </c>
      <c r="N105" s="571">
        <f aca="1">IF(VLOOKUP($H105,INDIRECT("Lookup_"&amp;$B105),IF(LEFT($B105,2)="BS",S$2,S$1),0)="","",VLOOKUP($H105,INDIRECT("Lookup_"&amp;$B105),IF(LEFT($B105,2)="BS",S$2,S$1),0))</f>
        <v>592182</v>
      </c>
    </row>
    <row r="106" spans="1:14">
      <c r="A106" t="n">
        <v>105</v>
      </c>
      <c r="B106" t="str">
        <f>VLOOKUP($A106,Aop!$A$2:$P$453,2,0)</f>
        <v>BSp</v>
      </c>
      <c r="C106" t="n">
        <v>26</v>
      </c>
      <c r="D106" t="str">
        <f aca="1">Podatak_MB</f>
        <v>1062280</v>
      </c>
      <c r="E106" t="str">
        <f aca="1">Podatak_JIB</f>
        <v>4400471400001</v>
      </c>
      <c r="F106" t="b">
        <f aca="1">Konsolidovan_izvjestaj</f>
        <v>0</v>
      </c>
      <c r="G106" s="20">
        <f aca="1">Datum_Broj</f>
        <v>45382</v>
      </c>
      <c r="H106">
        <f>VLOOKUP($A106,Aop!$A$2:$P$453,4,0)</f>
        <v>138</v>
      </c>
      <c r="I106">
        <f aca="1">Godina</f>
        <v>2024</v>
      </c>
      <c r="J106" t="str">
        <f aca="1">IF(VLOOKUP($H106,INDIRECT("Lookup_"&amp;$B106),IF(LEFT($B106,2)="BS",P$2,P$1),0)="","",VLOOKUP($H106,INDIRECT("Lookup_"&amp;$B106),IF($B106="BSp",P$2,P$1),0))</f>
        <v/>
      </c>
      <c r="K106"/>
      <c r="L106" t="str">
        <f aca="1">IF(VLOOKUP($H106,INDIRECT("Lookup_"&amp;$B106),IF(LEFT($B106,2)="BS",R$2,R$1),0)="","",VLOOKUP($H106,INDIRECT("Lookup_"&amp;$B106),IF($B106="BSa",R$2,R$1),0))</f>
        <v/>
      </c>
      <c r="M106" t="str">
        <f aca="1">IF(VLOOKUP($H106,INDIRECT("Lookup_"&amp;$B106),IF(LEFT($B106,2)="BS",S$2,S$1),0)="","",VLOOKUP($H106,INDIRECT("Lookup_"&amp;$B106),IF(LEFT($B106,2)="BS",S$2,S$1),0))</f>
        <v/>
      </c>
      <c r="N106" t="str">
        <f aca="1">IF(VLOOKUP($H106,INDIRECT("Lookup_"&amp;$B106),IF(LEFT($B106,2)="BS",S$2,S$1),0)="","",VLOOKUP($H106,INDIRECT("Lookup_"&amp;$B106),IF(LEFT($B106,2)="BS",S$2,S$1),0))</f>
        <v/>
      </c>
    </row>
    <row r="107" spans="1:14">
      <c r="A107" t="n">
        <v>106</v>
      </c>
      <c r="B107" t="str">
        <f>VLOOKUP($A107,Aop!$A$2:$P$453,2,0)</f>
        <v>BSp</v>
      </c>
      <c r="C107" t="n">
        <v>26</v>
      </c>
      <c r="D107" t="str">
        <f aca="1">Podatak_MB</f>
        <v>1062280</v>
      </c>
      <c r="E107" t="str">
        <f aca="1">Podatak_JIB</f>
        <v>4400471400001</v>
      </c>
      <c r="F107" t="b">
        <f aca="1">Konsolidovan_izvjestaj</f>
        <v>0</v>
      </c>
      <c r="G107" s="20">
        <f aca="1">Datum_Broj</f>
        <v>45382</v>
      </c>
      <c r="H107">
        <f>VLOOKUP($A107,Aop!$A$2:$P$453,4,0)</f>
        <v>139</v>
      </c>
      <c r="I107">
        <f aca="1">Godina</f>
        <v>2024</v>
      </c>
      <c r="J107" t="str">
        <f aca="1">IF(VLOOKUP($H107,INDIRECT("Lookup_"&amp;$B107),IF(LEFT($B107,2)="BS",P$2,P$1),0)="","",VLOOKUP($H107,INDIRECT("Lookup_"&amp;$B107),IF($B107="BSp",P$2,P$1),0))</f>
        <v/>
      </c>
      <c r="K107"/>
      <c r="L107" t="str">
        <f aca="1">IF(VLOOKUP($H107,INDIRECT("Lookup_"&amp;$B107),IF(LEFT($B107,2)="BS",R$2,R$1),0)="","",VLOOKUP($H107,INDIRECT("Lookup_"&amp;$B107),IF($B107="BSa",R$2,R$1),0))</f>
        <v/>
      </c>
      <c r="M107" s="575">
        <f aca="1">IF(VLOOKUP($H107,INDIRECT("Lookup_"&amp;$B107),IF(LEFT($B107,2)="BS",S$2,S$1),0)="","",VLOOKUP($H107,INDIRECT("Lookup_"&amp;$B107),IF(LEFT($B107,2)="BS",S$2,S$1),0))</f>
        <v>590017</v>
      </c>
      <c r="N107" s="575">
        <f aca="1">IF(VLOOKUP($H107,INDIRECT("Lookup_"&amp;$B107),IF(LEFT($B107,2)="BS",S$2,S$1),0)="","",VLOOKUP($H107,INDIRECT("Lookup_"&amp;$B107),IF(LEFT($B107,2)="BS",S$2,S$1),0))</f>
        <v>590017</v>
      </c>
    </row>
    <row r="108" spans="1:14">
      <c r="A108" t="n">
        <v>107</v>
      </c>
      <c r="B108" t="str">
        <f>VLOOKUP($A108,Aop!$A$2:$P$453,2,0)</f>
        <v>BSp</v>
      </c>
      <c r="C108" t="n">
        <v>26</v>
      </c>
      <c r="D108" t="str">
        <f aca="1">Podatak_MB</f>
        <v>1062280</v>
      </c>
      <c r="E108" t="str">
        <f aca="1">Podatak_JIB</f>
        <v>4400471400001</v>
      </c>
      <c r="F108" t="b">
        <f aca="1">Konsolidovan_izvjestaj</f>
        <v>0</v>
      </c>
      <c r="G108" s="20">
        <f aca="1">Datum_Broj</f>
        <v>45382</v>
      </c>
      <c r="H108">
        <f>VLOOKUP($A108,Aop!$A$2:$P$453,4,0)</f>
        <v>140</v>
      </c>
      <c r="I108">
        <f aca="1">Godina</f>
        <v>2024</v>
      </c>
      <c r="J108" t="str">
        <f aca="1">IF(VLOOKUP($H108,INDIRECT("Lookup_"&amp;$B108),IF(LEFT($B108,2)="BS",P$2,P$1),0)="","",VLOOKUP($H108,INDIRECT("Lookup_"&amp;$B108),IF($B108="BSp",P$2,P$1),0))</f>
        <v/>
      </c>
      <c r="K108"/>
      <c r="L108" t="str">
        <f aca="1">IF(VLOOKUP($H108,INDIRECT("Lookup_"&amp;$B108),IF(LEFT($B108,2)="BS",R$2,R$1),0)="","",VLOOKUP($H108,INDIRECT("Lookup_"&amp;$B108),IF($B108="BSa",R$2,R$1),0))</f>
        <v/>
      </c>
      <c r="M108" t="str">
        <f aca="1">IF(VLOOKUP($H108,INDIRECT("Lookup_"&amp;$B108),IF(LEFT($B108,2)="BS",S$2,S$1),0)="","",VLOOKUP($H108,INDIRECT("Lookup_"&amp;$B108),IF(LEFT($B108,2)="BS",S$2,S$1),0))</f>
        <v/>
      </c>
      <c r="N108" t="str">
        <f aca="1">IF(VLOOKUP($H108,INDIRECT("Lookup_"&amp;$B108),IF(LEFT($B108,2)="BS",S$2,S$1),0)="","",VLOOKUP($H108,INDIRECT("Lookup_"&amp;$B108),IF(LEFT($B108,2)="BS",S$2,S$1),0))</f>
        <v/>
      </c>
    </row>
    <row r="109" spans="1:14">
      <c r="A109" t="n">
        <v>108</v>
      </c>
      <c r="B109" t="str">
        <f>VLOOKUP($A109,Aop!$A$2:$P$453,2,0)</f>
        <v>BSp</v>
      </c>
      <c r="C109" t="n">
        <v>26</v>
      </c>
      <c r="D109" t="str">
        <f aca="1">Podatak_MB</f>
        <v>1062280</v>
      </c>
      <c r="E109" t="str">
        <f aca="1">Podatak_JIB</f>
        <v>4400471400001</v>
      </c>
      <c r="F109" t="b">
        <f aca="1">Konsolidovan_izvjestaj</f>
        <v>0</v>
      </c>
      <c r="G109" s="20">
        <f aca="1">Datum_Broj</f>
        <v>45382</v>
      </c>
      <c r="H109">
        <f>VLOOKUP($A109,Aop!$A$2:$P$453,4,0)</f>
        <v>141</v>
      </c>
      <c r="I109">
        <f aca="1">Godina</f>
        <v>2024</v>
      </c>
      <c r="J109" t="str">
        <f aca="1">IF(VLOOKUP($H109,INDIRECT("Lookup_"&amp;$B109),IF(LEFT($B109,2)="BS",P$2,P$1),0)="","",VLOOKUP($H109,INDIRECT("Lookup_"&amp;$B109),IF($B109="BSp",P$2,P$1),0))</f>
        <v/>
      </c>
      <c r="K109"/>
      <c r="L109" t="str">
        <f aca="1">IF(VLOOKUP($H109,INDIRECT("Lookup_"&amp;$B109),IF(LEFT($B109,2)="BS",R$2,R$1),0)="","",VLOOKUP($H109,INDIRECT("Lookup_"&amp;$B109),IF($B109="BSa",R$2,R$1),0))</f>
        <v/>
      </c>
      <c r="M109" t="str">
        <f aca="1">IF(VLOOKUP($H109,INDIRECT("Lookup_"&amp;$B109),IF(LEFT($B109,2)="BS",S$2,S$1),0)="","",VLOOKUP($H109,INDIRECT("Lookup_"&amp;$B109),IF(LEFT($B109,2)="BS",S$2,S$1),0))</f>
        <v/>
      </c>
      <c r="N109" t="str">
        <f aca="1">IF(VLOOKUP($H109,INDIRECT("Lookup_"&amp;$B109),IF(LEFT($B109,2)="BS",S$2,S$1),0)="","",VLOOKUP($H109,INDIRECT("Lookup_"&amp;$B109),IF(LEFT($B109,2)="BS",S$2,S$1),0))</f>
        <v/>
      </c>
    </row>
    <row r="110" spans="1:14">
      <c r="A110" t="n">
        <v>109</v>
      </c>
      <c r="B110" t="str">
        <f>VLOOKUP($A110,Aop!$A$2:$P$453,2,0)</f>
        <v>BSp</v>
      </c>
      <c r="C110" t="n">
        <v>26</v>
      </c>
      <c r="D110" t="str">
        <f aca="1">Podatak_MB</f>
        <v>1062280</v>
      </c>
      <c r="E110" t="str">
        <f aca="1">Podatak_JIB</f>
        <v>4400471400001</v>
      </c>
      <c r="F110" t="b">
        <f aca="1">Konsolidovan_izvjestaj</f>
        <v>0</v>
      </c>
      <c r="G110" s="20">
        <f aca="1">Datum_Broj</f>
        <v>45382</v>
      </c>
      <c r="H110">
        <f>VLOOKUP($A110,Aop!$A$2:$P$453,4,0)</f>
        <v>142</v>
      </c>
      <c r="I110">
        <f aca="1">Godina</f>
        <v>2024</v>
      </c>
      <c r="J110" t="str">
        <f aca="1">IF(VLOOKUP($H110,INDIRECT("Lookup_"&amp;$B110),IF(LEFT($B110,2)="BS",P$2,P$1),0)="","",VLOOKUP($H110,INDIRECT("Lookup_"&amp;$B110),IF($B110="BSp",P$2,P$1),0))</f>
        <v/>
      </c>
      <c r="K110"/>
      <c r="L110" t="str">
        <f aca="1">IF(VLOOKUP($H110,INDIRECT("Lookup_"&amp;$B110),IF(LEFT($B110,2)="BS",R$2,R$1),0)="","",VLOOKUP($H110,INDIRECT("Lookup_"&amp;$B110),IF($B110="BSa",R$2,R$1),0))</f>
        <v/>
      </c>
      <c r="M110" t="str">
        <f aca="1">IF(VLOOKUP($H110,INDIRECT("Lookup_"&amp;$B110),IF(LEFT($B110,2)="BS",S$2,S$1),0)="","",VLOOKUP($H110,INDIRECT("Lookup_"&amp;$B110),IF(LEFT($B110,2)="BS",S$2,S$1),0))</f>
        <v/>
      </c>
      <c r="N110" t="str">
        <f aca="1">IF(VLOOKUP($H110,INDIRECT("Lookup_"&amp;$B110),IF(LEFT($B110,2)="BS",S$2,S$1),0)="","",VLOOKUP($H110,INDIRECT("Lookup_"&amp;$B110),IF(LEFT($B110,2)="BS",S$2,S$1),0))</f>
        <v/>
      </c>
    </row>
    <row r="111" spans="1:14">
      <c r="A111" t="n">
        <v>110</v>
      </c>
      <c r="B111" t="str">
        <f>VLOOKUP($A111,Aop!$A$2:$P$453,2,0)</f>
        <v>BSp</v>
      </c>
      <c r="C111" t="n">
        <v>26</v>
      </c>
      <c r="D111" t="str">
        <f aca="1">Podatak_MB</f>
        <v>1062280</v>
      </c>
      <c r="E111" t="str">
        <f aca="1">Podatak_JIB</f>
        <v>4400471400001</v>
      </c>
      <c r="F111" t="b">
        <f aca="1">Konsolidovan_izvjestaj</f>
        <v>0</v>
      </c>
      <c r="G111" s="20">
        <f aca="1">Datum_Broj</f>
        <v>45382</v>
      </c>
      <c r="H111">
        <f>VLOOKUP($A111,Aop!$A$2:$P$453,4,0)</f>
        <v>143</v>
      </c>
      <c r="I111">
        <f aca="1">Godina</f>
        <v>2024</v>
      </c>
      <c r="J111" t="str">
        <f aca="1">IF(VLOOKUP($H111,INDIRECT("Lookup_"&amp;$B111),IF(LEFT($B111,2)="BS",P$2,P$1),0)="","",VLOOKUP($H111,INDIRECT("Lookup_"&amp;$B111),IF($B111="BSp",P$2,P$1),0))</f>
        <v/>
      </c>
      <c r="K111"/>
      <c r="L111" t="str">
        <f aca="1">IF(VLOOKUP($H111,INDIRECT("Lookup_"&amp;$B111),IF(LEFT($B111,2)="BS",R$2,R$1),0)="","",VLOOKUP($H111,INDIRECT("Lookup_"&amp;$B111),IF($B111="BSa",R$2,R$1),0))</f>
        <v/>
      </c>
      <c r="M111" t="str">
        <f aca="1">IF(VLOOKUP($H111,INDIRECT("Lookup_"&amp;$B111),IF(LEFT($B111,2)="BS",S$2,S$1),0)="","",VLOOKUP($H111,INDIRECT("Lookup_"&amp;$B111),IF(LEFT($B111,2)="BS",S$2,S$1),0))</f>
        <v/>
      </c>
      <c r="N111" t="str">
        <f aca="1">IF(VLOOKUP($H111,INDIRECT("Lookup_"&amp;$B111),IF(LEFT($B111,2)="BS",S$2,S$1),0)="","",VLOOKUP($H111,INDIRECT("Lookup_"&amp;$B111),IF(LEFT($B111,2)="BS",S$2,S$1),0))</f>
        <v/>
      </c>
    </row>
    <row r="112" spans="1:14">
      <c r="A112" t="n">
        <v>111</v>
      </c>
      <c r="B112" t="str">
        <f>VLOOKUP($A112,Aop!$A$2:$P$453,2,0)</f>
        <v>BSp</v>
      </c>
      <c r="C112" t="n">
        <v>26</v>
      </c>
      <c r="D112" t="str">
        <f aca="1">Podatak_MB</f>
        <v>1062280</v>
      </c>
      <c r="E112" t="str">
        <f aca="1">Podatak_JIB</f>
        <v>4400471400001</v>
      </c>
      <c r="F112" t="b">
        <f aca="1">Konsolidovan_izvjestaj</f>
        <v>0</v>
      </c>
      <c r="G112" s="20">
        <f aca="1">Datum_Broj</f>
        <v>45382</v>
      </c>
      <c r="H112">
        <f>VLOOKUP($A112,Aop!$A$2:$P$453,4,0)</f>
        <v>144</v>
      </c>
      <c r="I112">
        <f aca="1">Godina</f>
        <v>2024</v>
      </c>
      <c r="J112" t="str">
        <f aca="1">IF(VLOOKUP($H112,INDIRECT("Lookup_"&amp;$B112),IF(LEFT($B112,2)="BS",P$2,P$1),0)="","",VLOOKUP($H112,INDIRECT("Lookup_"&amp;$B112),IF($B112="BSp",P$2,P$1),0))</f>
        <v/>
      </c>
      <c r="K112"/>
      <c r="L112" t="str">
        <f aca="1">IF(VLOOKUP($H112,INDIRECT("Lookup_"&amp;$B112),IF(LEFT($B112,2)="BS",R$2,R$1),0)="","",VLOOKUP($H112,INDIRECT("Lookup_"&amp;$B112),IF($B112="BSa",R$2,R$1),0))</f>
        <v/>
      </c>
      <c r="M112" s="575">
        <f aca="1">IF(VLOOKUP($H112,INDIRECT("Lookup_"&amp;$B112),IF(LEFT($B112,2)="BS",S$2,S$1),0)="","",VLOOKUP($H112,INDIRECT("Lookup_"&amp;$B112),IF(LEFT($B112,2)="BS",S$2,S$1),0))</f>
        <v>2165</v>
      </c>
      <c r="N112" s="575">
        <f aca="1">IF(VLOOKUP($H112,INDIRECT("Lookup_"&amp;$B112),IF(LEFT($B112,2)="BS",S$2,S$1),0)="","",VLOOKUP($H112,INDIRECT("Lookup_"&amp;$B112),IF(LEFT($B112,2)="BS",S$2,S$1),0))</f>
        <v>2165</v>
      </c>
    </row>
    <row r="113" spans="1:14">
      <c r="A113" t="n">
        <v>112</v>
      </c>
      <c r="B113" t="str">
        <f>VLOOKUP($A113,Aop!$A$2:$P$453,2,0)</f>
        <v>BSp</v>
      </c>
      <c r="C113" t="n">
        <v>26</v>
      </c>
      <c r="D113" t="str">
        <f aca="1">Podatak_MB</f>
        <v>1062280</v>
      </c>
      <c r="E113" t="str">
        <f aca="1">Podatak_JIB</f>
        <v>4400471400001</v>
      </c>
      <c r="F113" t="b">
        <f aca="1">Konsolidovan_izvjestaj</f>
        <v>0</v>
      </c>
      <c r="G113" s="20">
        <f aca="1">Datum_Broj</f>
        <v>45382</v>
      </c>
      <c r="H113">
        <f>VLOOKUP($A113,Aop!$A$2:$P$453,4,0)</f>
        <v>145</v>
      </c>
      <c r="I113">
        <f aca="1">Godina</f>
        <v>2024</v>
      </c>
      <c r="J113" t="str">
        <f aca="1">IF(VLOOKUP($H113,INDIRECT("Lookup_"&amp;$B113),IF(LEFT($B113,2)="BS",P$2,P$1),0)="","",VLOOKUP($H113,INDIRECT("Lookup_"&amp;$B113),IF($B113="BSp",P$2,P$1),0))</f>
        <v/>
      </c>
      <c r="K113"/>
      <c r="L113" t="str">
        <f aca="1">IF(VLOOKUP($H113,INDIRECT("Lookup_"&amp;$B113),IF(LEFT($B113,2)="BS",R$2,R$1),0)="","",VLOOKUP($H113,INDIRECT("Lookup_"&amp;$B113),IF($B113="BSa",R$2,R$1),0))</f>
        <v/>
      </c>
      <c r="M113" t="str">
        <f aca="1">IF(VLOOKUP($H113,INDIRECT("Lookup_"&amp;$B113),IF(LEFT($B113,2)="BS",S$2,S$1),0)="","",VLOOKUP($H113,INDIRECT("Lookup_"&amp;$B113),IF(LEFT($B113,2)="BS",S$2,S$1),0))</f>
        <v/>
      </c>
      <c r="N113" t="str">
        <f aca="1">IF(VLOOKUP($H113,INDIRECT("Lookup_"&amp;$B113),IF(LEFT($B113,2)="BS",S$2,S$1),0)="","",VLOOKUP($H113,INDIRECT("Lookup_"&amp;$B113),IF(LEFT($B113,2)="BS",S$2,S$1),0))</f>
        <v/>
      </c>
    </row>
    <row r="114" spans="1:14">
      <c r="A114" t="n">
        <v>113</v>
      </c>
      <c r="B114" t="str">
        <f>VLOOKUP($A114,Aop!$A$2:$P$453,2,0)</f>
        <v>BSp</v>
      </c>
      <c r="C114" t="n">
        <v>26</v>
      </c>
      <c r="D114" t="str">
        <f aca="1">Podatak_MB</f>
        <v>1062280</v>
      </c>
      <c r="E114" t="str">
        <f aca="1">Podatak_JIB</f>
        <v>4400471400001</v>
      </c>
      <c r="F114" t="b">
        <f aca="1">Konsolidovan_izvjestaj</f>
        <v>0</v>
      </c>
      <c r="G114" s="20">
        <f aca="1">Datum_Broj</f>
        <v>45382</v>
      </c>
      <c r="H114">
        <f>VLOOKUP($A114,Aop!$A$2:$P$453,4,0)</f>
        <v>146</v>
      </c>
      <c r="I114">
        <f aca="1">Godina</f>
        <v>2024</v>
      </c>
      <c r="J114" t="str">
        <f aca="1">IF(VLOOKUP($H114,INDIRECT("Lookup_"&amp;$B114),IF(LEFT($B114,2)="BS",P$2,P$1),0)="","",VLOOKUP($H114,INDIRECT("Lookup_"&amp;$B114),IF($B114="BSp",P$2,P$1),0))</f>
        <v/>
      </c>
      <c r="K114"/>
      <c r="L114" t="str">
        <f aca="1">IF(VLOOKUP($H114,INDIRECT("Lookup_"&amp;$B114),IF(LEFT($B114,2)="BS",R$2,R$1),0)="","",VLOOKUP($H114,INDIRECT("Lookup_"&amp;$B114),IF($B114="BSa",R$2,R$1),0))</f>
        <v/>
      </c>
      <c r="M114" t="str">
        <f aca="1">IF(VLOOKUP($H114,INDIRECT("Lookup_"&amp;$B114),IF(LEFT($B114,2)="BS",S$2,S$1),0)="","",VLOOKUP($H114,INDIRECT("Lookup_"&amp;$B114),IF(LEFT($B114,2)="BS",S$2,S$1),0))</f>
        <v/>
      </c>
      <c r="N114" t="str">
        <f aca="1">IF(VLOOKUP($H114,INDIRECT("Lookup_"&amp;$B114),IF(LEFT($B114,2)="BS",S$2,S$1),0)="","",VLOOKUP($H114,INDIRECT("Lookup_"&amp;$B114),IF(LEFT($B114,2)="BS",S$2,S$1),0))</f>
        <v/>
      </c>
    </row>
    <row r="115" spans="1:14">
      <c r="A115" t="n">
        <v>114</v>
      </c>
      <c r="B115" t="str">
        <f>VLOOKUP($A115,Aop!$A$2:$P$453,2,0)</f>
        <v>BSp</v>
      </c>
      <c r="C115" t="n">
        <v>26</v>
      </c>
      <c r="D115" t="str">
        <f aca="1">Podatak_MB</f>
        <v>1062280</v>
      </c>
      <c r="E115" t="str">
        <f aca="1">Podatak_JIB</f>
        <v>4400471400001</v>
      </c>
      <c r="F115" t="b">
        <f aca="1">Konsolidovan_izvjestaj</f>
        <v>0</v>
      </c>
      <c r="G115" s="20">
        <f aca="1">Datum_Broj</f>
        <v>45382</v>
      </c>
      <c r="H115">
        <f>VLOOKUP($A115,Aop!$A$2:$P$453,4,0)</f>
        <v>147</v>
      </c>
      <c r="I115">
        <f aca="1">Godina</f>
        <v>2024</v>
      </c>
      <c r="J115" t="str">
        <f aca="1">IF(VLOOKUP($H115,INDIRECT("Lookup_"&amp;$B115),IF(LEFT($B115,2)="BS",P$2,P$1),0)="","",VLOOKUP($H115,INDIRECT("Lookup_"&amp;$B115),IF($B115="BSp",P$2,P$1),0))</f>
        <v/>
      </c>
      <c r="K115"/>
      <c r="L115" t="str">
        <f aca="1">IF(VLOOKUP($H115,INDIRECT("Lookup_"&amp;$B115),IF(LEFT($B115,2)="BS",R$2,R$1),0)="","",VLOOKUP($H115,INDIRECT("Lookup_"&amp;$B115),IF($B115="BSa",R$2,R$1),0))</f>
        <v/>
      </c>
      <c r="M115" s="571">
        <f aca="1">IF(VLOOKUP($H115,INDIRECT("Lookup_"&amp;$B115),IF(LEFT($B115,2)="BS",S$2,S$1),0)="","",VLOOKUP($H115,INDIRECT("Lookup_"&amp;$B115),IF(LEFT($B115,2)="BS",S$2,S$1),0))</f>
        <v>5607267</v>
      </c>
      <c r="N115" s="571">
        <f aca="1">IF(VLOOKUP($H115,INDIRECT("Lookup_"&amp;$B115),IF(LEFT($B115,2)="BS",S$2,S$1),0)="","",VLOOKUP($H115,INDIRECT("Lookup_"&amp;$B115),IF(LEFT($B115,2)="BS",S$2,S$1),0))</f>
        <v>5607267</v>
      </c>
    </row>
    <row r="116" spans="1:14">
      <c r="A116" t="n">
        <v>115</v>
      </c>
      <c r="B116" t="str">
        <f>VLOOKUP($A116,Aop!$A$2:$P$453,2,0)</f>
        <v>BSp</v>
      </c>
      <c r="C116" t="n">
        <v>26</v>
      </c>
      <c r="D116" t="str">
        <f aca="1">Podatak_MB</f>
        <v>1062280</v>
      </c>
      <c r="E116" t="str">
        <f aca="1">Podatak_JIB</f>
        <v>4400471400001</v>
      </c>
      <c r="F116" t="b">
        <f aca="1">Konsolidovan_izvjestaj</f>
        <v>0</v>
      </c>
      <c r="G116" s="20">
        <f aca="1">Datum_Broj</f>
        <v>45382</v>
      </c>
      <c r="H116">
        <f>VLOOKUP($A116,Aop!$A$2:$P$453,4,0)</f>
        <v>148</v>
      </c>
      <c r="I116">
        <f aca="1">Godina</f>
        <v>2024</v>
      </c>
      <c r="J116" t="str">
        <f aca="1">IF(VLOOKUP($H116,INDIRECT("Lookup_"&amp;$B116),IF(LEFT($B116,2)="BS",P$2,P$1),0)="","",VLOOKUP($H116,INDIRECT("Lookup_"&amp;$B116),IF($B116="BSp",P$2,P$1),0))</f>
        <v/>
      </c>
      <c r="K116"/>
      <c r="L116" t="str">
        <f aca="1">IF(VLOOKUP($H116,INDIRECT("Lookup_"&amp;$B116),IF(LEFT($B116,2)="BS",R$2,R$1),0)="","",VLOOKUP($H116,INDIRECT("Lookup_"&amp;$B116),IF($B116="BSa",R$2,R$1),0))</f>
        <v/>
      </c>
      <c r="M116" s="571">
        <f aca="1">IF(VLOOKUP($H116,INDIRECT("Lookup_"&amp;$B116),IF(LEFT($B116,2)="BS",S$2,S$1),0)="","",VLOOKUP($H116,INDIRECT("Lookup_"&amp;$B116),IF(LEFT($B116,2)="BS",S$2,S$1),0))</f>
        <v>1361178</v>
      </c>
      <c r="N116" s="571">
        <f aca="1">IF(VLOOKUP($H116,INDIRECT("Lookup_"&amp;$B116),IF(LEFT($B116,2)="BS",S$2,S$1),0)="","",VLOOKUP($H116,INDIRECT("Lookup_"&amp;$B116),IF(LEFT($B116,2)="BS",S$2,S$1),0))</f>
        <v>1361178</v>
      </c>
    </row>
    <row r="117" spans="1:14">
      <c r="A117" t="n">
        <v>116</v>
      </c>
      <c r="B117" t="str">
        <f>VLOOKUP($A117,Aop!$A$2:$P$453,2,0)</f>
        <v>BSp</v>
      </c>
      <c r="C117" t="n">
        <v>26</v>
      </c>
      <c r="D117" t="str">
        <f aca="1">Podatak_MB</f>
        <v>1062280</v>
      </c>
      <c r="E117" t="str">
        <f aca="1">Podatak_JIB</f>
        <v>4400471400001</v>
      </c>
      <c r="F117" t="b">
        <f aca="1">Konsolidovan_izvjestaj</f>
        <v>0</v>
      </c>
      <c r="G117" s="20">
        <f aca="1">Datum_Broj</f>
        <v>45382</v>
      </c>
      <c r="H117">
        <f>VLOOKUP($A117,Aop!$A$2:$P$453,4,0)</f>
        <v>149</v>
      </c>
      <c r="I117">
        <f aca="1">Godina</f>
        <v>2024</v>
      </c>
      <c r="J117" t="str">
        <f aca="1">IF(VLOOKUP($H117,INDIRECT("Lookup_"&amp;$B117),IF(LEFT($B117,2)="BS",P$2,P$1),0)="","",VLOOKUP($H117,INDIRECT("Lookup_"&amp;$B117),IF($B117="BSp",P$2,P$1),0))</f>
        <v/>
      </c>
      <c r="K117"/>
      <c r="L117" t="str">
        <f aca="1">IF(VLOOKUP($H117,INDIRECT("Lookup_"&amp;$B117),IF(LEFT($B117,2)="BS",R$2,R$1),0)="","",VLOOKUP($H117,INDIRECT("Lookup_"&amp;$B117),IF($B117="BSa",R$2,R$1),0))</f>
        <v/>
      </c>
      <c r="M117" s="575">
        <f aca="1">IF(VLOOKUP($H117,INDIRECT("Lookup_"&amp;$B117),IF(LEFT($B117,2)="BS",S$2,S$1),0)="","",VLOOKUP($H117,INDIRECT("Lookup_"&amp;$B117),IF(LEFT($B117,2)="BS",S$2,S$1),0))</f>
        <v>475200</v>
      </c>
      <c r="N117" s="575">
        <f aca="1">IF(VLOOKUP($H117,INDIRECT("Lookup_"&amp;$B117),IF(LEFT($B117,2)="BS",S$2,S$1),0)="","",VLOOKUP($H117,INDIRECT("Lookup_"&amp;$B117),IF(LEFT($B117,2)="BS",S$2,S$1),0))</f>
        <v>475200</v>
      </c>
    </row>
    <row r="118" spans="1:14">
      <c r="A118" t="n">
        <v>117</v>
      </c>
      <c r="B118" t="str">
        <f>VLOOKUP($A118,Aop!$A$2:$P$453,2,0)</f>
        <v>BSp</v>
      </c>
      <c r="C118" t="n">
        <v>26</v>
      </c>
      <c r="D118" t="str">
        <f aca="1">Podatak_MB</f>
        <v>1062280</v>
      </c>
      <c r="E118" t="str">
        <f aca="1">Podatak_JIB</f>
        <v>4400471400001</v>
      </c>
      <c r="F118" t="b">
        <f aca="1">Konsolidovan_izvjestaj</f>
        <v>0</v>
      </c>
      <c r="G118" s="20">
        <f aca="1">Datum_Broj</f>
        <v>45382</v>
      </c>
      <c r="H118">
        <f>VLOOKUP($A118,Aop!$A$2:$P$453,4,0)</f>
        <v>150</v>
      </c>
      <c r="I118">
        <f aca="1">Godina</f>
        <v>2024</v>
      </c>
      <c r="J118" t="str">
        <f aca="1">IF(VLOOKUP($H118,INDIRECT("Lookup_"&amp;$B118),IF(LEFT($B118,2)="BS",P$2,P$1),0)="","",VLOOKUP($H118,INDIRECT("Lookup_"&amp;$B118),IF($B118="BSp",P$2,P$1),0))</f>
        <v/>
      </c>
      <c r="K118"/>
      <c r="L118" t="str">
        <f aca="1">IF(VLOOKUP($H118,INDIRECT("Lookup_"&amp;$B118),IF(LEFT($B118,2)="BS",R$2,R$1),0)="","",VLOOKUP($H118,INDIRECT("Lookup_"&amp;$B118),IF($B118="BSa",R$2,R$1),0))</f>
        <v/>
      </c>
      <c r="M118" s="575">
        <f aca="1">IF(VLOOKUP($H118,INDIRECT("Lookup_"&amp;$B118),IF(LEFT($B118,2)="BS",S$2,S$1),0)="","",VLOOKUP($H118,INDIRECT("Lookup_"&amp;$B118),IF(LEFT($B118,2)="BS",S$2,S$1),0))</f>
        <v>556978</v>
      </c>
      <c r="N118" s="575">
        <f aca="1">IF(VLOOKUP($H118,INDIRECT("Lookup_"&amp;$B118),IF(LEFT($B118,2)="BS",S$2,S$1),0)="","",VLOOKUP($H118,INDIRECT("Lookup_"&amp;$B118),IF(LEFT($B118,2)="BS",S$2,S$1),0))</f>
        <v>556978</v>
      </c>
    </row>
    <row r="119" spans="1:14">
      <c r="A119" t="n">
        <v>118</v>
      </c>
      <c r="B119" t="str">
        <f>VLOOKUP($A119,Aop!$A$2:$P$453,2,0)</f>
        <v>BSp</v>
      </c>
      <c r="C119" t="n">
        <v>26</v>
      </c>
      <c r="D119" t="str">
        <f aca="1">Podatak_MB</f>
        <v>1062280</v>
      </c>
      <c r="E119" t="str">
        <f aca="1">Podatak_JIB</f>
        <v>4400471400001</v>
      </c>
      <c r="F119" t="b">
        <f aca="1">Konsolidovan_izvjestaj</f>
        <v>0</v>
      </c>
      <c r="G119" s="20">
        <f aca="1">Datum_Broj</f>
        <v>45382</v>
      </c>
      <c r="H119">
        <f>VLOOKUP($A119,Aop!$A$2:$P$453,4,0)</f>
        <v>151</v>
      </c>
      <c r="I119">
        <f aca="1">Godina</f>
        <v>2024</v>
      </c>
      <c r="J119" t="str">
        <f aca="1">IF(VLOOKUP($H119,INDIRECT("Lookup_"&amp;$B119),IF(LEFT($B119,2)="BS",P$2,P$1),0)="","",VLOOKUP($H119,INDIRECT("Lookup_"&amp;$B119),IF($B119="BSp",P$2,P$1),0))</f>
        <v/>
      </c>
      <c r="K119"/>
      <c r="L119" t="str">
        <f aca="1">IF(VLOOKUP($H119,INDIRECT("Lookup_"&amp;$B119),IF(LEFT($B119,2)="BS",R$2,R$1),0)="","",VLOOKUP($H119,INDIRECT("Lookup_"&amp;$B119),IF($B119="BSa",R$2,R$1),0))</f>
        <v/>
      </c>
      <c r="M119" t="str">
        <f aca="1">IF(VLOOKUP($H119,INDIRECT("Lookup_"&amp;$B119),IF(LEFT($B119,2)="BS",S$2,S$1),0)="","",VLOOKUP($H119,INDIRECT("Lookup_"&amp;$B119),IF(LEFT($B119,2)="BS",S$2,S$1),0))</f>
        <v/>
      </c>
      <c r="N119" t="str">
        <f aca="1">IF(VLOOKUP($H119,INDIRECT("Lookup_"&amp;$B119),IF(LEFT($B119,2)="BS",S$2,S$1),0)="","",VLOOKUP($H119,INDIRECT("Lookup_"&amp;$B119),IF(LEFT($B119,2)="BS",S$2,S$1),0))</f>
        <v/>
      </c>
    </row>
    <row r="120" spans="1:14">
      <c r="A120" t="n">
        <v>119</v>
      </c>
      <c r="B120" t="str">
        <f>VLOOKUP($A120,Aop!$A$2:$P$453,2,0)</f>
        <v>BSp</v>
      </c>
      <c r="C120" t="n">
        <v>26</v>
      </c>
      <c r="D120" t="str">
        <f aca="1">Podatak_MB</f>
        <v>1062280</v>
      </c>
      <c r="E120" t="str">
        <f aca="1">Podatak_JIB</f>
        <v>4400471400001</v>
      </c>
      <c r="F120" t="b">
        <f aca="1">Konsolidovan_izvjestaj</f>
        <v>0</v>
      </c>
      <c r="G120" s="20">
        <f aca="1">Datum_Broj</f>
        <v>45382</v>
      </c>
      <c r="H120">
        <f>VLOOKUP($A120,Aop!$A$2:$P$453,4,0)</f>
        <v>152</v>
      </c>
      <c r="I120">
        <f aca="1">Godina</f>
        <v>2024</v>
      </c>
      <c r="J120" t="str">
        <f aca="1">IF(VLOOKUP($H120,INDIRECT("Lookup_"&amp;$B120),IF(LEFT($B120,2)="BS",P$2,P$1),0)="","",VLOOKUP($H120,INDIRECT("Lookup_"&amp;$B120),IF($B120="BSp",P$2,P$1),0))</f>
        <v/>
      </c>
      <c r="K120"/>
      <c r="L120" t="str">
        <f aca="1">IF(VLOOKUP($H120,INDIRECT("Lookup_"&amp;$B120),IF(LEFT($B120,2)="BS",R$2,R$1),0)="","",VLOOKUP($H120,INDIRECT("Lookup_"&amp;$B120),IF($B120="BSa",R$2,R$1),0))</f>
        <v/>
      </c>
      <c r="M120" t="str">
        <f aca="1">IF(VLOOKUP($H120,INDIRECT("Lookup_"&amp;$B120),IF(LEFT($B120,2)="BS",S$2,S$1),0)="","",VLOOKUP($H120,INDIRECT("Lookup_"&amp;$B120),IF(LEFT($B120,2)="BS",S$2,S$1),0))</f>
        <v/>
      </c>
      <c r="N120" t="str">
        <f aca="1">IF(VLOOKUP($H120,INDIRECT("Lookup_"&amp;$B120),IF(LEFT($B120,2)="BS",S$2,S$1),0)="","",VLOOKUP($H120,INDIRECT("Lookup_"&amp;$B120),IF(LEFT($B120,2)="BS",S$2,S$1),0))</f>
        <v/>
      </c>
    </row>
    <row r="121" spans="1:14">
      <c r="A121" t="n">
        <v>120</v>
      </c>
      <c r="B121" t="str">
        <f>VLOOKUP($A121,Aop!$A$2:$P$453,2,0)</f>
        <v>BSp</v>
      </c>
      <c r="C121" t="n">
        <v>26</v>
      </c>
      <c r="D121" t="str">
        <f aca="1">Podatak_MB</f>
        <v>1062280</v>
      </c>
      <c r="E121" t="str">
        <f aca="1">Podatak_JIB</f>
        <v>4400471400001</v>
      </c>
      <c r="F121" t="b">
        <f aca="1">Konsolidovan_izvjestaj</f>
        <v>0</v>
      </c>
      <c r="G121" s="20">
        <f aca="1">Datum_Broj</f>
        <v>45382</v>
      </c>
      <c r="H121">
        <f>VLOOKUP($A121,Aop!$A$2:$P$453,4,0)</f>
        <v>153</v>
      </c>
      <c r="I121">
        <f aca="1">Godina</f>
        <v>2024</v>
      </c>
      <c r="J121" t="str">
        <f aca="1">IF(VLOOKUP($H121,INDIRECT("Lookup_"&amp;$B121),IF(LEFT($B121,2)="BS",P$2,P$1),0)="","",VLOOKUP($H121,INDIRECT("Lookup_"&amp;$B121),IF($B121="BSp",P$2,P$1),0))</f>
        <v/>
      </c>
      <c r="K121"/>
      <c r="L121" t="str">
        <f aca="1">IF(VLOOKUP($H121,INDIRECT("Lookup_"&amp;$B121),IF(LEFT($B121,2)="BS",R$2,R$1),0)="","",VLOOKUP($H121,INDIRECT("Lookup_"&amp;$B121),IF($B121="BSa",R$2,R$1),0))</f>
        <v/>
      </c>
      <c r="M121" t="str">
        <f aca="1">IF(VLOOKUP($H121,INDIRECT("Lookup_"&amp;$B121),IF(LEFT($B121,2)="BS",S$2,S$1),0)="","",VLOOKUP($H121,INDIRECT("Lookup_"&amp;$B121),IF(LEFT($B121,2)="BS",S$2,S$1),0))</f>
        <v/>
      </c>
      <c r="N121" t="str">
        <f aca="1">IF(VLOOKUP($H121,INDIRECT("Lookup_"&amp;$B121),IF(LEFT($B121,2)="BS",S$2,S$1),0)="","",VLOOKUP($H121,INDIRECT("Lookup_"&amp;$B121),IF(LEFT($B121,2)="BS",S$2,S$1),0))</f>
        <v/>
      </c>
    </row>
    <row r="122" spans="1:14">
      <c r="A122" t="n">
        <v>121</v>
      </c>
      <c r="B122" t="str">
        <f>VLOOKUP($A122,Aop!$A$2:$P$453,2,0)</f>
        <v>BSp</v>
      </c>
      <c r="C122" t="n">
        <v>26</v>
      </c>
      <c r="D122" t="str">
        <f aca="1">Podatak_MB</f>
        <v>1062280</v>
      </c>
      <c r="E122" t="str">
        <f aca="1">Podatak_JIB</f>
        <v>4400471400001</v>
      </c>
      <c r="F122" t="b">
        <f aca="1">Konsolidovan_izvjestaj</f>
        <v>0</v>
      </c>
      <c r="G122" s="20">
        <f aca="1">Datum_Broj</f>
        <v>45382</v>
      </c>
      <c r="H122">
        <f>VLOOKUP($A122,Aop!$A$2:$P$453,4,0)</f>
        <v>154</v>
      </c>
      <c r="I122">
        <f aca="1">Godina</f>
        <v>2024</v>
      </c>
      <c r="J122" t="str">
        <f aca="1">IF(VLOOKUP($H122,INDIRECT("Lookup_"&amp;$B122),IF(LEFT($B122,2)="BS",P$2,P$1),0)="","",VLOOKUP($H122,INDIRECT("Lookup_"&amp;$B122),IF($B122="BSp",P$2,P$1),0))</f>
        <v/>
      </c>
      <c r="K122"/>
      <c r="L122" t="str">
        <f aca="1">IF(VLOOKUP($H122,INDIRECT("Lookup_"&amp;$B122),IF(LEFT($B122,2)="BS",R$2,R$1),0)="","",VLOOKUP($H122,INDIRECT("Lookup_"&amp;$B122),IF($B122="BSa",R$2,R$1),0))</f>
        <v/>
      </c>
      <c r="M122" s="575">
        <f aca="1">IF(VLOOKUP($H122,INDIRECT("Lookup_"&amp;$B122),IF(LEFT($B122,2)="BS",S$2,S$1),0)="","",VLOOKUP($H122,INDIRECT("Lookup_"&amp;$B122),IF(LEFT($B122,2)="BS",S$2,S$1),0))</f>
        <v>329000</v>
      </c>
      <c r="N122" s="575">
        <f aca="1">IF(VLOOKUP($H122,INDIRECT("Lookup_"&amp;$B122),IF(LEFT($B122,2)="BS",S$2,S$1),0)="","",VLOOKUP($H122,INDIRECT("Lookup_"&amp;$B122),IF(LEFT($B122,2)="BS",S$2,S$1),0))</f>
        <v>329000</v>
      </c>
    </row>
    <row r="123" spans="1:14">
      <c r="A123" t="n">
        <v>122</v>
      </c>
      <c r="B123" t="str">
        <f>VLOOKUP($A123,Aop!$A$2:$P$453,2,0)</f>
        <v>BSp</v>
      </c>
      <c r="C123" t="n">
        <v>26</v>
      </c>
      <c r="D123" t="str">
        <f aca="1">Podatak_MB</f>
        <v>1062280</v>
      </c>
      <c r="E123" t="str">
        <f aca="1">Podatak_JIB</f>
        <v>4400471400001</v>
      </c>
      <c r="F123" t="b">
        <f aca="1">Konsolidovan_izvjestaj</f>
        <v>0</v>
      </c>
      <c r="G123" s="20">
        <f aca="1">Datum_Broj</f>
        <v>45382</v>
      </c>
      <c r="H123">
        <f>VLOOKUP($A123,Aop!$A$2:$P$453,4,0)</f>
        <v>155</v>
      </c>
      <c r="I123">
        <f aca="1">Godina</f>
        <v>2024</v>
      </c>
      <c r="J123" t="str">
        <f aca="1">IF(VLOOKUP($H123,INDIRECT("Lookup_"&amp;$B123),IF(LEFT($B123,2)="BS",P$2,P$1),0)="","",VLOOKUP($H123,INDIRECT("Lookup_"&amp;$B123),IF($B123="BSp",P$2,P$1),0))</f>
        <v/>
      </c>
      <c r="K123"/>
      <c r="L123" t="str">
        <f aca="1">IF(VLOOKUP($H123,INDIRECT("Lookup_"&amp;$B123),IF(LEFT($B123,2)="BS",R$2,R$1),0)="","",VLOOKUP($H123,INDIRECT("Lookup_"&amp;$B123),IF($B123="BSa",R$2,R$1),0))</f>
        <v/>
      </c>
      <c r="M123" s="571">
        <f aca="1">IF(VLOOKUP($H123,INDIRECT("Lookup_"&amp;$B123),IF(LEFT($B123,2)="BS",S$2,S$1),0)="","",VLOOKUP($H123,INDIRECT("Lookup_"&amp;$B123),IF(LEFT($B123,2)="BS",S$2,S$1),0))</f>
        <v>3867334</v>
      </c>
      <c r="N123" s="571">
        <f aca="1">IF(VLOOKUP($H123,INDIRECT("Lookup_"&amp;$B123),IF(LEFT($B123,2)="BS",S$2,S$1),0)="","",VLOOKUP($H123,INDIRECT("Lookup_"&amp;$B123),IF(LEFT($B123,2)="BS",S$2,S$1),0))</f>
        <v>3867334</v>
      </c>
    </row>
    <row r="124" spans="1:14">
      <c r="A124" t="n">
        <v>123</v>
      </c>
      <c r="B124" t="str">
        <f>VLOOKUP($A124,Aop!$A$2:$P$453,2,0)</f>
        <v>BSp</v>
      </c>
      <c r="C124" t="n">
        <v>26</v>
      </c>
      <c r="D124" t="str">
        <f aca="1">Podatak_MB</f>
        <v>1062280</v>
      </c>
      <c r="E124" t="str">
        <f aca="1">Podatak_JIB</f>
        <v>4400471400001</v>
      </c>
      <c r="F124" t="b">
        <f aca="1">Konsolidovan_izvjestaj</f>
        <v>0</v>
      </c>
      <c r="G124" s="20">
        <f aca="1">Datum_Broj</f>
        <v>45382</v>
      </c>
      <c r="H124">
        <f>VLOOKUP($A124,Aop!$A$2:$P$453,4,0)</f>
        <v>156</v>
      </c>
      <c r="I124">
        <f aca="1">Godina</f>
        <v>2024</v>
      </c>
      <c r="J124" t="str">
        <f aca="1">IF(VLOOKUP($H124,INDIRECT("Lookup_"&amp;$B124),IF(LEFT($B124,2)="BS",P$2,P$1),0)="","",VLOOKUP($H124,INDIRECT("Lookup_"&amp;$B124),IF($B124="BSp",P$2,P$1),0))</f>
        <v/>
      </c>
      <c r="K124"/>
      <c r="L124" t="str">
        <f aca="1">IF(VLOOKUP($H124,INDIRECT("Lookup_"&amp;$B124),IF(LEFT($B124,2)="BS",R$2,R$1),0)="","",VLOOKUP($H124,INDIRECT("Lookup_"&amp;$B124),IF($B124="BSa",R$2,R$1),0))</f>
        <v/>
      </c>
      <c r="M124" s="575">
        <f aca="1">IF(VLOOKUP($H124,INDIRECT("Lookup_"&amp;$B124),IF(LEFT($B124,2)="BS",S$2,S$1),0)="","",VLOOKUP($H124,INDIRECT("Lookup_"&amp;$B124),IF(LEFT($B124,2)="BS",S$2,S$1),0))</f>
        <v>358433</v>
      </c>
      <c r="N124" s="575">
        <f aca="1">IF(VLOOKUP($H124,INDIRECT("Lookup_"&amp;$B124),IF(LEFT($B124,2)="BS",S$2,S$1),0)="","",VLOOKUP($H124,INDIRECT("Lookup_"&amp;$B124),IF(LEFT($B124,2)="BS",S$2,S$1),0))</f>
        <v>358433</v>
      </c>
    </row>
    <row r="125" spans="1:14">
      <c r="A125" t="n">
        <v>124</v>
      </c>
      <c r="B125" t="str">
        <f>VLOOKUP($A125,Aop!$A$2:$P$453,2,0)</f>
        <v>BSp</v>
      </c>
      <c r="C125" t="n">
        <v>26</v>
      </c>
      <c r="D125" t="str">
        <f aca="1">Podatak_MB</f>
        <v>1062280</v>
      </c>
      <c r="E125" t="str">
        <f aca="1">Podatak_JIB</f>
        <v>4400471400001</v>
      </c>
      <c r="F125" t="b">
        <f aca="1">Konsolidovan_izvjestaj</f>
        <v>0</v>
      </c>
      <c r="G125" s="20">
        <f aca="1">Datum_Broj</f>
        <v>45382</v>
      </c>
      <c r="H125">
        <f>VLOOKUP($A125,Aop!$A$2:$P$453,4,0)</f>
        <v>157</v>
      </c>
      <c r="I125">
        <f aca="1">Godina</f>
        <v>2024</v>
      </c>
      <c r="J125" t="str">
        <f aca="1">IF(VLOOKUP($H125,INDIRECT("Lookup_"&amp;$B125),IF(LEFT($B125,2)="BS",P$2,P$1),0)="","",VLOOKUP($H125,INDIRECT("Lookup_"&amp;$B125),IF($B125="BSp",P$2,P$1),0))</f>
        <v/>
      </c>
      <c r="K125"/>
      <c r="L125" t="str">
        <f aca="1">IF(VLOOKUP($H125,INDIRECT("Lookup_"&amp;$B125),IF(LEFT($B125,2)="BS",R$2,R$1),0)="","",VLOOKUP($H125,INDIRECT("Lookup_"&amp;$B125),IF($B125="BSa",R$2,R$1),0))</f>
        <v/>
      </c>
      <c r="M125" s="575">
        <f aca="1">IF(VLOOKUP($H125,INDIRECT("Lookup_"&amp;$B125),IF(LEFT($B125,2)="BS",S$2,S$1),0)="","",VLOOKUP($H125,INDIRECT("Lookup_"&amp;$B125),IF(LEFT($B125,2)="BS",S$2,S$1),0))</f>
        <v>2327562</v>
      </c>
      <c r="N125" s="575">
        <f aca="1">IF(VLOOKUP($H125,INDIRECT("Lookup_"&amp;$B125),IF(LEFT($B125,2)="BS",S$2,S$1),0)="","",VLOOKUP($H125,INDIRECT("Lookup_"&amp;$B125),IF(LEFT($B125,2)="BS",S$2,S$1),0))</f>
        <v>2327562</v>
      </c>
    </row>
    <row r="126" spans="1:14">
      <c r="A126" t="n">
        <v>125</v>
      </c>
      <c r="B126" t="str">
        <f>VLOOKUP($A126,Aop!$A$2:$P$453,2,0)</f>
        <v>BSp</v>
      </c>
      <c r="C126" t="n">
        <v>26</v>
      </c>
      <c r="D126" t="str">
        <f aca="1">Podatak_MB</f>
        <v>1062280</v>
      </c>
      <c r="E126" t="str">
        <f aca="1">Podatak_JIB</f>
        <v>4400471400001</v>
      </c>
      <c r="F126" t="b">
        <f aca="1">Konsolidovan_izvjestaj</f>
        <v>0</v>
      </c>
      <c r="G126" s="20">
        <f aca="1">Datum_Broj</f>
        <v>45382</v>
      </c>
      <c r="H126">
        <f>VLOOKUP($A126,Aop!$A$2:$P$453,4,0)</f>
        <v>158</v>
      </c>
      <c r="I126">
        <f aca="1">Godina</f>
        <v>2024</v>
      </c>
      <c r="J126" t="str">
        <f aca="1">IF(VLOOKUP($H126,INDIRECT("Lookup_"&amp;$B126),IF(LEFT($B126,2)="BS",P$2,P$1),0)="","",VLOOKUP($H126,INDIRECT("Lookup_"&amp;$B126),IF($B126="BSp",P$2,P$1),0))</f>
        <v/>
      </c>
      <c r="K126"/>
      <c r="L126" t="str">
        <f aca="1">IF(VLOOKUP($H126,INDIRECT("Lookup_"&amp;$B126),IF(LEFT($B126,2)="BS",R$2,R$1),0)="","",VLOOKUP($H126,INDIRECT("Lookup_"&amp;$B126),IF($B126="BSa",R$2,R$1),0))</f>
        <v/>
      </c>
      <c r="M126" s="575">
        <f aca="1">IF(VLOOKUP($H126,INDIRECT("Lookup_"&amp;$B126),IF(LEFT($B126,2)="BS",S$2,S$1),0)="","",VLOOKUP($H126,INDIRECT("Lookup_"&amp;$B126),IF(LEFT($B126,2)="BS",S$2,S$1),0))</f>
        <v>1181339</v>
      </c>
      <c r="N126" s="575">
        <f aca="1">IF(VLOOKUP($H126,INDIRECT("Lookup_"&amp;$B126),IF(LEFT($B126,2)="BS",S$2,S$1),0)="","",VLOOKUP($H126,INDIRECT("Lookup_"&amp;$B126),IF(LEFT($B126,2)="BS",S$2,S$1),0))</f>
        <v>1181339</v>
      </c>
    </row>
    <row r="127" spans="1:14">
      <c r="A127" t="n">
        <v>126</v>
      </c>
      <c r="B127" t="str">
        <f>VLOOKUP($A127,Aop!$A$2:$P$453,2,0)</f>
        <v>BSp</v>
      </c>
      <c r="C127" t="n">
        <v>26</v>
      </c>
      <c r="D127" t="str">
        <f aca="1">Podatak_MB</f>
        <v>1062280</v>
      </c>
      <c r="E127" t="str">
        <f aca="1">Podatak_JIB</f>
        <v>4400471400001</v>
      </c>
      <c r="F127" t="b">
        <f aca="1">Konsolidovan_izvjestaj</f>
        <v>0</v>
      </c>
      <c r="G127" s="20">
        <f aca="1">Datum_Broj</f>
        <v>45382</v>
      </c>
      <c r="H127">
        <f>VLOOKUP($A127,Aop!$A$2:$P$453,4,0)</f>
        <v>159</v>
      </c>
      <c r="I127">
        <f aca="1">Godina</f>
        <v>2024</v>
      </c>
      <c r="J127" t="str">
        <f aca="1">IF(VLOOKUP($H127,INDIRECT("Lookup_"&amp;$B127),IF(LEFT($B127,2)="BS",P$2,P$1),0)="","",VLOOKUP($H127,INDIRECT("Lookup_"&amp;$B127),IF($B127="BSp",P$2,P$1),0))</f>
        <v/>
      </c>
      <c r="K127"/>
      <c r="L127" t="str">
        <f aca="1">IF(VLOOKUP($H127,INDIRECT("Lookup_"&amp;$B127),IF(LEFT($B127,2)="BS",R$2,R$1),0)="","",VLOOKUP($H127,INDIRECT("Lookup_"&amp;$B127),IF($B127="BSa",R$2,R$1),0))</f>
        <v/>
      </c>
      <c r="M127" t="str">
        <f aca="1">IF(VLOOKUP($H127,INDIRECT("Lookup_"&amp;$B127),IF(LEFT($B127,2)="BS",S$2,S$1),0)="","",VLOOKUP($H127,INDIRECT("Lookup_"&amp;$B127),IF(LEFT($B127,2)="BS",S$2,S$1),0))</f>
        <v/>
      </c>
      <c r="N127" t="str">
        <f aca="1">IF(VLOOKUP($H127,INDIRECT("Lookup_"&amp;$B127),IF(LEFT($B127,2)="BS",S$2,S$1),0)="","",VLOOKUP($H127,INDIRECT("Lookup_"&amp;$B127),IF(LEFT($B127,2)="BS",S$2,S$1),0))</f>
        <v/>
      </c>
    </row>
    <row r="128" spans="1:14">
      <c r="A128" t="n">
        <v>127</v>
      </c>
      <c r="B128" t="str">
        <f>VLOOKUP($A128,Aop!$A$2:$P$453,2,0)</f>
        <v>BSp</v>
      </c>
      <c r="C128" t="n">
        <v>26</v>
      </c>
      <c r="D128" t="str">
        <f aca="1">Podatak_MB</f>
        <v>1062280</v>
      </c>
      <c r="E128" t="str">
        <f aca="1">Podatak_JIB</f>
        <v>4400471400001</v>
      </c>
      <c r="F128" t="b">
        <f aca="1">Konsolidovan_izvjestaj</f>
        <v>0</v>
      </c>
      <c r="G128" s="20">
        <f aca="1">Datum_Broj</f>
        <v>45382</v>
      </c>
      <c r="H128">
        <f>VLOOKUP($A128,Aop!$A$2:$P$453,4,0)</f>
        <v>160</v>
      </c>
      <c r="I128">
        <f aca="1">Godina</f>
        <v>2024</v>
      </c>
      <c r="J128" t="str">
        <f aca="1">IF(VLOOKUP($H128,INDIRECT("Lookup_"&amp;$B128),IF(LEFT($B128,2)="BS",P$2,P$1),0)="","",VLOOKUP($H128,INDIRECT("Lookup_"&amp;$B128),IF($B128="BSp",P$2,P$1),0))</f>
        <v/>
      </c>
      <c r="K128"/>
      <c r="L128" t="str">
        <f aca="1">IF(VLOOKUP($H128,INDIRECT("Lookup_"&amp;$B128),IF(LEFT($B128,2)="BS",R$2,R$1),0)="","",VLOOKUP($H128,INDIRECT("Lookup_"&amp;$B128),IF($B128="BSa",R$2,R$1),0))</f>
        <v/>
      </c>
      <c r="M128" t="str">
        <f aca="1">IF(VLOOKUP($H128,INDIRECT("Lookup_"&amp;$B128),IF(LEFT($B128,2)="BS",S$2,S$1),0)="","",VLOOKUP($H128,INDIRECT("Lookup_"&amp;$B128),IF(LEFT($B128,2)="BS",S$2,S$1),0))</f>
        <v/>
      </c>
      <c r="N128" t="str">
        <f aca="1">IF(VLOOKUP($H128,INDIRECT("Lookup_"&amp;$B128),IF(LEFT($B128,2)="BS",S$2,S$1),0)="","",VLOOKUP($H128,INDIRECT("Lookup_"&amp;$B128),IF(LEFT($B128,2)="BS",S$2,S$1),0))</f>
        <v/>
      </c>
    </row>
    <row r="129" spans="1:14">
      <c r="A129" t="n">
        <v>128</v>
      </c>
      <c r="B129" t="str">
        <f>VLOOKUP($A129,Aop!$A$2:$P$453,2,0)</f>
        <v>BSp</v>
      </c>
      <c r="C129" t="n">
        <v>26</v>
      </c>
      <c r="D129" t="str">
        <f aca="1">Podatak_MB</f>
        <v>1062280</v>
      </c>
      <c r="E129" t="str">
        <f aca="1">Podatak_JIB</f>
        <v>4400471400001</v>
      </c>
      <c r="F129" t="b">
        <f aca="1">Konsolidovan_izvjestaj</f>
        <v>0</v>
      </c>
      <c r="G129" s="20">
        <f aca="1">Datum_Broj</f>
        <v>45382</v>
      </c>
      <c r="H129">
        <f>VLOOKUP($A129,Aop!$A$2:$P$453,4,0)</f>
        <v>161</v>
      </c>
      <c r="I129">
        <f aca="1">Godina</f>
        <v>2024</v>
      </c>
      <c r="J129" t="str">
        <f aca="1">IF(VLOOKUP($H129,INDIRECT("Lookup_"&amp;$B129),IF(LEFT($B129,2)="BS",P$2,P$1),0)="","",VLOOKUP($H129,INDIRECT("Lookup_"&amp;$B129),IF($B129="BSp",P$2,P$1),0))</f>
        <v/>
      </c>
      <c r="K129"/>
      <c r="L129" t="str">
        <f aca="1">IF(VLOOKUP($H129,INDIRECT("Lookup_"&amp;$B129),IF(LEFT($B129,2)="BS",R$2,R$1),0)="","",VLOOKUP($H129,INDIRECT("Lookup_"&amp;$B129),IF($B129="BSa",R$2,R$1),0))</f>
        <v/>
      </c>
      <c r="M129" t="str">
        <f aca="1">IF(VLOOKUP($H129,INDIRECT("Lookup_"&amp;$B129),IF(LEFT($B129,2)="BS",S$2,S$1),0)="","",VLOOKUP($H129,INDIRECT("Lookup_"&amp;$B129),IF(LEFT($B129,2)="BS",S$2,S$1),0))</f>
        <v/>
      </c>
      <c r="N129" t="str">
        <f aca="1">IF(VLOOKUP($H129,INDIRECT("Lookup_"&amp;$B129),IF(LEFT($B129,2)="BS",S$2,S$1),0)="","",VLOOKUP($H129,INDIRECT("Lookup_"&amp;$B129),IF(LEFT($B129,2)="BS",S$2,S$1),0))</f>
        <v/>
      </c>
    </row>
    <row r="130" spans="1:14">
      <c r="A130" t="n">
        <v>129</v>
      </c>
      <c r="B130" t="str">
        <f>VLOOKUP($A130,Aop!$A$2:$P$453,2,0)</f>
        <v>BSp</v>
      </c>
      <c r="C130" t="n">
        <v>26</v>
      </c>
      <c r="D130" t="str">
        <f aca="1">Podatak_MB</f>
        <v>1062280</v>
      </c>
      <c r="E130" t="str">
        <f aca="1">Podatak_JIB</f>
        <v>4400471400001</v>
      </c>
      <c r="F130" t="b">
        <f aca="1">Konsolidovan_izvjestaj</f>
        <v>0</v>
      </c>
      <c r="G130" s="20">
        <f aca="1">Datum_Broj</f>
        <v>45382</v>
      </c>
      <c r="H130">
        <f>VLOOKUP($A130,Aop!$A$2:$P$453,4,0)</f>
        <v>162</v>
      </c>
      <c r="I130">
        <f aca="1">Godina</f>
        <v>2024</v>
      </c>
      <c r="J130" t="str">
        <f aca="1">IF(VLOOKUP($H130,INDIRECT("Lookup_"&amp;$B130),IF(LEFT($B130,2)="BS",P$2,P$1),0)="","",VLOOKUP($H130,INDIRECT("Lookup_"&amp;$B130),IF($B130="BSp",P$2,P$1),0))</f>
        <v/>
      </c>
      <c r="K130"/>
      <c r="L130" t="str">
        <f aca="1">IF(VLOOKUP($H130,INDIRECT("Lookup_"&amp;$B130),IF(LEFT($B130,2)="BS",R$2,R$1),0)="","",VLOOKUP($H130,INDIRECT("Lookup_"&amp;$B130),IF($B130="BSa",R$2,R$1),0))</f>
        <v/>
      </c>
      <c r="M130" s="575">
        <f aca="1">IF(VLOOKUP($H130,INDIRECT("Lookup_"&amp;$B130),IF(LEFT($B130,2)="BS",S$2,S$1),0)="","",VLOOKUP($H130,INDIRECT("Lookup_"&amp;$B130),IF(LEFT($B130,2)="BS",S$2,S$1),0))</f>
        <v>33008</v>
      </c>
      <c r="N130" s="575">
        <f aca="1">IF(VLOOKUP($H130,INDIRECT("Lookup_"&amp;$B130),IF(LEFT($B130,2)="BS",S$2,S$1),0)="","",VLOOKUP($H130,INDIRECT("Lookup_"&amp;$B130),IF(LEFT($B130,2)="BS",S$2,S$1),0))</f>
        <v>33008</v>
      </c>
    </row>
    <row r="131" spans="1:14">
      <c r="A131" t="n">
        <v>130</v>
      </c>
      <c r="B131" t="str">
        <f>VLOOKUP($A131,Aop!$A$2:$P$453,2,0)</f>
        <v>BSp</v>
      </c>
      <c r="C131" t="n">
        <v>26</v>
      </c>
      <c r="D131" t="str">
        <f aca="1">Podatak_MB</f>
        <v>1062280</v>
      </c>
      <c r="E131" t="str">
        <f aca="1">Podatak_JIB</f>
        <v>4400471400001</v>
      </c>
      <c r="F131" t="b">
        <f aca="1">Konsolidovan_izvjestaj</f>
        <v>0</v>
      </c>
      <c r="G131" s="20">
        <f aca="1">Datum_Broj</f>
        <v>45382</v>
      </c>
      <c r="H131">
        <f>VLOOKUP($A131,Aop!$A$2:$P$453,4,0)</f>
        <v>163</v>
      </c>
      <c r="I131">
        <f aca="1">Godina</f>
        <v>2024</v>
      </c>
      <c r="J131" t="str">
        <f aca="1">IF(VLOOKUP($H131,INDIRECT("Lookup_"&amp;$B131),IF(LEFT($B131,2)="BS",P$2,P$1),0)="","",VLOOKUP($H131,INDIRECT("Lookup_"&amp;$B131),IF($B131="BSp",P$2,P$1),0))</f>
        <v/>
      </c>
      <c r="K131"/>
      <c r="L131" t="str">
        <f aca="1">IF(VLOOKUP($H131,INDIRECT("Lookup_"&amp;$B131),IF(LEFT($B131,2)="BS",R$2,R$1),0)="","",VLOOKUP($H131,INDIRECT("Lookup_"&amp;$B131),IF($B131="BSa",R$2,R$1),0))</f>
        <v/>
      </c>
      <c r="M131" s="575">
        <f aca="1">IF(VLOOKUP($H131,INDIRECT("Lookup_"&amp;$B131),IF(LEFT($B131,2)="BS",S$2,S$1),0)="","",VLOOKUP($H131,INDIRECT("Lookup_"&amp;$B131),IF(LEFT($B131,2)="BS",S$2,S$1),0))</f>
        <v>14614</v>
      </c>
      <c r="N131" s="575">
        <f aca="1">IF(VLOOKUP($H131,INDIRECT("Lookup_"&amp;$B131),IF(LEFT($B131,2)="BS",S$2,S$1),0)="","",VLOOKUP($H131,INDIRECT("Lookup_"&amp;$B131),IF(LEFT($B131,2)="BS",S$2,S$1),0))</f>
        <v>14614</v>
      </c>
    </row>
    <row r="132" spans="1:14">
      <c r="A132" t="n">
        <v>131</v>
      </c>
      <c r="B132" t="str">
        <f>VLOOKUP($A132,Aop!$A$2:$P$453,2,0)</f>
        <v>BSp</v>
      </c>
      <c r="C132" t="n">
        <v>26</v>
      </c>
      <c r="D132" t="str">
        <f aca="1">Podatak_MB</f>
        <v>1062280</v>
      </c>
      <c r="E132" t="str">
        <f aca="1">Podatak_JIB</f>
        <v>4400471400001</v>
      </c>
      <c r="F132" t="b">
        <f aca="1">Konsolidovan_izvjestaj</f>
        <v>0</v>
      </c>
      <c r="G132" s="20">
        <f aca="1">Datum_Broj</f>
        <v>45382</v>
      </c>
      <c r="H132">
        <f>VLOOKUP($A132,Aop!$A$2:$P$453,4,0)</f>
        <v>164</v>
      </c>
      <c r="I132">
        <f aca="1">Godina</f>
        <v>2024</v>
      </c>
      <c r="J132" t="str">
        <f aca="1">IF(VLOOKUP($H132,INDIRECT("Lookup_"&amp;$B132),IF(LEFT($B132,2)="BS",P$2,P$1),0)="","",VLOOKUP($H132,INDIRECT("Lookup_"&amp;$B132),IF($B132="BSp",P$2,P$1),0))</f>
        <v/>
      </c>
      <c r="K132"/>
      <c r="L132" t="str">
        <f aca="1">IF(VLOOKUP($H132,INDIRECT("Lookup_"&amp;$B132),IF(LEFT($B132,2)="BS",R$2,R$1),0)="","",VLOOKUP($H132,INDIRECT("Lookup_"&amp;$B132),IF($B132="BSa",R$2,R$1),0))</f>
        <v/>
      </c>
      <c r="M132" s="575">
        <f aca="1">IF(VLOOKUP($H132,INDIRECT("Lookup_"&amp;$B132),IF(LEFT($B132,2)="BS",S$2,S$1),0)="","",VLOOKUP($H132,INDIRECT("Lookup_"&amp;$B132),IF(LEFT($B132,2)="BS",S$2,S$1),0))</f>
        <v>4309</v>
      </c>
      <c r="N132" s="575">
        <f aca="1">IF(VLOOKUP($H132,INDIRECT("Lookup_"&amp;$B132),IF(LEFT($B132,2)="BS",S$2,S$1),0)="","",VLOOKUP($H132,INDIRECT("Lookup_"&amp;$B132),IF(LEFT($B132,2)="BS",S$2,S$1),0))</f>
        <v>4309</v>
      </c>
    </row>
    <row r="133" spans="1:14">
      <c r="A133" t="n">
        <v>132</v>
      </c>
      <c r="B133" t="str">
        <f>VLOOKUP($A133,Aop!$A$2:$P$453,2,0)</f>
        <v>BSp</v>
      </c>
      <c r="C133" t="n">
        <v>26</v>
      </c>
      <c r="D133" t="str">
        <f aca="1">Podatak_MB</f>
        <v>1062280</v>
      </c>
      <c r="E133" t="str">
        <f aca="1">Podatak_JIB</f>
        <v>4400471400001</v>
      </c>
      <c r="F133" t="b">
        <f aca="1">Konsolidovan_izvjestaj</f>
        <v>0</v>
      </c>
      <c r="G133" s="20">
        <f aca="1">Datum_Broj</f>
        <v>45382</v>
      </c>
      <c r="H133">
        <f>VLOOKUP($A133,Aop!$A$2:$P$453,4,0)</f>
        <v>165</v>
      </c>
      <c r="I133">
        <f aca="1">Godina</f>
        <v>2024</v>
      </c>
      <c r="J133" t="str">
        <f aca="1">IF(VLOOKUP($H133,INDIRECT("Lookup_"&amp;$B133),IF(LEFT($B133,2)="BS",P$2,P$1),0)="","",VLOOKUP($H133,INDIRECT("Lookup_"&amp;$B133),IF($B133="BSp",P$2,P$1),0))</f>
        <v/>
      </c>
      <c r="K133"/>
      <c r="L133" t="str">
        <f aca="1">IF(VLOOKUP($H133,INDIRECT("Lookup_"&amp;$B133),IF(LEFT($B133,2)="BS",R$2,R$1),0)="","",VLOOKUP($H133,INDIRECT("Lookup_"&amp;$B133),IF($B133="BSa",R$2,R$1),0))</f>
        <v/>
      </c>
      <c r="M133" s="575">
        <f aca="1">IF(VLOOKUP($H133,INDIRECT("Lookup_"&amp;$B133),IF(LEFT($B133,2)="BS",S$2,S$1),0)="","",VLOOKUP($H133,INDIRECT("Lookup_"&amp;$B133),IF(LEFT($B133,2)="BS",S$2,S$1),0))</f>
        <v>19122</v>
      </c>
      <c r="N133" s="575">
        <f aca="1">IF(VLOOKUP($H133,INDIRECT("Lookup_"&amp;$B133),IF(LEFT($B133,2)="BS",S$2,S$1),0)="","",VLOOKUP($H133,INDIRECT("Lookup_"&amp;$B133),IF(LEFT($B133,2)="BS",S$2,S$1),0))</f>
        <v>19122</v>
      </c>
    </row>
    <row r="134" spans="1:14">
      <c r="A134" t="n">
        <v>133</v>
      </c>
      <c r="B134" t="str">
        <f>VLOOKUP($A134,Aop!$A$2:$P$453,2,0)</f>
        <v>BSp</v>
      </c>
      <c r="C134" t="n">
        <v>26</v>
      </c>
      <c r="D134" t="str">
        <f aca="1">Podatak_MB</f>
        <v>1062280</v>
      </c>
      <c r="E134" t="str">
        <f aca="1">Podatak_JIB</f>
        <v>4400471400001</v>
      </c>
      <c r="F134" t="b">
        <f aca="1">Konsolidovan_izvjestaj</f>
        <v>0</v>
      </c>
      <c r="G134" s="20">
        <f aca="1">Datum_Broj</f>
        <v>45382</v>
      </c>
      <c r="H134">
        <f>VLOOKUP($A134,Aop!$A$2:$P$453,4,0)</f>
        <v>166</v>
      </c>
      <c r="I134">
        <f aca="1">Godina</f>
        <v>2024</v>
      </c>
      <c r="J134" t="str">
        <f aca="1">IF(VLOOKUP($H134,INDIRECT("Lookup_"&amp;$B134),IF(LEFT($B134,2)="BS",P$2,P$1),0)="","",VLOOKUP($H134,INDIRECT("Lookup_"&amp;$B134),IF($B134="BSp",P$2,P$1),0))</f>
        <v/>
      </c>
      <c r="K134"/>
      <c r="L134" t="str">
        <f aca="1">IF(VLOOKUP($H134,INDIRECT("Lookup_"&amp;$B134),IF(LEFT($B134,2)="BS",R$2,R$1),0)="","",VLOOKUP($H134,INDIRECT("Lookup_"&amp;$B134),IF($B134="BSa",R$2,R$1),0))</f>
        <v/>
      </c>
      <c r="M134" s="575">
        <f aca="1">IF(VLOOKUP($H134,INDIRECT("Lookup_"&amp;$B134),IF(LEFT($B134,2)="BS",S$2,S$1),0)="","",VLOOKUP($H134,INDIRECT("Lookup_"&amp;$B134),IF(LEFT($B134,2)="BS",S$2,S$1),0))</f>
        <v>1349</v>
      </c>
      <c r="N134" s="575">
        <f aca="1">IF(VLOOKUP($H134,INDIRECT("Lookup_"&amp;$B134),IF(LEFT($B134,2)="BS",S$2,S$1),0)="","",VLOOKUP($H134,INDIRECT("Lookup_"&amp;$B134),IF(LEFT($B134,2)="BS",S$2,S$1),0))</f>
        <v>1349</v>
      </c>
    </row>
    <row r="135" spans="1:14">
      <c r="A135" t="n">
        <v>134</v>
      </c>
      <c r="B135" t="str">
        <f>VLOOKUP($A135,Aop!$A$2:$P$453,2,0)</f>
        <v>BSp</v>
      </c>
      <c r="C135" t="n">
        <v>26</v>
      </c>
      <c r="D135" t="str">
        <f aca="1">Podatak_MB</f>
        <v>1062280</v>
      </c>
      <c r="E135" t="str">
        <f aca="1">Podatak_JIB</f>
        <v>4400471400001</v>
      </c>
      <c r="F135" t="b">
        <f aca="1">Konsolidovan_izvjestaj</f>
        <v>0</v>
      </c>
      <c r="G135" s="20">
        <f aca="1">Datum_Broj</f>
        <v>45382</v>
      </c>
      <c r="H135">
        <f>VLOOKUP($A135,Aop!$A$2:$P$453,4,0)</f>
        <v>167</v>
      </c>
      <c r="I135">
        <f aca="1">Godina</f>
        <v>2024</v>
      </c>
      <c r="J135" t="str">
        <f aca="1">IF(VLOOKUP($H135,INDIRECT("Lookup_"&amp;$B135),IF(LEFT($B135,2)="BS",P$2,P$1),0)="","",VLOOKUP($H135,INDIRECT("Lookup_"&amp;$B135),IF($B135="BSp",P$2,P$1),0))</f>
        <v/>
      </c>
      <c r="K135"/>
      <c r="L135" t="str">
        <f aca="1">IF(VLOOKUP($H135,INDIRECT("Lookup_"&amp;$B135),IF(LEFT($B135,2)="BS",R$2,R$1),0)="","",VLOOKUP($H135,INDIRECT("Lookup_"&amp;$B135),IF($B135="BSa",R$2,R$1),0))</f>
        <v/>
      </c>
      <c r="M135" s="575">
        <f aca="1">IF(VLOOKUP($H135,INDIRECT("Lookup_"&amp;$B135),IF(LEFT($B135,2)="BS",S$2,S$1),0)="","",VLOOKUP($H135,INDIRECT("Lookup_"&amp;$B135),IF(LEFT($B135,2)="BS",S$2,S$1),0))</f>
        <v>306353</v>
      </c>
      <c r="N135" s="575">
        <f aca="1">IF(VLOOKUP($H135,INDIRECT("Lookup_"&amp;$B135),IF(LEFT($B135,2)="BS",S$2,S$1),0)="","",VLOOKUP($H135,INDIRECT("Lookup_"&amp;$B135),IF(LEFT($B135,2)="BS",S$2,S$1),0))</f>
        <v>306353</v>
      </c>
    </row>
    <row r="136" spans="1:14">
      <c r="A136" t="n">
        <v>136</v>
      </c>
      <c r="B136" t="str">
        <f>VLOOKUP($A136,Aop!$A$2:$P$453,2,0)</f>
        <v>BSp</v>
      </c>
      <c r="C136" t="n">
        <v>26</v>
      </c>
      <c r="D136" t="str">
        <f aca="1">Podatak_MB</f>
        <v>1062280</v>
      </c>
      <c r="E136" t="str">
        <f aca="1">Podatak_JIB</f>
        <v>4400471400001</v>
      </c>
      <c r="F136" t="b">
        <f aca="1">Konsolidovan_izvjestaj</f>
        <v>0</v>
      </c>
      <c r="G136" s="20">
        <f aca="1">Datum_Broj</f>
        <v>45382</v>
      </c>
      <c r="H136">
        <f>VLOOKUP($A136,Aop!$A$2:$P$453,4,0)</f>
        <v>0</v>
      </c>
      <c r="I136">
        <f aca="1">Godina</f>
        <v>2024</v>
      </c>
      <c r="J136" t="str">
        <f aca="1">IF(VLOOKUP($H136,INDIRECT("Lookup_"&amp;$B136),IF(LEFT($B136,2)="BS",P$2,P$1),0)="","",VLOOKUP($H136,INDIRECT("Lookup_"&amp;$B136),IF($B136="BSp",P$2,P$1),0))</f>
        <v/>
      </c>
      <c r="K136"/>
      <c r="L136"/>
      <c r="M136" t="str">
        <f aca="1">IF(VLOOKUP($H136,INDIRECT("Lookup_"&amp;$B136),IF(LEFT($B136,2)="BS",S$2,S$1),0)="","",VLOOKUP($H136,INDIRECT("Lookup_"&amp;$B136),IF(LEFT($B136,2)="BS",S$2,S$1),0))</f>
        <v/>
      </c>
      <c r="N136" t="str">
        <f aca="1">IF(VLOOKUP($H136,INDIRECT("Lookup_"&amp;$B136),IF(LEFT($B136,2)="BS",S$2,S$1),0)="","",VLOOKUP($H136,INDIRECT("Lookup_"&amp;$B136),IF(LEFT($B136,2)="BS",S$2,S$1),0))</f>
        <v/>
      </c>
    </row>
    <row r="137" spans="1:14">
      <c r="A137" t="n">
        <v>137</v>
      </c>
      <c r="B137" t="str">
        <f>VLOOKUP($A137,Aop!$A$2:$P$453,2,0)</f>
        <v>BSp</v>
      </c>
      <c r="C137" t="n">
        <v>26</v>
      </c>
      <c r="D137" t="str">
        <f aca="1">Podatak_MB</f>
        <v>1062280</v>
      </c>
      <c r="E137" t="str">
        <f aca="1">Podatak_JIB</f>
        <v>4400471400001</v>
      </c>
      <c r="F137" t="b">
        <f aca="1">Konsolidovan_izvjestaj</f>
        <v>0</v>
      </c>
      <c r="G137" s="20">
        <f aca="1">Datum_Broj</f>
        <v>45382</v>
      </c>
      <c r="H137">
        <f>VLOOKUP($A137,Aop!$A$2:$P$453,4,0)</f>
        <v>169</v>
      </c>
      <c r="I137">
        <f aca="1">Godina</f>
        <v>2024</v>
      </c>
      <c r="J137" t="str">
        <f aca="1">IF(VLOOKUP($H137,INDIRECT("Lookup_"&amp;$B137),IF(LEFT($B137,2)="BS",P$2,P$1),0)="","",VLOOKUP($H137,INDIRECT("Lookup_"&amp;$B137),IF($B137="BSp",P$2,P$1),0))</f>
        <v/>
      </c>
      <c r="K137"/>
      <c r="L137"/>
      <c r="M137" s="571">
        <f aca="1">IF(VLOOKUP($H137,INDIRECT("Lookup_"&amp;$B137),IF(LEFT($B137,2)="BS",S$2,S$1),0)="","",VLOOKUP($H137,INDIRECT("Lookup_"&amp;$B137),IF(LEFT($B137,2)="BS",S$2,S$1),0))</f>
        <v>7399222</v>
      </c>
      <c r="N137" s="571">
        <f aca="1">IF(VLOOKUP($H137,INDIRECT("Lookup_"&amp;$B137),IF(LEFT($B137,2)="BS",S$2,S$1),0)="","",VLOOKUP($H137,INDIRECT("Lookup_"&amp;$B137),IF(LEFT($B137,2)="BS",S$2,S$1),0))</f>
        <v>7399222</v>
      </c>
    </row>
    <row r="138" spans="1:14">
      <c r="A138" t="n">
        <v>138</v>
      </c>
      <c r="B138" t="str">
        <f>VLOOKUP($A138,Aop!$A$2:$P$453,2,0)</f>
        <v>BSp</v>
      </c>
      <c r="C138" t="n">
        <v>27</v>
      </c>
      <c r="D138" t="str">
        <f aca="1">Podatak_MB</f>
        <v>1062280</v>
      </c>
      <c r="E138" t="str">
        <f aca="1">Podatak_JIB</f>
        <v>4400471400001</v>
      </c>
      <c r="F138" t="b">
        <f aca="1">Konsolidovan_izvjestaj</f>
        <v>0</v>
      </c>
      <c r="G138" s="20">
        <f aca="1">Datum_Broj</f>
        <v>45382</v>
      </c>
      <c r="H138">
        <f>VLOOKUP($A138,Aop!$A$2:$P$453,4,0)</f>
        <v>170</v>
      </c>
      <c r="I138">
        <f aca="1">Godina</f>
        <v>2024</v>
      </c>
      <c r="J138" t="str">
        <f aca="1">IF(VLOOKUP($H138,INDIRECT("Lookup_"&amp;$B138),IF(LEFT($B138,2)="BS",P$2,P$1),0)="","",VLOOKUP($H138,INDIRECT("Lookup_"&amp;$B138),IF($B138="BSp",P$2,P$1),0))</f>
        <v/>
      </c>
      <c r="K138"/>
      <c r="L138"/>
      <c r="M138" t="str">
        <f aca="1">IF(VLOOKUP($H138,INDIRECT("Lookup_"&amp;$B138),IF(LEFT($B138,2)="BS",S$2,S$1),0)="","",VLOOKUP($H138,INDIRECT("Lookup_"&amp;$B138),IF(LEFT($B138,2)="BS",S$2,S$1),0))</f>
        <v/>
      </c>
      <c r="N138" t="str">
        <f aca="1">IF(VLOOKUP($H138,INDIRECT("Lookup_"&amp;$B138),IF(LEFT($B138,2)="BS",S$2,S$1),0)="","",VLOOKUP($H138,INDIRECT("Lookup_"&amp;$B138),IF(LEFT($B138,2)="BS",S$2,S$1),0))</f>
        <v/>
      </c>
    </row>
    <row r="139" spans="1:14">
      <c r="A139" t="n">
        <v>139</v>
      </c>
      <c r="B139" t="str">
        <f>VLOOKUP($A139,Aop!$A$2:$P$453,2,0)</f>
        <v>BUa</v>
      </c>
      <c r="C139" t="n">
        <v>27</v>
      </c>
      <c r="D139" t="str">
        <f aca="1">Podatak_MB</f>
        <v>1062280</v>
      </c>
      <c r="E139" t="str">
        <f aca="1">Podatak_JIB</f>
        <v>4400471400001</v>
      </c>
      <c r="F139" t="b">
        <f aca="1">Konsolidovan_izvjestaj</f>
        <v>0</v>
      </c>
      <c r="G139" s="20">
        <f aca="1">Datum_Broj</f>
        <v>45382</v>
      </c>
      <c r="H139">
        <f>VLOOKUP($A139,Aop!$A$2:$P$453,4,0)</f>
        <v>201</v>
      </c>
      <c r="I139">
        <f aca="1">Godina</f>
        <v>2024</v>
      </c>
      <c r="J139" t="str">
        <f aca="1">IF(VLOOKUP($H139,INDIRECT("Lookup_"&amp;$B139),IF(LEFT($B139,2)="BS",R$2,R$1),0)="","",VLOOKUP($H139,INDIRECT("Lookup_"&amp;$B139),IF($B139="BSp",R$2,R$1),0))</f>
        <v/>
      </c>
      <c r="K139"/>
      <c r="L139"/>
      <c r="M139" s="571">
        <f aca="1">IF(VLOOKUP($H139,INDIRECT("Lookup_"&amp;$B139),IF(LEFT($B139,2)="BS",S$2,S$1),0)="","",VLOOKUP($H139,INDIRECT("Lookup_"&amp;$B139),IF(LEFT($B139,2)="BS",S$2,S$1),0))</f>
        <v>311579</v>
      </c>
      <c r="N139" s="571">
        <f aca="1">IF(VLOOKUP($H139,INDIRECT("Lookup_"&amp;$B139),IF(LEFT($B139,2)="BS",S$2,S$1),0)="","",VLOOKUP($H139,INDIRECT("Lookup_"&amp;$B139),IF(LEFT($B139,2)="BS",S$2,S$1),0))</f>
        <v>311579</v>
      </c>
    </row>
    <row r="140" spans="1:14">
      <c r="A140" t="n">
        <v>140</v>
      </c>
      <c r="B140" t="str">
        <f>VLOOKUP($A140,Aop!$A$2:$P$453,2,0)</f>
        <v>BUa</v>
      </c>
      <c r="C140" t="n">
        <v>27</v>
      </c>
      <c r="D140" t="str">
        <f aca="1">Podatak_MB</f>
        <v>1062280</v>
      </c>
      <c r="E140" t="str">
        <f aca="1">Podatak_JIB</f>
        <v>4400471400001</v>
      </c>
      <c r="F140" t="b">
        <f aca="1">Konsolidovan_izvjestaj</f>
        <v>0</v>
      </c>
      <c r="G140" s="20">
        <f aca="1">Datum_Broj</f>
        <v>45382</v>
      </c>
      <c r="H140">
        <f>VLOOKUP($A140,Aop!$A$2:$P$453,4,0)</f>
        <v>202</v>
      </c>
      <c r="I140">
        <f aca="1">Godina</f>
        <v>2024</v>
      </c>
      <c r="J140" t="str">
        <f aca="1">IF(VLOOKUP($H140,INDIRECT("Lookup_"&amp;$B140),IF(LEFT($B140,2)="BS",R$2,R$1),0)="","",VLOOKUP($H140,INDIRECT("Lookup_"&amp;$B140),IF($B140="BSp",R$2,R$1),0))</f>
        <v/>
      </c>
      <c r="K140"/>
      <c r="L140"/>
      <c r="M140" s="571">
        <f aca="1">IF(VLOOKUP($H140,INDIRECT("Lookup_"&amp;$B140),IF(LEFT($B140,2)="BS",S$2,S$1),0)="","",VLOOKUP($H140,INDIRECT("Lookup_"&amp;$B140),IF(LEFT($B140,2)="BS",S$2,S$1),0))</f>
        <v>0</v>
      </c>
      <c r="N140" s="571">
        <f aca="1">IF(VLOOKUP($H140,INDIRECT("Lookup_"&amp;$B140),IF(LEFT($B140,2)="BS",S$2,S$1),0)="","",VLOOKUP($H140,INDIRECT("Lookup_"&amp;$B140),IF(LEFT($B140,2)="BS",S$2,S$1),0))</f>
        <v>0</v>
      </c>
    </row>
    <row r="141" spans="1:14">
      <c r="A141" t="n">
        <v>141</v>
      </c>
      <c r="B141" t="str">
        <f>VLOOKUP($A141,Aop!$A$2:$P$453,2,0)</f>
        <v>BUa</v>
      </c>
      <c r="C141" t="n">
        <v>27</v>
      </c>
      <c r="D141" t="str">
        <f aca="1">Podatak_MB</f>
        <v>1062280</v>
      </c>
      <c r="E141" t="str">
        <f aca="1">Podatak_JIB</f>
        <v>4400471400001</v>
      </c>
      <c r="F141" t="b">
        <f aca="1">Konsolidovan_izvjestaj</f>
        <v>0</v>
      </c>
      <c r="G141" s="20">
        <f aca="1">Datum_Broj</f>
        <v>45382</v>
      </c>
      <c r="H141">
        <f>VLOOKUP($A141,Aop!$A$2:$P$453,4,0)</f>
        <v>203</v>
      </c>
      <c r="I141">
        <f aca="1">Godina</f>
        <v>2024</v>
      </c>
      <c r="J141" t="str">
        <f aca="1">IF(VLOOKUP($H141,INDIRECT("Lookup_"&amp;$B141),IF(LEFT($B141,2)="BS",R$2,R$1),0)="","",VLOOKUP($H141,INDIRECT("Lookup_"&amp;$B141),IF($B141="BSp",R$2,R$1),0))</f>
        <v/>
      </c>
      <c r="K141"/>
      <c r="L141"/>
      <c r="M141" t="str">
        <f aca="1">IF(VLOOKUP($H141,INDIRECT("Lookup_"&amp;$B141),IF(LEFT($B141,2)="BS",S$2,S$1),0)="","",VLOOKUP($H141,INDIRECT("Lookup_"&amp;$B141),IF(LEFT($B141,2)="BS",S$2,S$1),0))</f>
        <v/>
      </c>
      <c r="N141" t="str">
        <f aca="1">IF(VLOOKUP($H141,INDIRECT("Lookup_"&amp;$B141),IF(LEFT($B141,2)="BS",S$2,S$1),0)="","",VLOOKUP($H141,INDIRECT("Lookup_"&amp;$B141),IF(LEFT($B141,2)="BS",S$2,S$1),0))</f>
        <v/>
      </c>
    </row>
    <row r="142" spans="1:14">
      <c r="A142" t="n">
        <v>142</v>
      </c>
      <c r="B142" t="str">
        <f>VLOOKUP($A142,Aop!$A$2:$P$453,2,0)</f>
        <v>BUa</v>
      </c>
      <c r="C142" t="n">
        <v>27</v>
      </c>
      <c r="D142" t="str">
        <f aca="1">Podatak_MB</f>
        <v>1062280</v>
      </c>
      <c r="E142" t="str">
        <f aca="1">Podatak_JIB</f>
        <v>4400471400001</v>
      </c>
      <c r="F142" t="b">
        <f aca="1">Konsolidovan_izvjestaj</f>
        <v>0</v>
      </c>
      <c r="G142" s="20">
        <f aca="1">Datum_Broj</f>
        <v>45382</v>
      </c>
      <c r="H142">
        <f>VLOOKUP($A142,Aop!$A$2:$P$453,4,0)</f>
        <v>204</v>
      </c>
      <c r="I142">
        <f aca="1">Godina</f>
        <v>2024</v>
      </c>
      <c r="J142" t="str">
        <f aca="1">IF(VLOOKUP($H142,INDIRECT("Lookup_"&amp;$B142),IF(LEFT($B142,2)="BS",R$2,R$1),0)="","",VLOOKUP($H142,INDIRECT("Lookup_"&amp;$B142),IF($B142="BSp",R$2,R$1),0))</f>
        <v/>
      </c>
      <c r="K142"/>
      <c r="L142"/>
      <c r="M142" t="str">
        <f aca="1">IF(VLOOKUP($H142,INDIRECT("Lookup_"&amp;$B142),IF(LEFT($B142,2)="BS",S$2,S$1),0)="","",VLOOKUP($H142,INDIRECT("Lookup_"&amp;$B142),IF(LEFT($B142,2)="BS",S$2,S$1),0))</f>
        <v/>
      </c>
      <c r="N142" t="str">
        <f aca="1">IF(VLOOKUP($H142,INDIRECT("Lookup_"&amp;$B142),IF(LEFT($B142,2)="BS",S$2,S$1),0)="","",VLOOKUP($H142,INDIRECT("Lookup_"&amp;$B142),IF(LEFT($B142,2)="BS",S$2,S$1),0))</f>
        <v/>
      </c>
    </row>
    <row r="143" spans="1:14">
      <c r="A143" t="n">
        <v>143</v>
      </c>
      <c r="B143" t="str">
        <f>VLOOKUP($A143,Aop!$A$2:$P$453,2,0)</f>
        <v>BUa</v>
      </c>
      <c r="C143" t="n">
        <v>27</v>
      </c>
      <c r="D143" t="str">
        <f aca="1">Podatak_MB</f>
        <v>1062280</v>
      </c>
      <c r="E143" t="str">
        <f aca="1">Podatak_JIB</f>
        <v>4400471400001</v>
      </c>
      <c r="F143" t="b">
        <f aca="1">Konsolidovan_izvjestaj</f>
        <v>0</v>
      </c>
      <c r="G143" s="20">
        <f aca="1">Datum_Broj</f>
        <v>45382</v>
      </c>
      <c r="H143">
        <f>VLOOKUP($A143,Aop!$A$2:$P$453,4,0)</f>
        <v>205</v>
      </c>
      <c r="I143">
        <f aca="1">Godina</f>
        <v>2024</v>
      </c>
      <c r="J143" t="str">
        <f aca="1">IF(VLOOKUP($H143,INDIRECT("Lookup_"&amp;$B143),IF(LEFT($B143,2)="BS",R$2,R$1),0)="","",VLOOKUP($H143,INDIRECT("Lookup_"&amp;$B143),IF($B143="BSp",R$2,R$1),0))</f>
        <v/>
      </c>
      <c r="K143"/>
      <c r="L143"/>
      <c r="M143" t="str">
        <f aca="1">IF(VLOOKUP($H143,INDIRECT("Lookup_"&amp;$B143),IF(LEFT($B143,2)="BS",S$2,S$1),0)="","",VLOOKUP($H143,INDIRECT("Lookup_"&amp;$B143),IF(LEFT($B143,2)="BS",S$2,S$1),0))</f>
        <v/>
      </c>
      <c r="N143" t="str">
        <f aca="1">IF(VLOOKUP($H143,INDIRECT("Lookup_"&amp;$B143),IF(LEFT($B143,2)="BS",S$2,S$1),0)="","",VLOOKUP($H143,INDIRECT("Lookup_"&amp;$B143),IF(LEFT($B143,2)="BS",S$2,S$1),0))</f>
        <v/>
      </c>
    </row>
    <row r="144" spans="1:14">
      <c r="A144" t="n">
        <v>144</v>
      </c>
      <c r="B144" t="str">
        <f>VLOOKUP($A144,Aop!$A$2:$P$453,2,0)</f>
        <v>BUa</v>
      </c>
      <c r="C144" t="n">
        <v>27</v>
      </c>
      <c r="D144" t="str">
        <f aca="1">Podatak_MB</f>
        <v>1062280</v>
      </c>
      <c r="E144" t="str">
        <f aca="1">Podatak_JIB</f>
        <v>4400471400001</v>
      </c>
      <c r="F144" t="b">
        <f aca="1">Konsolidovan_izvjestaj</f>
        <v>0</v>
      </c>
      <c r="G144" s="20">
        <f aca="1">Datum_Broj</f>
        <v>45382</v>
      </c>
      <c r="H144">
        <f>VLOOKUP($A144,Aop!$A$2:$P$453,4,0)</f>
        <v>206</v>
      </c>
      <c r="I144">
        <f aca="1">Godina</f>
        <v>2024</v>
      </c>
      <c r="J144" t="str">
        <f aca="1">IF(VLOOKUP($H144,INDIRECT("Lookup_"&amp;$B144),IF(LEFT($B144,2)="BS",R$2,R$1),0)="","",VLOOKUP($H144,INDIRECT("Lookup_"&amp;$B144),IF($B144="BSp",R$2,R$1),0))</f>
        <v/>
      </c>
      <c r="K144"/>
      <c r="L144"/>
      <c r="M144" s="571">
        <f aca="1">IF(VLOOKUP($H144,INDIRECT("Lookup_"&amp;$B144),IF(LEFT($B144,2)="BS",S$2,S$1),0)="","",VLOOKUP($H144,INDIRECT("Lookup_"&amp;$B144),IF(LEFT($B144,2)="BS",S$2,S$1),0))</f>
        <v>187907</v>
      </c>
      <c r="N144" s="571">
        <f aca="1">IF(VLOOKUP($H144,INDIRECT("Lookup_"&amp;$B144),IF(LEFT($B144,2)="BS",S$2,S$1),0)="","",VLOOKUP($H144,INDIRECT("Lookup_"&amp;$B144),IF(LEFT($B144,2)="BS",S$2,S$1),0))</f>
        <v>187907</v>
      </c>
    </row>
    <row r="145" spans="1:14">
      <c r="A145" t="n">
        <v>145</v>
      </c>
      <c r="B145" t="str">
        <f>VLOOKUP($A145,Aop!$A$2:$P$453,2,0)</f>
        <v>BUa</v>
      </c>
      <c r="C145" t="n">
        <v>27</v>
      </c>
      <c r="D145" t="str">
        <f aca="1">Podatak_MB</f>
        <v>1062280</v>
      </c>
      <c r="E145" t="str">
        <f aca="1">Podatak_JIB</f>
        <v>4400471400001</v>
      </c>
      <c r="F145" t="b">
        <f aca="1">Konsolidovan_izvjestaj</f>
        <v>0</v>
      </c>
      <c r="G145" s="20">
        <f aca="1">Datum_Broj</f>
        <v>45382</v>
      </c>
      <c r="H145">
        <f>VLOOKUP($A145,Aop!$A$2:$P$453,4,0)</f>
        <v>207</v>
      </c>
      <c r="I145">
        <f aca="1">Godina</f>
        <v>2024</v>
      </c>
      <c r="J145" t="str">
        <f aca="1">IF(VLOOKUP($H145,INDIRECT("Lookup_"&amp;$B145),IF(LEFT($B145,2)="BS",R$2,R$1),0)="","",VLOOKUP($H145,INDIRECT("Lookup_"&amp;$B145),IF($B145="BSp",R$2,R$1),0))</f>
        <v/>
      </c>
      <c r="K145"/>
      <c r="L145"/>
      <c r="M145" s="575">
        <f aca="1">IF(VLOOKUP($H145,INDIRECT("Lookup_"&amp;$B145),IF(LEFT($B145,2)="BS",S$2,S$1),0)="","",VLOOKUP($H145,INDIRECT("Lookup_"&amp;$B145),IF(LEFT($B145,2)="BS",S$2,S$1),0))</f>
        <v>48672</v>
      </c>
      <c r="N145" s="575">
        <f aca="1">IF(VLOOKUP($H145,INDIRECT("Lookup_"&amp;$B145),IF(LEFT($B145,2)="BS",S$2,S$1),0)="","",VLOOKUP($H145,INDIRECT("Lookup_"&amp;$B145),IF(LEFT($B145,2)="BS",S$2,S$1),0))</f>
        <v>48672</v>
      </c>
    </row>
    <row r="146" spans="1:14">
      <c r="A146" t="n">
        <v>146</v>
      </c>
      <c r="B146" t="str">
        <f>VLOOKUP($A146,Aop!$A$2:$P$453,2,0)</f>
        <v>BUa</v>
      </c>
      <c r="C146" t="n">
        <v>27</v>
      </c>
      <c r="D146" t="str">
        <f aca="1">Podatak_MB</f>
        <v>1062280</v>
      </c>
      <c r="E146" t="str">
        <f aca="1">Podatak_JIB</f>
        <v>4400471400001</v>
      </c>
      <c r="F146" t="b">
        <f aca="1">Konsolidovan_izvjestaj</f>
        <v>0</v>
      </c>
      <c r="G146" s="20">
        <f aca="1">Datum_Broj</f>
        <v>45382</v>
      </c>
      <c r="H146">
        <f>VLOOKUP($A146,Aop!$A$2:$P$453,4,0)</f>
        <v>208</v>
      </c>
      <c r="I146">
        <f aca="1">Godina</f>
        <v>2024</v>
      </c>
      <c r="J146" t="str">
        <f aca="1">IF(VLOOKUP($H146,INDIRECT("Lookup_"&amp;$B146),IF(LEFT($B146,2)="BS",R$2,R$1),0)="","",VLOOKUP($H146,INDIRECT("Lookup_"&amp;$B146),IF($B146="BSp",R$2,R$1),0))</f>
        <v/>
      </c>
      <c r="K146"/>
      <c r="L146"/>
      <c r="M146" s="575">
        <f aca="1">IF(VLOOKUP($H146,INDIRECT("Lookup_"&amp;$B146),IF(LEFT($B146,2)="BS",S$2,S$1),0)="","",VLOOKUP($H146,INDIRECT("Lookup_"&amp;$B146),IF(LEFT($B146,2)="BS",S$2,S$1),0))</f>
        <v>139235</v>
      </c>
      <c r="N146" s="575">
        <f aca="1">IF(VLOOKUP($H146,INDIRECT("Lookup_"&amp;$B146),IF(LEFT($B146,2)="BS",S$2,S$1),0)="","",VLOOKUP($H146,INDIRECT("Lookup_"&amp;$B146),IF(LEFT($B146,2)="BS",S$2,S$1),0))</f>
        <v>139235</v>
      </c>
    </row>
    <row r="147" spans="1:14">
      <c r="A147" t="n">
        <v>147</v>
      </c>
      <c r="B147" t="str">
        <f>VLOOKUP($A147,Aop!$A$2:$P$453,2,0)</f>
        <v>BUa</v>
      </c>
      <c r="C147" t="n">
        <v>27</v>
      </c>
      <c r="D147" t="str">
        <f aca="1">Podatak_MB</f>
        <v>1062280</v>
      </c>
      <c r="E147" t="str">
        <f aca="1">Podatak_JIB</f>
        <v>4400471400001</v>
      </c>
      <c r="F147" t="b">
        <f aca="1">Konsolidovan_izvjestaj</f>
        <v>0</v>
      </c>
      <c r="G147" s="20">
        <f aca="1">Datum_Broj</f>
        <v>45382</v>
      </c>
      <c r="H147">
        <f>VLOOKUP($A147,Aop!$A$2:$P$453,4,0)</f>
        <v>209</v>
      </c>
      <c r="I147">
        <f aca="1">Godina</f>
        <v>2024</v>
      </c>
      <c r="J147" t="str">
        <f aca="1">IF(VLOOKUP($H147,INDIRECT("Lookup_"&amp;$B147),IF(LEFT($B147,2)="BS",R$2,R$1),0)="","",VLOOKUP($H147,INDIRECT("Lookup_"&amp;$B147),IF($B147="BSp",R$2,R$1),0))</f>
        <v/>
      </c>
      <c r="K147"/>
      <c r="L147"/>
      <c r="M147" t="str">
        <f aca="1">IF(VLOOKUP($H147,INDIRECT("Lookup_"&amp;$B147),IF(LEFT($B147,2)="BS",S$2,S$1),0)="","",VLOOKUP($H147,INDIRECT("Lookup_"&amp;$B147),IF(LEFT($B147,2)="BS",S$2,S$1),0))</f>
        <v/>
      </c>
      <c r="N147" t="str">
        <f aca="1">IF(VLOOKUP($H147,INDIRECT("Lookup_"&amp;$B147),IF(LEFT($B147,2)="BS",S$2,S$1),0)="","",VLOOKUP($H147,INDIRECT("Lookup_"&amp;$B147),IF(LEFT($B147,2)="BS",S$2,S$1),0))</f>
        <v/>
      </c>
    </row>
    <row r="148" spans="1:14">
      <c r="A148" t="n">
        <v>148</v>
      </c>
      <c r="B148" t="str">
        <f>VLOOKUP($A148,Aop!$A$2:$P$453,2,0)</f>
        <v>BUa</v>
      </c>
      <c r="C148" t="n">
        <v>27</v>
      </c>
      <c r="D148" t="str">
        <f aca="1">Podatak_MB</f>
        <v>1062280</v>
      </c>
      <c r="E148" t="str">
        <f aca="1">Podatak_JIB</f>
        <v>4400471400001</v>
      </c>
      <c r="F148" t="b">
        <f aca="1">Konsolidovan_izvjestaj</f>
        <v>0</v>
      </c>
      <c r="G148" s="20">
        <f aca="1">Datum_Broj</f>
        <v>45382</v>
      </c>
      <c r="H148">
        <f>VLOOKUP($A148,Aop!$A$2:$P$453,4,0)</f>
        <v>210</v>
      </c>
      <c r="I148">
        <f aca="1">Godina</f>
        <v>2024</v>
      </c>
      <c r="J148" t="str">
        <f aca="1">IF(VLOOKUP($H148,INDIRECT("Lookup_"&amp;$B148),IF(LEFT($B148,2)="BS",R$2,R$1),0)="","",VLOOKUP($H148,INDIRECT("Lookup_"&amp;$B148),IF($B148="BSp",R$2,R$1),0))</f>
        <v/>
      </c>
      <c r="K148"/>
      <c r="L148"/>
      <c r="M148" s="571">
        <f aca="1">IF(VLOOKUP($H148,INDIRECT("Lookup_"&amp;$B148),IF(LEFT($B148,2)="BS",S$2,S$1),0)="","",VLOOKUP($H148,INDIRECT("Lookup_"&amp;$B148),IF(LEFT($B148,2)="BS",S$2,S$1),0))</f>
        <v>23797</v>
      </c>
      <c r="N148" s="571">
        <f aca="1">IF(VLOOKUP($H148,INDIRECT("Lookup_"&amp;$B148),IF(LEFT($B148,2)="BS",S$2,S$1),0)="","",VLOOKUP($H148,INDIRECT("Lookup_"&amp;$B148),IF(LEFT($B148,2)="BS",S$2,S$1),0))</f>
        <v>23797</v>
      </c>
    </row>
    <row r="149" spans="1:14">
      <c r="A149" t="n">
        <v>149</v>
      </c>
      <c r="B149" t="str">
        <f>VLOOKUP($A149,Aop!$A$2:$P$453,2,0)</f>
        <v>BUa</v>
      </c>
      <c r="C149" t="n">
        <v>27</v>
      </c>
      <c r="D149" t="str">
        <f aca="1">Podatak_MB</f>
        <v>1062280</v>
      </c>
      <c r="E149" t="str">
        <f aca="1">Podatak_JIB</f>
        <v>4400471400001</v>
      </c>
      <c r="F149" t="b">
        <f aca="1">Konsolidovan_izvjestaj</f>
        <v>0</v>
      </c>
      <c r="G149" s="20">
        <f aca="1">Datum_Broj</f>
        <v>45382</v>
      </c>
      <c r="H149">
        <f>VLOOKUP($A149,Aop!$A$2:$P$453,4,0)</f>
        <v>211</v>
      </c>
      <c r="I149">
        <f aca="1">Godina</f>
        <v>2024</v>
      </c>
      <c r="J149" t="str">
        <f aca="1">IF(VLOOKUP($H149,INDIRECT("Lookup_"&amp;$B149),IF(LEFT($B149,2)="BS",R$2,R$1),0)="","",VLOOKUP($H149,INDIRECT("Lookup_"&amp;$B149),IF($B149="BSp",R$2,R$1),0))</f>
        <v/>
      </c>
      <c r="K149"/>
      <c r="L149"/>
      <c r="M149" t="str">
        <f aca="1">IF(VLOOKUP($H149,INDIRECT("Lookup_"&amp;$B149),IF(LEFT($B149,2)="BS",S$2,S$1),0)="","",VLOOKUP($H149,INDIRECT("Lookup_"&amp;$B149),IF(LEFT($B149,2)="BS",S$2,S$1),0))</f>
        <v/>
      </c>
      <c r="N149" t="str">
        <f aca="1">IF(VLOOKUP($H149,INDIRECT("Lookup_"&amp;$B149),IF(LEFT($B149,2)="BS",S$2,S$1),0)="","",VLOOKUP($H149,INDIRECT("Lookup_"&amp;$B149),IF(LEFT($B149,2)="BS",S$2,S$1),0))</f>
        <v/>
      </c>
    </row>
    <row r="150" spans="1:14">
      <c r="A150" t="n">
        <v>150</v>
      </c>
      <c r="B150" t="str">
        <f>VLOOKUP($A150,Aop!$A$2:$P$453,2,0)</f>
        <v>BUa</v>
      </c>
      <c r="C150" t="n">
        <v>27</v>
      </c>
      <c r="D150" t="str">
        <f aca="1">Podatak_MB</f>
        <v>1062280</v>
      </c>
      <c r="E150" t="str">
        <f aca="1">Podatak_JIB</f>
        <v>4400471400001</v>
      </c>
      <c r="F150" t="b">
        <f aca="1">Konsolidovan_izvjestaj</f>
        <v>0</v>
      </c>
      <c r="G150" s="20">
        <f aca="1">Datum_Broj</f>
        <v>45382</v>
      </c>
      <c r="H150">
        <f>VLOOKUP($A150,Aop!$A$2:$P$453,4,0)</f>
        <v>212</v>
      </c>
      <c r="I150">
        <f aca="1">Godina</f>
        <v>2024</v>
      </c>
      <c r="J150" t="str">
        <f aca="1">IF(VLOOKUP($H150,INDIRECT("Lookup_"&amp;$B150),IF(LEFT($B150,2)="BS",R$2,R$1),0)="","",VLOOKUP($H150,INDIRECT("Lookup_"&amp;$B150),IF($B150="BSp",R$2,R$1),0))</f>
        <v/>
      </c>
      <c r="K150"/>
      <c r="L150"/>
      <c r="M150" s="575">
        <f aca="1">IF(VLOOKUP($H150,INDIRECT("Lookup_"&amp;$B150),IF(LEFT($B150,2)="BS",S$2,S$1),0)="","",VLOOKUP($H150,INDIRECT("Lookup_"&amp;$B150),IF(LEFT($B150,2)="BS",S$2,S$1),0))</f>
        <v>23797</v>
      </c>
      <c r="N150" s="575">
        <f aca="1">IF(VLOOKUP($H150,INDIRECT("Lookup_"&amp;$B150),IF(LEFT($B150,2)="BS",S$2,S$1),0)="","",VLOOKUP($H150,INDIRECT("Lookup_"&amp;$B150),IF(LEFT($B150,2)="BS",S$2,S$1),0))</f>
        <v>23797</v>
      </c>
    </row>
    <row r="151" spans="1:14">
      <c r="A151" t="n">
        <v>151</v>
      </c>
      <c r="B151" t="str">
        <f>VLOOKUP($A151,Aop!$A$2:$P$453,2,0)</f>
        <v>BUa</v>
      </c>
      <c r="C151" t="n">
        <v>27</v>
      </c>
      <c r="D151" t="str">
        <f aca="1">Podatak_MB</f>
        <v>1062280</v>
      </c>
      <c r="E151" t="str">
        <f aca="1">Podatak_JIB</f>
        <v>4400471400001</v>
      </c>
      <c r="F151" t="b">
        <f aca="1">Konsolidovan_izvjestaj</f>
        <v>0</v>
      </c>
      <c r="G151" s="20">
        <f aca="1">Datum_Broj</f>
        <v>45382</v>
      </c>
      <c r="H151">
        <f>VLOOKUP($A151,Aop!$A$2:$P$453,4,0)</f>
        <v>213</v>
      </c>
      <c r="I151">
        <f aca="1">Godina</f>
        <v>2024</v>
      </c>
      <c r="J151" t="str">
        <f aca="1">IF(VLOOKUP($H151,INDIRECT("Lookup_"&amp;$B151),IF(LEFT($B151,2)="BS",R$2,R$1),0)="","",VLOOKUP($H151,INDIRECT("Lookup_"&amp;$B151),IF($B151="BSp",R$2,R$1),0))</f>
        <v/>
      </c>
      <c r="K151"/>
      <c r="L151"/>
      <c r="M151" t="str">
        <f aca="1">IF(VLOOKUP($H151,INDIRECT("Lookup_"&amp;$B151),IF(LEFT($B151,2)="BS",S$2,S$1),0)="","",VLOOKUP($H151,INDIRECT("Lookup_"&amp;$B151),IF(LEFT($B151,2)="BS",S$2,S$1),0))</f>
        <v/>
      </c>
      <c r="N151" t="str">
        <f aca="1">IF(VLOOKUP($H151,INDIRECT("Lookup_"&amp;$B151),IF(LEFT($B151,2)="BS",S$2,S$1),0)="","",VLOOKUP($H151,INDIRECT("Lookup_"&amp;$B151),IF(LEFT($B151,2)="BS",S$2,S$1),0))</f>
        <v/>
      </c>
    </row>
    <row r="152" spans="1:14">
      <c r="A152" t="n">
        <v>152</v>
      </c>
      <c r="B152" t="str">
        <f>VLOOKUP($A152,Aop!$A$2:$P$453,2,0)</f>
        <v>BUa</v>
      </c>
      <c r="C152" t="n">
        <v>27</v>
      </c>
      <c r="D152" t="str">
        <f aca="1">Podatak_MB</f>
        <v>1062280</v>
      </c>
      <c r="E152" t="str">
        <f aca="1">Podatak_JIB</f>
        <v>4400471400001</v>
      </c>
      <c r="F152" t="b">
        <f aca="1">Konsolidovan_izvjestaj</f>
        <v>0</v>
      </c>
      <c r="G152" s="20">
        <f aca="1">Datum_Broj</f>
        <v>45382</v>
      </c>
      <c r="H152">
        <f>VLOOKUP($A152,Aop!$A$2:$P$453,4,0)</f>
        <v>214</v>
      </c>
      <c r="I152">
        <f aca="1">Godina</f>
        <v>2024</v>
      </c>
      <c r="J152" t="str">
        <f aca="1">IF(VLOOKUP($H152,INDIRECT("Lookup_"&amp;$B152),IF(LEFT($B152,2)="BS",R$2,R$1),0)="","",VLOOKUP($H152,INDIRECT("Lookup_"&amp;$B152),IF($B152="BSp",R$2,R$1),0))</f>
        <v/>
      </c>
      <c r="K152"/>
      <c r="L152"/>
      <c r="M152" s="575">
        <f aca="1">IF(VLOOKUP($H152,INDIRECT("Lookup_"&amp;$B152),IF(LEFT($B152,2)="BS",S$2,S$1),0)="","",VLOOKUP($H152,INDIRECT("Lookup_"&amp;$B152),IF(LEFT($B152,2)="BS",S$2,S$1),0))</f>
        <v>94412</v>
      </c>
      <c r="N152" s="575">
        <f aca="1">IF(VLOOKUP($H152,INDIRECT("Lookup_"&amp;$B152),IF(LEFT($B152,2)="BS",S$2,S$1),0)="","",VLOOKUP($H152,INDIRECT("Lookup_"&amp;$B152),IF(LEFT($B152,2)="BS",S$2,S$1),0))</f>
        <v>94412</v>
      </c>
    </row>
    <row r="153" spans="1:14">
      <c r="A153" t="n">
        <v>153</v>
      </c>
      <c r="B153" t="str">
        <f>VLOOKUP($A153,Aop!$A$2:$P$453,2,0)</f>
        <v>BUa</v>
      </c>
      <c r="C153" t="n">
        <v>27</v>
      </c>
      <c r="D153" t="str">
        <f aca="1">Podatak_MB</f>
        <v>1062280</v>
      </c>
      <c r="E153" t="str">
        <f aca="1">Podatak_JIB</f>
        <v>4400471400001</v>
      </c>
      <c r="F153" t="b">
        <f aca="1">Konsolidovan_izvjestaj</f>
        <v>0</v>
      </c>
      <c r="G153" s="20">
        <f aca="1">Datum_Broj</f>
        <v>45382</v>
      </c>
      <c r="H153">
        <f>VLOOKUP($A153,Aop!$A$2:$P$453,4,0)</f>
        <v>215</v>
      </c>
      <c r="I153">
        <f aca="1">Godina</f>
        <v>2024</v>
      </c>
      <c r="J153" t="str">
        <f aca="1">IF(VLOOKUP($H153,INDIRECT("Lookup_"&amp;$B153),IF(LEFT($B153,2)="BS",R$2,R$1),0)="","",VLOOKUP($H153,INDIRECT("Lookup_"&amp;$B153),IF($B153="BSp",R$2,R$1),0))</f>
        <v/>
      </c>
      <c r="K153"/>
      <c r="L153"/>
      <c r="M153" t="str">
        <f aca="1">IF(VLOOKUP($H153,INDIRECT("Lookup_"&amp;$B153),IF(LEFT($B153,2)="BS",S$2,S$1),0)="","",VLOOKUP($H153,INDIRECT("Lookup_"&amp;$B153),IF(LEFT($B153,2)="BS",S$2,S$1),0))</f>
        <v/>
      </c>
      <c r="N153" t="str">
        <f aca="1">IF(VLOOKUP($H153,INDIRECT("Lookup_"&amp;$B153),IF(LEFT($B153,2)="BS",S$2,S$1),0)="","",VLOOKUP($H153,INDIRECT("Lookup_"&amp;$B153),IF(LEFT($B153,2)="BS",S$2,S$1),0))</f>
        <v/>
      </c>
    </row>
    <row r="154" spans="1:14">
      <c r="A154" t="n">
        <v>154</v>
      </c>
      <c r="B154" t="str">
        <f>VLOOKUP($A154,Aop!$A$2:$P$453,2,0)</f>
        <v>BUa</v>
      </c>
      <c r="C154" t="n">
        <v>27</v>
      </c>
      <c r="D154" t="str">
        <f aca="1">Podatak_MB</f>
        <v>1062280</v>
      </c>
      <c r="E154" t="str">
        <f aca="1">Podatak_JIB</f>
        <v>4400471400001</v>
      </c>
      <c r="F154" t="b">
        <f aca="1">Konsolidovan_izvjestaj</f>
        <v>0</v>
      </c>
      <c r="G154" s="20">
        <f aca="1">Datum_Broj</f>
        <v>45382</v>
      </c>
      <c r="H154">
        <f>VLOOKUP($A154,Aop!$A$2:$P$453,4,0)</f>
        <v>216</v>
      </c>
      <c r="I154">
        <f aca="1">Godina</f>
        <v>2024</v>
      </c>
      <c r="J154" t="str">
        <f aca="1">IF(VLOOKUP($H154,INDIRECT("Lookup_"&amp;$B154),IF(LEFT($B154,2)="BS",R$2,R$1),0)="","",VLOOKUP($H154,INDIRECT("Lookup_"&amp;$B154),IF($B154="BSp",R$2,R$1),0))</f>
        <v/>
      </c>
      <c r="K154"/>
      <c r="L154"/>
      <c r="M154" t="str">
        <f aca="1">IF(VLOOKUP($H154,INDIRECT("Lookup_"&amp;$B154),IF(LEFT($B154,2)="BS",S$2,S$1),0)="","",VLOOKUP($H154,INDIRECT("Lookup_"&amp;$B154),IF(LEFT($B154,2)="BS",S$2,S$1),0))</f>
        <v/>
      </c>
      <c r="N154" t="str">
        <f aca="1">IF(VLOOKUP($H154,INDIRECT("Lookup_"&amp;$B154),IF(LEFT($B154,2)="BS",S$2,S$1),0)="","",VLOOKUP($H154,INDIRECT("Lookup_"&amp;$B154),IF(LEFT($B154,2)="BS",S$2,S$1),0))</f>
        <v/>
      </c>
    </row>
    <row r="155" spans="1:14">
      <c r="A155" t="n">
        <v>155</v>
      </c>
      <c r="B155" t="str">
        <f>VLOOKUP($A155,Aop!$A$2:$P$453,2,0)</f>
        <v>BUa</v>
      </c>
      <c r="C155" t="n">
        <v>27</v>
      </c>
      <c r="D155" t="str">
        <f aca="1">Podatak_MB</f>
        <v>1062280</v>
      </c>
      <c r="E155" t="str">
        <f aca="1">Podatak_JIB</f>
        <v>4400471400001</v>
      </c>
      <c r="F155" t="b">
        <f aca="1">Konsolidovan_izvjestaj</f>
        <v>0</v>
      </c>
      <c r="G155" s="20">
        <f aca="1">Datum_Broj</f>
        <v>45382</v>
      </c>
      <c r="H155">
        <f>VLOOKUP($A155,Aop!$A$2:$P$453,4,0)</f>
        <v>217</v>
      </c>
      <c r="I155">
        <f aca="1">Godina</f>
        <v>2024</v>
      </c>
      <c r="J155" t="str">
        <f aca="1">IF(VLOOKUP($H155,INDIRECT("Lookup_"&amp;$B155),IF(LEFT($B155,2)="BS",R$2,R$1),0)="","",VLOOKUP($H155,INDIRECT("Lookup_"&amp;$B155),IF($B155="BSp",R$2,R$1),0))</f>
        <v/>
      </c>
      <c r="K155"/>
      <c r="L155"/>
      <c r="M155" t="str">
        <f aca="1">IF(VLOOKUP($H155,INDIRECT("Lookup_"&amp;$B155),IF(LEFT($B155,2)="BS",S$2,S$1),0)="","",VLOOKUP($H155,INDIRECT("Lookup_"&amp;$B155),IF(LEFT($B155,2)="BS",S$2,S$1),0))</f>
        <v/>
      </c>
      <c r="N155" t="str">
        <f aca="1">IF(VLOOKUP($H155,INDIRECT("Lookup_"&amp;$B155),IF(LEFT($B155,2)="BS",S$2,S$1),0)="","",VLOOKUP($H155,INDIRECT("Lookup_"&amp;$B155),IF(LEFT($B155,2)="BS",S$2,S$1),0))</f>
        <v/>
      </c>
    </row>
    <row r="156" spans="1:14">
      <c r="A156" t="n">
        <v>156</v>
      </c>
      <c r="B156" t="str">
        <f>VLOOKUP($A156,Aop!$A$2:$P$453,2,0)</f>
        <v>BUa</v>
      </c>
      <c r="C156" t="n">
        <v>27</v>
      </c>
      <c r="D156" t="str">
        <f aca="1">Podatak_MB</f>
        <v>1062280</v>
      </c>
      <c r="E156" t="str">
        <f aca="1">Podatak_JIB</f>
        <v>4400471400001</v>
      </c>
      <c r="F156" t="b">
        <f aca="1">Konsolidovan_izvjestaj</f>
        <v>0</v>
      </c>
      <c r="G156" s="20">
        <f aca="1">Datum_Broj</f>
        <v>45382</v>
      </c>
      <c r="H156">
        <f>VLOOKUP($A156,Aop!$A$2:$P$453,4,0)</f>
        <v>218</v>
      </c>
      <c r="I156">
        <f aca="1">Godina</f>
        <v>2024</v>
      </c>
      <c r="J156" t="str">
        <f aca="1">IF(VLOOKUP($H156,INDIRECT("Lookup_"&amp;$B156),IF(LEFT($B156,2)="BS",R$2,R$1),0)="","",VLOOKUP($H156,INDIRECT("Lookup_"&amp;$B156),IF($B156="BSp",R$2,R$1),0))</f>
        <v/>
      </c>
      <c r="K156"/>
      <c r="L156"/>
      <c r="M156" s="575">
        <f aca="1">IF(VLOOKUP($H156,INDIRECT("Lookup_"&amp;$B156),IF(LEFT($B156,2)="BS",S$2,S$1),0)="","",VLOOKUP($H156,INDIRECT("Lookup_"&amp;$B156),IF(LEFT($B156,2)="BS",S$2,S$1),0))</f>
        <v>5463</v>
      </c>
      <c r="N156" s="575">
        <f aca="1">IF(VLOOKUP($H156,INDIRECT("Lookup_"&amp;$B156),IF(LEFT($B156,2)="BS",S$2,S$1),0)="","",VLOOKUP($H156,INDIRECT("Lookup_"&amp;$B156),IF(LEFT($B156,2)="BS",S$2,S$1),0))</f>
        <v>5463</v>
      </c>
    </row>
    <row r="157" spans="1:14">
      <c r="A157" t="n">
        <v>157</v>
      </c>
      <c r="B157" t="str">
        <f>VLOOKUP($A157,Aop!$A$2:$P$453,2,0)</f>
        <v>BUa</v>
      </c>
      <c r="C157" t="n">
        <v>27</v>
      </c>
      <c r="D157" t="str">
        <f aca="1">Podatak_MB</f>
        <v>1062280</v>
      </c>
      <c r="E157" t="str">
        <f aca="1">Podatak_JIB</f>
        <v>4400471400001</v>
      </c>
      <c r="F157" t="b">
        <f aca="1">Konsolidovan_izvjestaj</f>
        <v>0</v>
      </c>
      <c r="G157" s="20">
        <f aca="1">Datum_Broj</f>
        <v>45382</v>
      </c>
      <c r="H157">
        <f>VLOOKUP($A157,Aop!$A$2:$P$453,4,0)</f>
        <v>219</v>
      </c>
      <c r="I157">
        <f aca="1">Godina</f>
        <v>2024</v>
      </c>
      <c r="J157" t="str">
        <f aca="1">IF(VLOOKUP($H157,INDIRECT("Lookup_"&amp;$B157),IF(LEFT($B157,2)="BS",R$2,R$1),0)="","",VLOOKUP($H157,INDIRECT("Lookup_"&amp;$B157),IF($B157="BSp",R$2,R$1),0))</f>
        <v/>
      </c>
      <c r="K157"/>
      <c r="L157"/>
      <c r="M157" s="571">
        <f aca="1">IF(VLOOKUP($H157,INDIRECT("Lookup_"&amp;$B157),IF(LEFT($B157,2)="BS",S$2,S$1),0)="","",VLOOKUP($H157,INDIRECT("Lookup_"&amp;$B157),IF(LEFT($B157,2)="BS",S$2,S$1),0))</f>
        <v>314384</v>
      </c>
      <c r="N157" s="571">
        <f aca="1">IF(VLOOKUP($H157,INDIRECT("Lookup_"&amp;$B157),IF(LEFT($B157,2)="BS",S$2,S$1),0)="","",VLOOKUP($H157,INDIRECT("Lookup_"&amp;$B157),IF(LEFT($B157,2)="BS",S$2,S$1),0))</f>
        <v>314384</v>
      </c>
    </row>
    <row r="158" spans="1:14">
      <c r="A158" t="n">
        <v>158</v>
      </c>
      <c r="B158" t="str">
        <f>VLOOKUP($A158,Aop!$A$2:$P$453,2,0)</f>
        <v>BUa</v>
      </c>
      <c r="C158" t="n">
        <v>27</v>
      </c>
      <c r="D158" t="str">
        <f aca="1">Podatak_MB</f>
        <v>1062280</v>
      </c>
      <c r="E158" t="str">
        <f aca="1">Podatak_JIB</f>
        <v>4400471400001</v>
      </c>
      <c r="F158" t="b">
        <f aca="1">Konsolidovan_izvjestaj</f>
        <v>0</v>
      </c>
      <c r="G158" s="20">
        <f aca="1">Datum_Broj</f>
        <v>45382</v>
      </c>
      <c r="H158">
        <f>VLOOKUP($A158,Aop!$A$2:$P$453,4,0)</f>
        <v>220</v>
      </c>
      <c r="I158">
        <f aca="1">Godina</f>
        <v>2024</v>
      </c>
      <c r="J158" t="str">
        <f aca="1">IF(VLOOKUP($H158,INDIRECT("Lookup_"&amp;$B158),IF(LEFT($B158,2)="BS",R$2,R$1),0)="","",VLOOKUP($H158,INDIRECT("Lookup_"&amp;$B158),IF($B158="BSp",R$2,R$1),0))</f>
        <v/>
      </c>
      <c r="K158"/>
      <c r="L158"/>
      <c r="M158" t="str">
        <f aca="1">IF(VLOOKUP($H158,INDIRECT("Lookup_"&amp;$B158),IF(LEFT($B158,2)="BS",S$2,S$1),0)="","",VLOOKUP($H158,INDIRECT("Lookup_"&amp;$B158),IF(LEFT($B158,2)="BS",S$2,S$1),0))</f>
        <v/>
      </c>
      <c r="N158" t="str">
        <f aca="1">IF(VLOOKUP($H158,INDIRECT("Lookup_"&amp;$B158),IF(LEFT($B158,2)="BS",S$2,S$1),0)="","",VLOOKUP($H158,INDIRECT("Lookup_"&amp;$B158),IF(LEFT($B158,2)="BS",S$2,S$1),0))</f>
        <v/>
      </c>
    </row>
    <row r="159" spans="1:14">
      <c r="A159" t="n">
        <v>159</v>
      </c>
      <c r="B159" t="str">
        <f>VLOOKUP($A159,Aop!$A$2:$P$453,2,0)</f>
        <v>BUa</v>
      </c>
      <c r="C159" t="n">
        <v>27</v>
      </c>
      <c r="D159" t="str">
        <f aca="1">Podatak_MB</f>
        <v>1062280</v>
      </c>
      <c r="E159" t="str">
        <f aca="1">Podatak_JIB</f>
        <v>4400471400001</v>
      </c>
      <c r="F159" t="b">
        <f aca="1">Konsolidovan_izvjestaj</f>
        <v>0</v>
      </c>
      <c r="G159" s="20">
        <f aca="1">Datum_Broj</f>
        <v>45382</v>
      </c>
      <c r="H159">
        <f>VLOOKUP($A159,Aop!$A$2:$P$453,4,0)</f>
        <v>221</v>
      </c>
      <c r="I159">
        <f aca="1">Godina</f>
        <v>2024</v>
      </c>
      <c r="J159" t="str">
        <f aca="1">IF(VLOOKUP($H159,INDIRECT("Lookup_"&amp;$B159),IF(LEFT($B159,2)="BS",R$2,R$1),0)="","",VLOOKUP($H159,INDIRECT("Lookup_"&amp;$B159),IF($B159="BSp",R$2,R$1),0))</f>
        <v/>
      </c>
      <c r="K159"/>
      <c r="L159"/>
      <c r="M159" s="575">
        <f aca="1">IF(VLOOKUP($H159,INDIRECT("Lookup_"&amp;$B159),IF(LEFT($B159,2)="BS",S$2,S$1),0)="","",VLOOKUP($H159,INDIRECT("Lookup_"&amp;$B159),IF(LEFT($B159,2)="BS",S$2,S$1),0))</f>
        <v>108867</v>
      </c>
      <c r="N159" s="575">
        <f aca="1">IF(VLOOKUP($H159,INDIRECT("Lookup_"&amp;$B159),IF(LEFT($B159,2)="BS",S$2,S$1),0)="","",VLOOKUP($H159,INDIRECT("Lookup_"&amp;$B159),IF(LEFT($B159,2)="BS",S$2,S$1),0))</f>
        <v>108867</v>
      </c>
    </row>
    <row r="160" spans="1:14">
      <c r="A160" t="n">
        <v>160</v>
      </c>
      <c r="B160" t="str">
        <f>VLOOKUP($A160,Aop!$A$2:$P$453,2,0)</f>
        <v>BUa</v>
      </c>
      <c r="C160" t="n">
        <v>27</v>
      </c>
      <c r="D160" t="str">
        <f aca="1">Podatak_MB</f>
        <v>1062280</v>
      </c>
      <c r="E160" t="str">
        <f aca="1">Podatak_JIB</f>
        <v>4400471400001</v>
      </c>
      <c r="F160" t="b">
        <f aca="1">Konsolidovan_izvjestaj</f>
        <v>0</v>
      </c>
      <c r="G160" s="20">
        <f aca="1">Datum_Broj</f>
        <v>45382</v>
      </c>
      <c r="H160">
        <f>VLOOKUP($A160,Aop!$A$2:$P$453,4,0)</f>
        <v>222</v>
      </c>
      <c r="I160">
        <f aca="1">Godina</f>
        <v>2024</v>
      </c>
      <c r="J160" t="str">
        <f aca="1">IF(VLOOKUP($H160,INDIRECT("Lookup_"&amp;$B160),IF(LEFT($B160,2)="BS",R$2,R$1),0)="","",VLOOKUP($H160,INDIRECT("Lookup_"&amp;$B160),IF($B160="BSp",R$2,R$1),0))</f>
        <v/>
      </c>
      <c r="K160"/>
      <c r="L160"/>
      <c r="M160" s="575">
        <f aca="1">IF(VLOOKUP($H160,INDIRECT("Lookup_"&amp;$B160),IF(LEFT($B160,2)="BS",S$2,S$1),0)="","",VLOOKUP($H160,INDIRECT("Lookup_"&amp;$B160),IF(LEFT($B160,2)="BS",S$2,S$1),0))</f>
        <v>17871</v>
      </c>
      <c r="N160" s="575">
        <f aca="1">IF(VLOOKUP($H160,INDIRECT("Lookup_"&amp;$B160),IF(LEFT($B160,2)="BS",S$2,S$1),0)="","",VLOOKUP($H160,INDIRECT("Lookup_"&amp;$B160),IF(LEFT($B160,2)="BS",S$2,S$1),0))</f>
        <v>17871</v>
      </c>
    </row>
    <row r="161" spans="1:14">
      <c r="A161" t="n">
        <v>161</v>
      </c>
      <c r="B161" t="str">
        <f>VLOOKUP($A161,Aop!$A$2:$P$453,2,0)</f>
        <v>BUa</v>
      </c>
      <c r="C161" t="n">
        <v>27</v>
      </c>
      <c r="D161" t="str">
        <f aca="1">Podatak_MB</f>
        <v>1062280</v>
      </c>
      <c r="E161" t="str">
        <f aca="1">Podatak_JIB</f>
        <v>4400471400001</v>
      </c>
      <c r="F161" t="b">
        <f aca="1">Konsolidovan_izvjestaj</f>
        <v>0</v>
      </c>
      <c r="G161" s="20">
        <f aca="1">Datum_Broj</f>
        <v>45382</v>
      </c>
      <c r="H161">
        <f>VLOOKUP($A161,Aop!$A$2:$P$453,4,0)</f>
        <v>223</v>
      </c>
      <c r="I161">
        <f aca="1">Godina</f>
        <v>2024</v>
      </c>
      <c r="J161" t="str">
        <f aca="1">IF(VLOOKUP($H161,INDIRECT("Lookup_"&amp;$B161),IF(LEFT($B161,2)="BS",R$2,R$1),0)="","",VLOOKUP($H161,INDIRECT("Lookup_"&amp;$B161),IF($B161="BSp",R$2,R$1),0))</f>
        <v/>
      </c>
      <c r="K161"/>
      <c r="L161"/>
      <c r="M161" s="571">
        <f aca="1">IF(VLOOKUP($H161,INDIRECT("Lookup_"&amp;$B161),IF(LEFT($B161,2)="BS",S$2,S$1),0)="","",VLOOKUP($H161,INDIRECT("Lookup_"&amp;$B161),IF(LEFT($B161,2)="BS",S$2,S$1),0))</f>
        <v>104220</v>
      </c>
      <c r="N161" s="571">
        <f aca="1">IF(VLOOKUP($H161,INDIRECT("Lookup_"&amp;$B161),IF(LEFT($B161,2)="BS",S$2,S$1),0)="","",VLOOKUP($H161,INDIRECT("Lookup_"&amp;$B161),IF(LEFT($B161,2)="BS",S$2,S$1),0))</f>
        <v>104220</v>
      </c>
    </row>
    <row r="162" spans="1:14">
      <c r="A162" t="n">
        <v>162</v>
      </c>
      <c r="B162" t="str">
        <f>VLOOKUP($A162,Aop!$A$2:$P$453,2,0)</f>
        <v>BUa</v>
      </c>
      <c r="C162" t="n">
        <v>27</v>
      </c>
      <c r="D162" t="str">
        <f aca="1">Podatak_MB</f>
        <v>1062280</v>
      </c>
      <c r="E162" t="str">
        <f aca="1">Podatak_JIB</f>
        <v>4400471400001</v>
      </c>
      <c r="F162" t="b">
        <f aca="1">Konsolidovan_izvjestaj</f>
        <v>0</v>
      </c>
      <c r="G162" s="20">
        <f aca="1">Datum_Broj</f>
        <v>45382</v>
      </c>
      <c r="H162">
        <f>VLOOKUP($A162,Aop!$A$2:$P$453,4,0)</f>
        <v>224</v>
      </c>
      <c r="I162">
        <f aca="1">Godina</f>
        <v>2024</v>
      </c>
      <c r="J162" t="str">
        <f aca="1">IF(VLOOKUP($H162,INDIRECT("Lookup_"&amp;$B162),IF(LEFT($B162,2)="BS",R$2,R$1),0)="","",VLOOKUP($H162,INDIRECT("Lookup_"&amp;$B162),IF($B162="BSp",R$2,R$1),0))</f>
        <v/>
      </c>
      <c r="K162"/>
      <c r="L162"/>
      <c r="M162" s="575">
        <f aca="1">IF(VLOOKUP($H162,INDIRECT("Lookup_"&amp;$B162),IF(LEFT($B162,2)="BS",S$2,S$1),0)="","",VLOOKUP($H162,INDIRECT("Lookup_"&amp;$B162),IF(LEFT($B162,2)="BS",S$2,S$1),0))</f>
        <v>103700</v>
      </c>
      <c r="N162" s="575">
        <f aca="1">IF(VLOOKUP($H162,INDIRECT("Lookup_"&amp;$B162),IF(LEFT($B162,2)="BS",S$2,S$1),0)="","",VLOOKUP($H162,INDIRECT("Lookup_"&amp;$B162),IF(LEFT($B162,2)="BS",S$2,S$1),0))</f>
        <v>103700</v>
      </c>
    </row>
    <row r="163" spans="1:14">
      <c r="A163" t="n">
        <v>163</v>
      </c>
      <c r="B163" t="str">
        <f>VLOOKUP($A163,Aop!$A$2:$P$453,2,0)</f>
        <v>BUa</v>
      </c>
      <c r="C163" t="n">
        <v>27</v>
      </c>
      <c r="D163" t="str">
        <f aca="1">Podatak_MB</f>
        <v>1062280</v>
      </c>
      <c r="E163" t="str">
        <f aca="1">Podatak_JIB</f>
        <v>4400471400001</v>
      </c>
      <c r="F163" t="b">
        <f aca="1">Konsolidovan_izvjestaj</f>
        <v>0</v>
      </c>
      <c r="G163" s="20">
        <f aca="1">Datum_Broj</f>
        <v>45382</v>
      </c>
      <c r="H163">
        <f>VLOOKUP($A163,Aop!$A$2:$P$453,4,0)</f>
        <v>225</v>
      </c>
      <c r="I163">
        <f aca="1">Godina</f>
        <v>2024</v>
      </c>
      <c r="J163" t="str">
        <f aca="1">IF(VLOOKUP($H163,INDIRECT("Lookup_"&amp;$B163),IF(LEFT($B163,2)="BS",R$2,R$1),0)="","",VLOOKUP($H163,INDIRECT("Lookup_"&amp;$B163),IF($B163="BSp",R$2,R$1),0))</f>
        <v/>
      </c>
      <c r="K163"/>
      <c r="L163"/>
      <c r="M163" s="575">
        <f aca="1">IF(VLOOKUP($H163,INDIRECT("Lookup_"&amp;$B163),IF(LEFT($B163,2)="BS",S$2,S$1),0)="","",VLOOKUP($H163,INDIRECT("Lookup_"&amp;$B163),IF(LEFT($B163,2)="BS",S$2,S$1),0))</f>
        <v>520</v>
      </c>
      <c r="N163" s="575">
        <f aca="1">IF(VLOOKUP($H163,INDIRECT("Lookup_"&amp;$B163),IF(LEFT($B163,2)="BS",S$2,S$1),0)="","",VLOOKUP($H163,INDIRECT("Lookup_"&amp;$B163),IF(LEFT($B163,2)="BS",S$2,S$1),0))</f>
        <v>520</v>
      </c>
    </row>
    <row r="164" spans="1:14">
      <c r="A164" t="n">
        <v>164</v>
      </c>
      <c r="B164" t="str">
        <f>VLOOKUP($A164,Aop!$A$2:$P$453,2,0)</f>
        <v>BUa</v>
      </c>
      <c r="C164" t="n">
        <v>27</v>
      </c>
      <c r="D164" t="str">
        <f aca="1">Podatak_MB</f>
        <v>1062280</v>
      </c>
      <c r="E164" t="str">
        <f aca="1">Podatak_JIB</f>
        <v>4400471400001</v>
      </c>
      <c r="F164" t="b">
        <f aca="1">Konsolidovan_izvjestaj</f>
        <v>0</v>
      </c>
      <c r="G164" s="20">
        <f aca="1">Datum_Broj</f>
        <v>45382</v>
      </c>
      <c r="H164">
        <f>VLOOKUP($A164,Aop!$A$2:$P$453,4,0)</f>
        <v>226</v>
      </c>
      <c r="I164">
        <f aca="1">Godina</f>
        <v>2024</v>
      </c>
      <c r="J164" t="str">
        <f aca="1">IF(VLOOKUP($H164,INDIRECT("Lookup_"&amp;$B164),IF(LEFT($B164,2)="BS",R$2,R$1),0)="","",VLOOKUP($H164,INDIRECT("Lookup_"&amp;$B164),IF($B164="BSp",R$2,R$1),0))</f>
        <v/>
      </c>
      <c r="K164"/>
      <c r="L164"/>
      <c r="M164" s="575">
        <f aca="1">IF(VLOOKUP($H164,INDIRECT("Lookup_"&amp;$B164),IF(LEFT($B164,2)="BS",S$2,S$1),0)="","",VLOOKUP($H164,INDIRECT("Lookup_"&amp;$B164),IF(LEFT($B164,2)="BS",S$2,S$1),0))</f>
        <v>4569</v>
      </c>
      <c r="N164" s="575">
        <f aca="1">IF(VLOOKUP($H164,INDIRECT("Lookup_"&amp;$B164),IF(LEFT($B164,2)="BS",S$2,S$1),0)="","",VLOOKUP($H164,INDIRECT("Lookup_"&amp;$B164),IF(LEFT($B164,2)="BS",S$2,S$1),0))</f>
        <v>4569</v>
      </c>
    </row>
    <row r="165" spans="1:14">
      <c r="A165" t="n">
        <v>165</v>
      </c>
      <c r="B165" t="str">
        <f>VLOOKUP($A165,Aop!$A$2:$P$453,2,0)</f>
        <v>BUa</v>
      </c>
      <c r="C165" t="n">
        <v>27</v>
      </c>
      <c r="D165" t="str">
        <f aca="1">Podatak_MB</f>
        <v>1062280</v>
      </c>
      <c r="E165" t="str">
        <f aca="1">Podatak_JIB</f>
        <v>4400471400001</v>
      </c>
      <c r="F165" t="b">
        <f aca="1">Konsolidovan_izvjestaj</f>
        <v>0</v>
      </c>
      <c r="G165" s="20">
        <f aca="1">Datum_Broj</f>
        <v>45382</v>
      </c>
      <c r="H165">
        <f>VLOOKUP($A165,Aop!$A$2:$P$453,4,0)</f>
        <v>227</v>
      </c>
      <c r="I165">
        <f aca="1">Godina</f>
        <v>2024</v>
      </c>
      <c r="J165" t="str">
        <f aca="1">IF(VLOOKUP($H165,INDIRECT("Lookup_"&amp;$B165),IF(LEFT($B165,2)="BS",R$2,R$1),0)="","",VLOOKUP($H165,INDIRECT("Lookup_"&amp;$B165),IF($B165="BSp",R$2,R$1),0))</f>
        <v/>
      </c>
      <c r="K165"/>
      <c r="L165"/>
      <c r="M165" s="571">
        <f aca="1">IF(VLOOKUP($H165,INDIRECT("Lookup_"&amp;$B165),IF(LEFT($B165,2)="BS",S$2,S$1),0)="","",VLOOKUP($H165,INDIRECT("Lookup_"&amp;$B165),IF(LEFT($B165,2)="BS",S$2,S$1),0))</f>
        <v>56582</v>
      </c>
      <c r="N165" s="571">
        <f aca="1">IF(VLOOKUP($H165,INDIRECT("Lookup_"&amp;$B165),IF(LEFT($B165,2)="BS",S$2,S$1),0)="","",VLOOKUP($H165,INDIRECT("Lookup_"&amp;$B165),IF(LEFT($B165,2)="BS",S$2,S$1),0))</f>
        <v>56582</v>
      </c>
    </row>
    <row r="166" spans="1:14">
      <c r="A166" t="n">
        <v>167</v>
      </c>
      <c r="B166" t="str">
        <f>VLOOKUP($A166,Aop!$A$2:$P$453,2,0)</f>
        <v>BUa</v>
      </c>
      <c r="C166" t="n">
        <v>27</v>
      </c>
      <c r="D166" t="str">
        <f aca="1">Podatak_MB</f>
        <v>1062280</v>
      </c>
      <c r="E166" t="str">
        <f aca="1">Podatak_JIB</f>
        <v>4400471400001</v>
      </c>
      <c r="F166" t="b">
        <f aca="1">Konsolidovan_izvjestaj</f>
        <v>0</v>
      </c>
      <c r="G166" s="20">
        <f aca="1">Datum_Broj</f>
        <v>45382</v>
      </c>
      <c r="H166">
        <f>VLOOKUP($A166,Aop!$A$2:$P$453,4,0)</f>
        <v>229</v>
      </c>
      <c r="I166">
        <f aca="1">Godina</f>
        <v>2024</v>
      </c>
      <c r="J166" t="str">
        <f aca="1">IF(VLOOKUP($H166,INDIRECT("Lookup_"&amp;$B166),IF(LEFT($B166,2)="BS",R$2,R$1),0)="","",VLOOKUP($H166,INDIRECT("Lookup_"&amp;$B166),IF($B166="BSp",R$2,R$1),0))</f>
        <v/>
      </c>
      <c r="K166"/>
      <c r="L166"/>
      <c r="M166" s="575">
        <f aca="1">IF(VLOOKUP($H166,INDIRECT("Lookup_"&amp;$B166),IF(LEFT($B166,2)="BS",S$2,S$1),0)="","",VLOOKUP($H166,INDIRECT("Lookup_"&amp;$B166),IF(LEFT($B166,2)="BS",S$2,S$1),0))</f>
        <v>56582</v>
      </c>
      <c r="N166" s="575">
        <f aca="1">IF(VLOOKUP($H166,INDIRECT("Lookup_"&amp;$B166),IF(LEFT($B166,2)="BS",S$2,S$1),0)="","",VLOOKUP($H166,INDIRECT("Lookup_"&amp;$B166),IF(LEFT($B166,2)="BS",S$2,S$1),0))</f>
        <v>56582</v>
      </c>
    </row>
    <row r="167" spans="1:14">
      <c r="A167" t="n">
        <v>168</v>
      </c>
      <c r="B167" t="str">
        <f>VLOOKUP($A167,Aop!$A$2:$P$453,2,0)</f>
        <v>BUa</v>
      </c>
      <c r="C167" t="n">
        <v>27</v>
      </c>
      <c r="D167" t="str">
        <f aca="1">Podatak_MB</f>
        <v>1062280</v>
      </c>
      <c r="E167" t="str">
        <f aca="1">Podatak_JIB</f>
        <v>4400471400001</v>
      </c>
      <c r="F167" t="b">
        <f aca="1">Konsolidovan_izvjestaj</f>
        <v>0</v>
      </c>
      <c r="G167" s="20">
        <f aca="1">Datum_Broj</f>
        <v>45382</v>
      </c>
      <c r="H167">
        <f>VLOOKUP($A167,Aop!$A$2:$P$453,4,0)</f>
        <v>230</v>
      </c>
      <c r="I167">
        <f aca="1">Godina</f>
        <v>2024</v>
      </c>
      <c r="J167" t="str">
        <f aca="1">IF(VLOOKUP($H167,INDIRECT("Lookup_"&amp;$B167),IF(LEFT($B167,2)="BS",R$2,R$1),0)="","",VLOOKUP($H167,INDIRECT("Lookup_"&amp;$B167),IF($B167="BSp",R$2,R$1),0))</f>
        <v/>
      </c>
      <c r="K167"/>
      <c r="L167"/>
      <c r="M167" t="str">
        <f aca="1">IF(VLOOKUP($H167,INDIRECT("Lookup_"&amp;$B167),IF(LEFT($B167,2)="BS",S$2,S$1),0)="","",VLOOKUP($H167,INDIRECT("Lookup_"&amp;$B167),IF(LEFT($B167,2)="BS",S$2,S$1),0))</f>
        <v/>
      </c>
      <c r="N167" t="str">
        <f aca="1">IF(VLOOKUP($H167,INDIRECT("Lookup_"&amp;$B167),IF(LEFT($B167,2)="BS",S$2,S$1),0)="","",VLOOKUP($H167,INDIRECT("Lookup_"&amp;$B167),IF(LEFT($B167,2)="BS",S$2,S$1),0))</f>
        <v/>
      </c>
    </row>
    <row r="168" spans="1:14">
      <c r="A168" t="n">
        <v>169</v>
      </c>
      <c r="B168" t="str">
        <f>VLOOKUP($A168,Aop!$A$2:$P$453,2,0)</f>
        <v>BUa</v>
      </c>
      <c r="C168" t="n">
        <v>27</v>
      </c>
      <c r="D168" t="str">
        <f aca="1">Podatak_MB</f>
        <v>1062280</v>
      </c>
      <c r="E168" t="str">
        <f aca="1">Podatak_JIB</f>
        <v>4400471400001</v>
      </c>
      <c r="F168" t="b">
        <f aca="1">Konsolidovan_izvjestaj</f>
        <v>0</v>
      </c>
      <c r="G168" s="20">
        <f aca="1">Datum_Broj</f>
        <v>45382</v>
      </c>
      <c r="H168">
        <f>VLOOKUP($A168,Aop!$A$2:$P$453,4,0)</f>
        <v>231</v>
      </c>
      <c r="I168">
        <f aca="1">Godina</f>
        <v>2024</v>
      </c>
      <c r="J168" t="str">
        <f aca="1">IF(VLOOKUP($H168,INDIRECT("Lookup_"&amp;$B168),IF(LEFT($B168,2)="BS",R$2,R$1),0)="","",VLOOKUP($H168,INDIRECT("Lookup_"&amp;$B168),IF($B168="BSp",R$2,R$1),0))</f>
        <v/>
      </c>
      <c r="K168"/>
      <c r="L168"/>
      <c r="M168" t="str">
        <f aca="1">IF(VLOOKUP($H168,INDIRECT("Lookup_"&amp;$B168),IF(LEFT($B168,2)="BS",S$2,S$1),0)="","",VLOOKUP($H168,INDIRECT("Lookup_"&amp;$B168),IF(LEFT($B168,2)="BS",S$2,S$1),0))</f>
        <v/>
      </c>
      <c r="N168" t="str">
        <f aca="1">IF(VLOOKUP($H168,INDIRECT("Lookup_"&amp;$B168),IF(LEFT($B168,2)="BS",S$2,S$1),0)="","",VLOOKUP($H168,INDIRECT("Lookup_"&amp;$B168),IF(LEFT($B168,2)="BS",S$2,S$1),0))</f>
        <v/>
      </c>
    </row>
    <row r="169" spans="1:14">
      <c r="A169" t="n">
        <v>170</v>
      </c>
      <c r="B169" t="str">
        <f>VLOOKUP($A169,Aop!$A$2:$P$453,2,0)</f>
        <v>BUa</v>
      </c>
      <c r="C169" t="n">
        <v>27</v>
      </c>
      <c r="D169" t="str">
        <f aca="1">Podatak_MB</f>
        <v>1062280</v>
      </c>
      <c r="E169" t="str">
        <f aca="1">Podatak_JIB</f>
        <v>4400471400001</v>
      </c>
      <c r="F169" t="b">
        <f aca="1">Konsolidovan_izvjestaj</f>
        <v>0</v>
      </c>
      <c r="G169" s="20">
        <f aca="1">Datum_Broj</f>
        <v>45382</v>
      </c>
      <c r="H169">
        <f>VLOOKUP($A169,Aop!$A$2:$P$453,4,0)</f>
        <v>232</v>
      </c>
      <c r="I169">
        <f aca="1">Godina</f>
        <v>2024</v>
      </c>
      <c r="J169" t="str">
        <f aca="1">IF(VLOOKUP($H169,INDIRECT("Lookup_"&amp;$B169),IF(LEFT($B169,2)="BS",R$2,R$1),0)="","",VLOOKUP($H169,INDIRECT("Lookup_"&amp;$B169),IF($B169="BSp",R$2,R$1),0))</f>
        <v/>
      </c>
      <c r="K169"/>
      <c r="L169"/>
      <c r="M169" t="str">
        <f aca="1">IF(VLOOKUP($H169,INDIRECT("Lookup_"&amp;$B169),IF(LEFT($B169,2)="BS",S$2,S$1),0)="","",VLOOKUP($H169,INDIRECT("Lookup_"&amp;$B169),IF(LEFT($B169,2)="BS",S$2,S$1),0))</f>
        <v/>
      </c>
      <c r="N169" t="str">
        <f aca="1">IF(VLOOKUP($H169,INDIRECT("Lookup_"&amp;$B169),IF(LEFT($B169,2)="BS",S$2,S$1),0)="","",VLOOKUP($H169,INDIRECT("Lookup_"&amp;$B169),IF(LEFT($B169,2)="BS",S$2,S$1),0))</f>
        <v/>
      </c>
    </row>
    <row r="170" spans="1:14">
      <c r="A170" t="n">
        <v>171</v>
      </c>
      <c r="B170" t="str">
        <f>VLOOKUP($A170,Aop!$A$2:$P$453,2,0)</f>
        <v>BUa</v>
      </c>
      <c r="C170" t="n">
        <v>27</v>
      </c>
      <c r="D170" t="str">
        <f aca="1">Podatak_MB</f>
        <v>1062280</v>
      </c>
      <c r="E170" t="str">
        <f aca="1">Podatak_JIB</f>
        <v>4400471400001</v>
      </c>
      <c r="F170" t="b">
        <f aca="1">Konsolidovan_izvjestaj</f>
        <v>0</v>
      </c>
      <c r="G170" s="20">
        <f aca="1">Datum_Broj</f>
        <v>45382</v>
      </c>
      <c r="H170">
        <f>VLOOKUP($A170,Aop!$A$2:$P$453,4,0)</f>
        <v>233</v>
      </c>
      <c r="I170">
        <f aca="1">Godina</f>
        <v>2024</v>
      </c>
      <c r="J170" t="str">
        <f aca="1">IF(VLOOKUP($H170,INDIRECT("Lookup_"&amp;$B170),IF(LEFT($B170,2)="BS",R$2,R$1),0)="","",VLOOKUP($H170,INDIRECT("Lookup_"&amp;$B170),IF($B170="BSp",R$2,R$1),0))</f>
        <v/>
      </c>
      <c r="K170"/>
      <c r="L170"/>
      <c r="M170" t="str">
        <f aca="1">IF(VLOOKUP($H170,INDIRECT("Lookup_"&amp;$B170),IF(LEFT($B170,2)="BS",S$2,S$1),0)="","",VLOOKUP($H170,INDIRECT("Lookup_"&amp;$B170),IF(LEFT($B170,2)="BS",S$2,S$1),0))</f>
        <v/>
      </c>
      <c r="N170" t="str">
        <f aca="1">IF(VLOOKUP($H170,INDIRECT("Lookup_"&amp;$B170),IF(LEFT($B170,2)="BS",S$2,S$1),0)="","",VLOOKUP($H170,INDIRECT("Lookup_"&amp;$B170),IF(LEFT($B170,2)="BS",S$2,S$1),0))</f>
        <v/>
      </c>
    </row>
    <row r="171" spans="1:14">
      <c r="A171" t="n">
        <v>172</v>
      </c>
      <c r="B171" t="str">
        <f>VLOOKUP($A171,Aop!$A$2:$P$453,2,0)</f>
        <v>BUa</v>
      </c>
      <c r="C171" t="n">
        <v>27</v>
      </c>
      <c r="D171" t="str">
        <f aca="1">Podatak_MB</f>
        <v>1062280</v>
      </c>
      <c r="E171" t="str">
        <f aca="1">Podatak_JIB</f>
        <v>4400471400001</v>
      </c>
      <c r="F171" t="b">
        <f aca="1">Konsolidovan_izvjestaj</f>
        <v>0</v>
      </c>
      <c r="G171" s="20">
        <f aca="1">Datum_Broj</f>
        <v>45382</v>
      </c>
      <c r="H171">
        <f>VLOOKUP($A171,Aop!$A$2:$P$453,4,0)</f>
        <v>234</v>
      </c>
      <c r="I171">
        <f aca="1">Godina</f>
        <v>2024</v>
      </c>
      <c r="J171" t="str">
        <f aca="1">IF(VLOOKUP($H171,INDIRECT("Lookup_"&amp;$B171),IF(LEFT($B171,2)="BS",R$2,R$1),0)="","",VLOOKUP($H171,INDIRECT("Lookup_"&amp;$B171),IF($B171="BSp",R$2,R$1),0))</f>
        <v/>
      </c>
      <c r="K171"/>
      <c r="L171"/>
      <c r="M171" t="str">
        <f aca="1">IF(VLOOKUP($H171,INDIRECT("Lookup_"&amp;$B171),IF(LEFT($B171,2)="BS",S$2,S$1),0)="","",VLOOKUP($H171,INDIRECT("Lookup_"&amp;$B171),IF(LEFT($B171,2)="BS",S$2,S$1),0))</f>
        <v/>
      </c>
      <c r="N171" t="str">
        <f aca="1">IF(VLOOKUP($H171,INDIRECT("Lookup_"&amp;$B171),IF(LEFT($B171,2)="BS",S$2,S$1),0)="","",VLOOKUP($H171,INDIRECT("Lookup_"&amp;$B171),IF(LEFT($B171,2)="BS",S$2,S$1),0))</f>
        <v/>
      </c>
    </row>
    <row r="172" spans="1:14">
      <c r="A172" t="n">
        <v>173</v>
      </c>
      <c r="B172" t="str">
        <f>VLOOKUP($A172,Aop!$A$2:$P$453,2,0)</f>
        <v>BUa</v>
      </c>
      <c r="C172" t="n">
        <v>27</v>
      </c>
      <c r="D172" t="str">
        <f aca="1">Podatak_MB</f>
        <v>1062280</v>
      </c>
      <c r="E172" t="str">
        <f aca="1">Podatak_JIB</f>
        <v>4400471400001</v>
      </c>
      <c r="F172" t="b">
        <f aca="1">Konsolidovan_izvjestaj</f>
        <v>0</v>
      </c>
      <c r="G172" s="20">
        <f aca="1">Datum_Broj</f>
        <v>45382</v>
      </c>
      <c r="H172">
        <f>VLOOKUP($A172,Aop!$A$2:$P$453,4,0)</f>
        <v>235</v>
      </c>
      <c r="I172">
        <f aca="1">Godina</f>
        <v>2024</v>
      </c>
      <c r="J172" t="str">
        <f aca="1">IF(VLOOKUP($H172,INDIRECT("Lookup_"&amp;$B172),IF(LEFT($B172,2)="BS",R$2,R$1),0)="","",VLOOKUP($H172,INDIRECT("Lookup_"&amp;$B172),IF($B172="BSp",R$2,R$1),0))</f>
        <v/>
      </c>
      <c r="K172"/>
      <c r="L172"/>
      <c r="M172" s="575">
        <f aca="1">IF(VLOOKUP($H172,INDIRECT("Lookup_"&amp;$B172),IF(LEFT($B172,2)="BS",S$2,S$1),0)="","",VLOOKUP($H172,INDIRECT("Lookup_"&amp;$B172),IF(LEFT($B172,2)="BS",S$2,S$1),0))</f>
        <v>22174</v>
      </c>
      <c r="N172" s="575">
        <f aca="1">IF(VLOOKUP($H172,INDIRECT("Lookup_"&amp;$B172),IF(LEFT($B172,2)="BS",S$2,S$1),0)="","",VLOOKUP($H172,INDIRECT("Lookup_"&amp;$B172),IF(LEFT($B172,2)="BS",S$2,S$1),0))</f>
        <v>22174</v>
      </c>
    </row>
    <row r="173" spans="1:14">
      <c r="A173" t="n">
        <v>174</v>
      </c>
      <c r="B173" t="str">
        <f>VLOOKUP($A173,Aop!$A$2:$P$453,2,0)</f>
        <v>BUa</v>
      </c>
      <c r="C173" t="n">
        <v>27</v>
      </c>
      <c r="D173" t="str">
        <f aca="1">Podatak_MB</f>
        <v>1062280</v>
      </c>
      <c r="E173" t="str">
        <f aca="1">Podatak_JIB</f>
        <v>4400471400001</v>
      </c>
      <c r="F173" t="b">
        <f aca="1">Konsolidovan_izvjestaj</f>
        <v>0</v>
      </c>
      <c r="G173" s="20">
        <f aca="1">Datum_Broj</f>
        <v>45382</v>
      </c>
      <c r="H173">
        <f>VLOOKUP($A173,Aop!$A$2:$P$453,4,0)</f>
        <v>236</v>
      </c>
      <c r="I173">
        <f aca="1">Godina</f>
        <v>2024</v>
      </c>
      <c r="J173" t="str">
        <f aca="1">IF(VLOOKUP($H173,INDIRECT("Lookup_"&amp;$B173),IF(LEFT($B173,2)="BS",R$2,R$1),0)="","",VLOOKUP($H173,INDIRECT("Lookup_"&amp;$B173),IF($B173="BSp",R$2,R$1),0))</f>
        <v/>
      </c>
      <c r="K173"/>
      <c r="L173"/>
      <c r="M173" s="575">
        <f aca="1">IF(VLOOKUP($H173,INDIRECT("Lookup_"&amp;$B173),IF(LEFT($B173,2)="BS",S$2,S$1),0)="","",VLOOKUP($H173,INDIRECT("Lookup_"&amp;$B173),IF(LEFT($B173,2)="BS",S$2,S$1),0))</f>
        <v>101</v>
      </c>
      <c r="N173" s="575">
        <f aca="1">IF(VLOOKUP($H173,INDIRECT("Lookup_"&amp;$B173),IF(LEFT($B173,2)="BS",S$2,S$1),0)="","",VLOOKUP($H173,INDIRECT("Lookup_"&amp;$B173),IF(LEFT($B173,2)="BS",S$2,S$1),0))</f>
        <v>101</v>
      </c>
    </row>
    <row r="174" spans="1:14">
      <c r="A174" t="n">
        <v>175</v>
      </c>
      <c r="B174" t="str">
        <f>VLOOKUP($A174,Aop!$A$2:$P$453,2,0)</f>
        <v>BUa</v>
      </c>
      <c r="C174" t="n">
        <v>27</v>
      </c>
      <c r="D174" t="str">
        <f aca="1">Podatak_MB</f>
        <v>1062280</v>
      </c>
      <c r="E174" t="str">
        <f aca="1">Podatak_JIB</f>
        <v>4400471400001</v>
      </c>
      <c r="F174" t="b">
        <f aca="1">Konsolidovan_izvjestaj</f>
        <v>0</v>
      </c>
      <c r="G174" s="20">
        <f aca="1">Datum_Broj</f>
        <v>45382</v>
      </c>
      <c r="H174">
        <f>VLOOKUP($A174,Aop!$A$2:$P$453,4,0)</f>
        <v>237</v>
      </c>
      <c r="I174">
        <f aca="1">Godina</f>
        <v>2024</v>
      </c>
      <c r="J174" t="str">
        <f aca="1">IF(VLOOKUP($H174,INDIRECT("Lookup_"&amp;$B174),IF(LEFT($B174,2)="BS",R$2,R$1),0)="","",VLOOKUP($H174,INDIRECT("Lookup_"&amp;$B174),IF($B174="BSp",R$2,R$1),0))</f>
        <v/>
      </c>
      <c r="K174"/>
      <c r="L174"/>
      <c r="M174" s="571">
        <f aca="1">IF(VLOOKUP($H174,INDIRECT("Lookup_"&amp;$B174),IF(LEFT($B174,2)="BS",S$2,S$1),0)="","",VLOOKUP($H174,INDIRECT("Lookup_"&amp;$B174),IF(LEFT($B174,2)="BS",S$2,S$1),0))</f>
        <v>0</v>
      </c>
      <c r="N174" s="571">
        <f aca="1">IF(VLOOKUP($H174,INDIRECT("Lookup_"&amp;$B174),IF(LEFT($B174,2)="BS",S$2,S$1),0)="","",VLOOKUP($H174,INDIRECT("Lookup_"&amp;$B174),IF(LEFT($B174,2)="BS",S$2,S$1),0))</f>
        <v>0</v>
      </c>
    </row>
    <row r="175" spans="1:14">
      <c r="A175" t="n">
        <v>176</v>
      </c>
      <c r="B175" t="str">
        <f>VLOOKUP($A175,Aop!$A$2:$P$453,2,0)</f>
        <v>BUa</v>
      </c>
      <c r="C175" t="n">
        <v>27</v>
      </c>
      <c r="D175" t="str">
        <f aca="1">Podatak_MB</f>
        <v>1062280</v>
      </c>
      <c r="E175" t="str">
        <f aca="1">Podatak_JIB</f>
        <v>4400471400001</v>
      </c>
      <c r="F175" t="b">
        <f aca="1">Konsolidovan_izvjestaj</f>
        <v>0</v>
      </c>
      <c r="G175" s="20">
        <f aca="1">Datum_Broj</f>
        <v>45382</v>
      </c>
      <c r="H175">
        <f>VLOOKUP($A175,Aop!$A$2:$P$453,4,0)</f>
        <v>238</v>
      </c>
      <c r="I175">
        <f aca="1">Godina</f>
        <v>2024</v>
      </c>
      <c r="J175" t="str">
        <f aca="1">IF(VLOOKUP($H175,INDIRECT("Lookup_"&amp;$B175),IF(LEFT($B175,2)="BS",R$2,R$1),0)="","",VLOOKUP($H175,INDIRECT("Lookup_"&amp;$B175),IF($B175="BSp",R$2,R$1),0))</f>
        <v/>
      </c>
      <c r="K175"/>
      <c r="L175"/>
      <c r="M175" s="571">
        <f aca="1">IF(VLOOKUP($H175,INDIRECT("Lookup_"&amp;$B175),IF(LEFT($B175,2)="BS",S$2,S$1),0)="","",VLOOKUP($H175,INDIRECT("Lookup_"&amp;$B175),IF(LEFT($B175,2)="BS",S$2,S$1),0))</f>
        <v>2805</v>
      </c>
      <c r="N175" s="571">
        <f aca="1">IF(VLOOKUP($H175,INDIRECT("Lookup_"&amp;$B175),IF(LEFT($B175,2)="BS",S$2,S$1),0)="","",VLOOKUP($H175,INDIRECT("Lookup_"&amp;$B175),IF(LEFT($B175,2)="BS",S$2,S$1),0))</f>
        <v>2805</v>
      </c>
    </row>
    <row r="176" spans="1:14">
      <c r="A176" t="n">
        <v>177</v>
      </c>
      <c r="B176" t="str">
        <f>VLOOKUP($A176,Aop!$A$2:$P$453,2,0)</f>
        <v>BUa</v>
      </c>
      <c r="C176" t="n">
        <v>27</v>
      </c>
      <c r="D176" t="str">
        <f aca="1">Podatak_MB</f>
        <v>1062280</v>
      </c>
      <c r="E176" t="str">
        <f aca="1">Podatak_JIB</f>
        <v>4400471400001</v>
      </c>
      <c r="F176" t="b">
        <f aca="1">Konsolidovan_izvjestaj</f>
        <v>0</v>
      </c>
      <c r="G176" s="20">
        <f aca="1">Datum_Broj</f>
        <v>45382</v>
      </c>
      <c r="H176">
        <f>VLOOKUP($A176,Aop!$A$2:$P$453,4,0)</f>
        <v>239</v>
      </c>
      <c r="I176">
        <f aca="1">Godina</f>
        <v>2024</v>
      </c>
      <c r="J176" t="str">
        <f aca="1">IF(VLOOKUP($H176,INDIRECT("Lookup_"&amp;$B176),IF(LEFT($B176,2)="BS",R$2,R$1),0)="","",VLOOKUP($H176,INDIRECT("Lookup_"&amp;$B176),IF($B176="BSp",R$2,R$1),0))</f>
        <v/>
      </c>
      <c r="K176"/>
      <c r="L176"/>
      <c r="M176" s="571">
        <f aca="1">IF(VLOOKUP($H176,INDIRECT("Lookup_"&amp;$B176),IF(LEFT($B176,2)="BS",S$2,S$1),0)="","",VLOOKUP($H176,INDIRECT("Lookup_"&amp;$B176),IF(LEFT($B176,2)="BS",S$2,S$1),0))</f>
        <v>0</v>
      </c>
      <c r="N176" s="571">
        <f aca="1">IF(VLOOKUP($H176,INDIRECT("Lookup_"&amp;$B176),IF(LEFT($B176,2)="BS",S$2,S$1),0)="","",VLOOKUP($H176,INDIRECT("Lookup_"&amp;$B176),IF(LEFT($B176,2)="BS",S$2,S$1),0))</f>
        <v>0</v>
      </c>
    </row>
    <row r="177" spans="1:14">
      <c r="A177" t="n">
        <v>178</v>
      </c>
      <c r="B177" t="str">
        <f>VLOOKUP($A177,Aop!$A$2:$P$453,2,0)</f>
        <v>BUa</v>
      </c>
      <c r="C177" t="n">
        <v>27</v>
      </c>
      <c r="D177" t="str">
        <f aca="1">Podatak_MB</f>
        <v>1062280</v>
      </c>
      <c r="E177" t="str">
        <f aca="1">Podatak_JIB</f>
        <v>4400471400001</v>
      </c>
      <c r="F177" t="b">
        <f aca="1">Konsolidovan_izvjestaj</f>
        <v>0</v>
      </c>
      <c r="G177" s="20">
        <f aca="1">Datum_Broj</f>
        <v>45382</v>
      </c>
      <c r="H177">
        <f>VLOOKUP($A177,Aop!$A$2:$P$453,4,0)</f>
        <v>240</v>
      </c>
      <c r="I177">
        <f aca="1">Godina</f>
        <v>2024</v>
      </c>
      <c r="J177" t="str">
        <f aca="1">IF(VLOOKUP($H177,INDIRECT("Lookup_"&amp;$B177),IF(LEFT($B177,2)="BS",R$2,R$1),0)="","",VLOOKUP($H177,INDIRECT("Lookup_"&amp;$B177),IF($B177="BSp",R$2,R$1),0))</f>
        <v/>
      </c>
      <c r="K177"/>
      <c r="L177"/>
      <c r="M177" t="str">
        <f aca="1">IF(VLOOKUP($H177,INDIRECT("Lookup_"&amp;$B177),IF(LEFT($B177,2)="BS",S$2,S$1),0)="","",VLOOKUP($H177,INDIRECT("Lookup_"&amp;$B177),IF(LEFT($B177,2)="BS",S$2,S$1),0))</f>
        <v/>
      </c>
      <c r="N177" t="str">
        <f aca="1">IF(VLOOKUP($H177,INDIRECT("Lookup_"&amp;$B177),IF(LEFT($B177,2)="BS",S$2,S$1),0)="","",VLOOKUP($H177,INDIRECT("Lookup_"&amp;$B177),IF(LEFT($B177,2)="BS",S$2,S$1),0))</f>
        <v/>
      </c>
    </row>
    <row r="178" spans="1:14">
      <c r="A178" t="n">
        <v>179</v>
      </c>
      <c r="B178" t="str">
        <f>VLOOKUP($A178,Aop!$A$2:$P$453,2,0)</f>
        <v>BUa</v>
      </c>
      <c r="C178" t="n">
        <v>27</v>
      </c>
      <c r="D178" t="str">
        <f aca="1">Podatak_MB</f>
        <v>1062280</v>
      </c>
      <c r="E178" t="str">
        <f aca="1">Podatak_JIB</f>
        <v>4400471400001</v>
      </c>
      <c r="F178" t="b">
        <f aca="1">Konsolidovan_izvjestaj</f>
        <v>0</v>
      </c>
      <c r="G178" s="20">
        <f aca="1">Datum_Broj</f>
        <v>45382</v>
      </c>
      <c r="H178">
        <f>VLOOKUP($A178,Aop!$A$2:$P$453,4,0)</f>
        <v>241</v>
      </c>
      <c r="I178">
        <f aca="1">Godina</f>
        <v>2024</v>
      </c>
      <c r="J178" t="str">
        <f aca="1">IF(VLOOKUP($H178,INDIRECT("Lookup_"&amp;$B178),IF(LEFT($B178,2)="BS",R$2,R$1),0)="","",VLOOKUP($H178,INDIRECT("Lookup_"&amp;$B178),IF($B178="BSp",R$2,R$1),0))</f>
        <v/>
      </c>
      <c r="K178"/>
      <c r="L178"/>
      <c r="M178" t="str">
        <f aca="1">IF(VLOOKUP($H178,INDIRECT("Lookup_"&amp;$B178),IF(LEFT($B178,2)="BS",S$2,S$1),0)="","",VLOOKUP($H178,INDIRECT("Lookup_"&amp;$B178),IF(LEFT($B178,2)="BS",S$2,S$1),0))</f>
        <v/>
      </c>
      <c r="N178" t="str">
        <f aca="1">IF(VLOOKUP($H178,INDIRECT("Lookup_"&amp;$B178),IF(LEFT($B178,2)="BS",S$2,S$1),0)="","",VLOOKUP($H178,INDIRECT("Lookup_"&amp;$B178),IF(LEFT($B178,2)="BS",S$2,S$1),0))</f>
        <v/>
      </c>
    </row>
    <row r="179" spans="1:14">
      <c r="A179" t="n">
        <v>180</v>
      </c>
      <c r="B179" t="str">
        <f>VLOOKUP($A179,Aop!$A$2:$P$453,2,0)</f>
        <v>BUa</v>
      </c>
      <c r="C179" t="n">
        <v>27</v>
      </c>
      <c r="D179" t="str">
        <f aca="1">Podatak_MB</f>
        <v>1062280</v>
      </c>
      <c r="E179" t="str">
        <f aca="1">Podatak_JIB</f>
        <v>4400471400001</v>
      </c>
      <c r="F179" t="b">
        <f aca="1">Konsolidovan_izvjestaj</f>
        <v>0</v>
      </c>
      <c r="G179" s="20">
        <f aca="1">Datum_Broj</f>
        <v>45382</v>
      </c>
      <c r="H179">
        <f>VLOOKUP($A179,Aop!$A$2:$P$453,4,0)</f>
        <v>242</v>
      </c>
      <c r="I179">
        <f aca="1">Godina</f>
        <v>2024</v>
      </c>
      <c r="J179" t="str">
        <f aca="1">IF(VLOOKUP($H179,INDIRECT("Lookup_"&amp;$B179),IF(LEFT($B179,2)="BS",R$2,R$1),0)="","",VLOOKUP($H179,INDIRECT("Lookup_"&amp;$B179),IF($B179="BSp",R$2,R$1),0))</f>
        <v/>
      </c>
      <c r="K179"/>
      <c r="L179"/>
      <c r="M179" t="str">
        <f aca="1">IF(VLOOKUP($H179,INDIRECT("Lookup_"&amp;$B179),IF(LEFT($B179,2)="BS",S$2,S$1),0)="","",VLOOKUP($H179,INDIRECT("Lookup_"&amp;$B179),IF(LEFT($B179,2)="BS",S$2,S$1),0))</f>
        <v/>
      </c>
      <c r="N179" t="str">
        <f aca="1">IF(VLOOKUP($H179,INDIRECT("Lookup_"&amp;$B179),IF(LEFT($B179,2)="BS",S$2,S$1),0)="","",VLOOKUP($H179,INDIRECT("Lookup_"&amp;$B179),IF(LEFT($B179,2)="BS",S$2,S$1),0))</f>
        <v/>
      </c>
    </row>
    <row r="180" spans="1:14">
      <c r="A180" t="n">
        <v>181</v>
      </c>
      <c r="B180" t="str">
        <f>VLOOKUP($A180,Aop!$A$2:$P$453,2,0)</f>
        <v>BUa</v>
      </c>
      <c r="C180" t="n">
        <v>27</v>
      </c>
      <c r="D180" t="str">
        <f aca="1">Podatak_MB</f>
        <v>1062280</v>
      </c>
      <c r="E180" t="str">
        <f aca="1">Podatak_JIB</f>
        <v>4400471400001</v>
      </c>
      <c r="F180" t="b">
        <f aca="1">Konsolidovan_izvjestaj</f>
        <v>0</v>
      </c>
      <c r="G180" s="20">
        <f aca="1">Datum_Broj</f>
        <v>45382</v>
      </c>
      <c r="H180">
        <f>VLOOKUP($A180,Aop!$A$2:$P$453,4,0)</f>
        <v>243</v>
      </c>
      <c r="I180">
        <f aca="1">Godina</f>
        <v>2024</v>
      </c>
      <c r="J180" t="str">
        <f aca="1">IF(VLOOKUP($H180,INDIRECT("Lookup_"&amp;$B180),IF(LEFT($B180,2)="BS",R$2,R$1),0)="","",VLOOKUP($H180,INDIRECT("Lookup_"&amp;$B180),IF($B180="BSp",R$2,R$1),0))</f>
        <v/>
      </c>
      <c r="K180"/>
      <c r="L180"/>
      <c r="M180" t="str">
        <f aca="1">IF(VLOOKUP($H180,INDIRECT("Lookup_"&amp;$B180),IF(LEFT($B180,2)="BS",S$2,S$1),0)="","",VLOOKUP($H180,INDIRECT("Lookup_"&amp;$B180),IF(LEFT($B180,2)="BS",S$2,S$1),0))</f>
        <v/>
      </c>
      <c r="N180" t="str">
        <f aca="1">IF(VLOOKUP($H180,INDIRECT("Lookup_"&amp;$B180),IF(LEFT($B180,2)="BS",S$2,S$1),0)="","",VLOOKUP($H180,INDIRECT("Lookup_"&amp;$B180),IF(LEFT($B180,2)="BS",S$2,S$1),0))</f>
        <v/>
      </c>
    </row>
    <row r="181" spans="1:14">
      <c r="A181" t="n">
        <v>183</v>
      </c>
      <c r="B181" t="str">
        <f>VLOOKUP($A181,Aop!$A$2:$P$453,2,0)</f>
        <v>BUa</v>
      </c>
      <c r="C181" t="n">
        <v>27</v>
      </c>
      <c r="D181" t="str">
        <f aca="1">Podatak_MB</f>
        <v>1062280</v>
      </c>
      <c r="E181" t="str">
        <f aca="1">Podatak_JIB</f>
        <v>4400471400001</v>
      </c>
      <c r="F181" t="b">
        <f aca="1">Konsolidovan_izvjestaj</f>
        <v>0</v>
      </c>
      <c r="G181" s="20">
        <f aca="1">Datum_Broj</f>
        <v>45382</v>
      </c>
      <c r="H181">
        <f>VLOOKUP($A181,Aop!$A$2:$P$453,4,0)</f>
        <v>245</v>
      </c>
      <c r="I181">
        <f aca="1">Godina</f>
        <v>2024</v>
      </c>
      <c r="J181" t="str">
        <f aca="1">IF(VLOOKUP($H181,INDIRECT("Lookup_"&amp;$B181),IF(LEFT($B181,2)="BS",R$2,R$1),0)="","",VLOOKUP($H181,INDIRECT("Lookup_"&amp;$B181),IF($B181="BSp",R$2,R$1),0))</f>
        <v/>
      </c>
      <c r="K181"/>
      <c r="L181"/>
      <c r="M181" s="575">
        <f aca="1">IF(VLOOKUP($H181,INDIRECT("Lookup_"&amp;$B181),IF(LEFT($B181,2)="BS",S$2,S$1),0)="","",VLOOKUP($H181,INDIRECT("Lookup_"&amp;$B181),IF(LEFT($B181,2)="BS",S$2,S$1),0))</f>
        <v>13737</v>
      </c>
      <c r="N181" s="575">
        <f aca="1">IF(VLOOKUP($H181,INDIRECT("Lookup_"&amp;$B181),IF(LEFT($B181,2)="BS",S$2,S$1),0)="","",VLOOKUP($H181,INDIRECT("Lookup_"&amp;$B181),IF(LEFT($B181,2)="BS",S$2,S$1),0))</f>
        <v>13737</v>
      </c>
    </row>
    <row r="182" spans="1:14">
      <c r="A182" t="n">
        <v>184</v>
      </c>
      <c r="B182" t="str">
        <f>VLOOKUP($A182,Aop!$A$2:$P$453,2,0)</f>
        <v>BUa</v>
      </c>
      <c r="C182" t="n">
        <v>27</v>
      </c>
      <c r="D182" t="str">
        <f aca="1">Podatak_MB</f>
        <v>1062280</v>
      </c>
      <c r="E182" t="str">
        <f aca="1">Podatak_JIB</f>
        <v>4400471400001</v>
      </c>
      <c r="F182" t="b">
        <f aca="1">Konsolidovan_izvjestaj</f>
        <v>0</v>
      </c>
      <c r="G182" s="20">
        <f aca="1">Datum_Broj</f>
        <v>45382</v>
      </c>
      <c r="H182">
        <f>VLOOKUP($A182,Aop!$A$2:$P$453,4,0)</f>
        <v>246</v>
      </c>
      <c r="I182">
        <f aca="1">Godina</f>
        <v>2024</v>
      </c>
      <c r="J182" t="str">
        <f aca="1">IF(VLOOKUP($H182,INDIRECT("Lookup_"&amp;$B182),IF(LEFT($B182,2)="BS",R$2,R$1),0)="","",VLOOKUP($H182,INDIRECT("Lookup_"&amp;$B182),IF($B182="BSp",R$2,R$1),0))</f>
        <v/>
      </c>
      <c r="K182"/>
      <c r="L182"/>
      <c r="M182" t="str">
        <f aca="1">IF(VLOOKUP($H182,INDIRECT("Lookup_"&amp;$B182),IF(LEFT($B182,2)="BS",S$2,S$1),0)="","",VLOOKUP($H182,INDIRECT("Lookup_"&amp;$B182),IF(LEFT($B182,2)="BS",S$2,S$1),0))</f>
        <v/>
      </c>
      <c r="N182" t="str">
        <f aca="1">IF(VLOOKUP($H182,INDIRECT("Lookup_"&amp;$B182),IF(LEFT($B182,2)="BS",S$2,S$1),0)="","",VLOOKUP($H182,INDIRECT("Lookup_"&amp;$B182),IF(LEFT($B182,2)="BS",S$2,S$1),0))</f>
        <v/>
      </c>
    </row>
    <row r="183" spans="1:14">
      <c r="A183" t="n">
        <v>185</v>
      </c>
      <c r="B183" t="str">
        <f>VLOOKUP($A183,Aop!$A$2:$P$453,2,0)</f>
        <v>BUa</v>
      </c>
      <c r="C183" t="n">
        <v>27</v>
      </c>
      <c r="D183" t="str">
        <f aca="1">Podatak_MB</f>
        <v>1062280</v>
      </c>
      <c r="E183" t="str">
        <f aca="1">Podatak_JIB</f>
        <v>4400471400001</v>
      </c>
      <c r="F183" t="b">
        <f aca="1">Konsolidovan_izvjestaj</f>
        <v>0</v>
      </c>
      <c r="G183" s="20">
        <f aca="1">Datum_Broj</f>
        <v>45382</v>
      </c>
      <c r="H183">
        <f>VLOOKUP($A183,Aop!$A$2:$P$453,4,0)</f>
        <v>247</v>
      </c>
      <c r="I183">
        <f aca="1">Godina</f>
        <v>2024</v>
      </c>
      <c r="J183" t="str">
        <f aca="1">IF(VLOOKUP($H183,INDIRECT("Lookup_"&amp;$B183),IF(LEFT($B183,2)="BS",R$2,R$1),0)="","",VLOOKUP($H183,INDIRECT("Lookup_"&amp;$B183),IF($B183="BSp",R$2,R$1),0))</f>
        <v/>
      </c>
      <c r="K183"/>
      <c r="L183"/>
      <c r="M183" t="str">
        <f aca="1">IF(VLOOKUP($H183,INDIRECT("Lookup_"&amp;$B183),IF(LEFT($B183,2)="BS",S$2,S$1),0)="","",VLOOKUP($H183,INDIRECT("Lookup_"&amp;$B183),IF(LEFT($B183,2)="BS",S$2,S$1),0))</f>
        <v/>
      </c>
      <c r="N183" t="str">
        <f aca="1">IF(VLOOKUP($H183,INDIRECT("Lookup_"&amp;$B183),IF(LEFT($B183,2)="BS",S$2,S$1),0)="","",VLOOKUP($H183,INDIRECT("Lookup_"&amp;$B183),IF(LEFT($B183,2)="BS",S$2,S$1),0))</f>
        <v/>
      </c>
    </row>
    <row r="184" spans="1:14">
      <c r="A184" t="n">
        <v>186</v>
      </c>
      <c r="B184" t="str">
        <f>VLOOKUP($A184,Aop!$A$2:$P$453,2,0)</f>
        <v>BUa</v>
      </c>
      <c r="C184" t="n">
        <v>27</v>
      </c>
      <c r="D184" t="str">
        <f aca="1">Podatak_MB</f>
        <v>1062280</v>
      </c>
      <c r="E184" t="str">
        <f aca="1">Podatak_JIB</f>
        <v>4400471400001</v>
      </c>
      <c r="F184" t="b">
        <f aca="1">Konsolidovan_izvjestaj</f>
        <v>0</v>
      </c>
      <c r="G184" s="20">
        <f aca="1">Datum_Broj</f>
        <v>45382</v>
      </c>
      <c r="H184">
        <f>VLOOKUP($A184,Aop!$A$2:$P$453,4,0)</f>
        <v>248</v>
      </c>
      <c r="I184">
        <f aca="1">Godina</f>
        <v>2024</v>
      </c>
      <c r="J184" t="str">
        <f aca="1">IF(VLOOKUP($H184,INDIRECT("Lookup_"&amp;$B184),IF(LEFT($B184,2)="BS",R$2,R$1),0)="","",VLOOKUP($H184,INDIRECT("Lookup_"&amp;$B184),IF($B184="BSp",R$2,R$1),0))</f>
        <v/>
      </c>
      <c r="K184"/>
      <c r="L184"/>
      <c r="M184" t="str">
        <f aca="1">IF(VLOOKUP($H184,INDIRECT("Lookup_"&amp;$B184),IF(LEFT($B184,2)="BS",S$2,S$1),0)="","",VLOOKUP($H184,INDIRECT("Lookup_"&amp;$B184),IF(LEFT($B184,2)="BS",S$2,S$1),0))</f>
        <v/>
      </c>
      <c r="N184" t="str">
        <f aca="1">IF(VLOOKUP($H184,INDIRECT("Lookup_"&amp;$B184),IF(LEFT($B184,2)="BS",S$2,S$1),0)="","",VLOOKUP($H184,INDIRECT("Lookup_"&amp;$B184),IF(LEFT($B184,2)="BS",S$2,S$1),0))</f>
        <v/>
      </c>
    </row>
    <row r="185" spans="1:14">
      <c r="A185" t="n">
        <v>187</v>
      </c>
      <c r="B185" t="str">
        <f>VLOOKUP($A185,Aop!$A$2:$P$453,2,0)</f>
        <v>BUa</v>
      </c>
      <c r="C185" t="n">
        <v>27</v>
      </c>
      <c r="D185" t="str">
        <f aca="1">Podatak_MB</f>
        <v>1062280</v>
      </c>
      <c r="E185" t="str">
        <f aca="1">Podatak_JIB</f>
        <v>4400471400001</v>
      </c>
      <c r="F185" t="b">
        <f aca="1">Konsolidovan_izvjestaj</f>
        <v>0</v>
      </c>
      <c r="G185" s="20">
        <f aca="1">Datum_Broj</f>
        <v>45382</v>
      </c>
      <c r="H185">
        <f>VLOOKUP($A185,Aop!$A$2:$P$453,4,0)</f>
        <v>249</v>
      </c>
      <c r="I185">
        <f aca="1">Godina</f>
        <v>2024</v>
      </c>
      <c r="J185" t="str">
        <f aca="1">IF(VLOOKUP($H185,INDIRECT("Lookup_"&amp;$B185),IF(LEFT($B185,2)="BS",R$2,R$1),0)="","",VLOOKUP($H185,INDIRECT("Lookup_"&amp;$B185),IF($B185="BSp",R$2,R$1),0))</f>
        <v/>
      </c>
      <c r="K185"/>
      <c r="L185"/>
      <c r="M185" s="571">
        <f aca="1">IF(VLOOKUP($H185,INDIRECT("Lookup_"&amp;$B185),IF(LEFT($B185,2)="BS",S$2,S$1),0)="","",VLOOKUP($H185,INDIRECT("Lookup_"&amp;$B185),IF(LEFT($B185,2)="BS",S$2,S$1),0))</f>
        <v>0</v>
      </c>
      <c r="N185" s="571">
        <f aca="1">IF(VLOOKUP($H185,INDIRECT("Lookup_"&amp;$B185),IF(LEFT($B185,2)="BS",S$2,S$1),0)="","",VLOOKUP($H185,INDIRECT("Lookup_"&amp;$B185),IF(LEFT($B185,2)="BS",S$2,S$1),0))</f>
        <v>0</v>
      </c>
    </row>
    <row r="186" spans="1:14">
      <c r="A186" t="n">
        <v>188</v>
      </c>
      <c r="B186" t="str">
        <f>VLOOKUP($A186,Aop!$A$2:$P$453,2,0)</f>
        <v>BUa</v>
      </c>
      <c r="C186" t="n">
        <v>27</v>
      </c>
      <c r="D186" t="str">
        <f aca="1">Podatak_MB</f>
        <v>1062280</v>
      </c>
      <c r="E186" t="str">
        <f aca="1">Podatak_JIB</f>
        <v>4400471400001</v>
      </c>
      <c r="F186" t="b">
        <f aca="1">Konsolidovan_izvjestaj</f>
        <v>0</v>
      </c>
      <c r="G186" s="20">
        <f aca="1">Datum_Broj</f>
        <v>45382</v>
      </c>
      <c r="H186">
        <f>VLOOKUP($A186,Aop!$A$2:$P$453,4,0)</f>
        <v>250</v>
      </c>
      <c r="I186">
        <f aca="1">Godina</f>
        <v>2024</v>
      </c>
      <c r="J186" t="str">
        <f aca="1">IF(VLOOKUP($H186,INDIRECT("Lookup_"&amp;$B186),IF(LEFT($B186,2)="BS",R$2,R$1),0)="","",VLOOKUP($H186,INDIRECT("Lookup_"&amp;$B186),IF($B186="BSp",R$2,R$1),0))</f>
        <v/>
      </c>
      <c r="K186"/>
      <c r="L186"/>
      <c r="M186" s="571">
        <f aca="1">IF(VLOOKUP($H186,INDIRECT("Lookup_"&amp;$B186),IF(LEFT($B186,2)="BS",S$2,S$1),0)="","",VLOOKUP($H186,INDIRECT("Lookup_"&amp;$B186),IF(LEFT($B186,2)="BS",S$2,S$1),0))</f>
        <v>16542</v>
      </c>
      <c r="N186" s="571">
        <f aca="1">IF(VLOOKUP($H186,INDIRECT("Lookup_"&amp;$B186),IF(LEFT($B186,2)="BS",S$2,S$1),0)="","",VLOOKUP($H186,INDIRECT("Lookup_"&amp;$B186),IF(LEFT($B186,2)="BS",S$2,S$1),0))</f>
        <v>16542</v>
      </c>
    </row>
    <row r="187" spans="1:14">
      <c r="A187" t="n">
        <v>189</v>
      </c>
      <c r="B187" t="str">
        <f>VLOOKUP($A187,Aop!$A$2:$P$453,2,0)</f>
        <v>BUa</v>
      </c>
      <c r="C187" t="n">
        <v>27</v>
      </c>
      <c r="D187" t="str">
        <f aca="1">Podatak_MB</f>
        <v>1062280</v>
      </c>
      <c r="E187" t="str">
        <f aca="1">Podatak_JIB</f>
        <v>4400471400001</v>
      </c>
      <c r="F187" t="b">
        <f aca="1">Konsolidovan_izvjestaj</f>
        <v>0</v>
      </c>
      <c r="G187" s="20">
        <f aca="1">Datum_Broj</f>
        <v>45382</v>
      </c>
      <c r="H187">
        <f>VLOOKUP($A187,Aop!$A$2:$P$453,4,0)</f>
        <v>251</v>
      </c>
      <c r="I187">
        <f aca="1">Godina</f>
        <v>2024</v>
      </c>
      <c r="J187" t="str">
        <f aca="1">IF(VLOOKUP($H187,INDIRECT("Lookup_"&amp;$B187),IF(LEFT($B187,2)="BS",R$2,R$1),0)="","",VLOOKUP($H187,INDIRECT("Lookup_"&amp;$B187),IF($B187="BSp",R$2,R$1),0))</f>
        <v/>
      </c>
      <c r="K187"/>
      <c r="L187"/>
      <c r="M187" s="571">
        <f aca="1">IF(VLOOKUP($H187,INDIRECT("Lookup_"&amp;$B187),IF(LEFT($B187,2)="BS",S$2,S$1),0)="","",VLOOKUP($H187,INDIRECT("Lookup_"&amp;$B187),IF(LEFT($B187,2)="BS",S$2,S$1),0))</f>
        <v>17502</v>
      </c>
      <c r="N187" s="571">
        <f aca="1">IF(VLOOKUP($H187,INDIRECT("Lookup_"&amp;$B187),IF(LEFT($B187,2)="BS",S$2,S$1),0)="","",VLOOKUP($H187,INDIRECT("Lookup_"&amp;$B187),IF(LEFT($B187,2)="BS",S$2,S$1),0))</f>
        <v>17502</v>
      </c>
    </row>
    <row r="188" spans="1:14">
      <c r="A188" t="n">
        <v>190</v>
      </c>
      <c r="B188" t="str">
        <f>VLOOKUP($A188,Aop!$A$2:$P$453,2,0)</f>
        <v>BUa</v>
      </c>
      <c r="C188" t="n">
        <v>27</v>
      </c>
      <c r="D188" t="str">
        <f aca="1">Podatak_MB</f>
        <v>1062280</v>
      </c>
      <c r="E188" t="str">
        <f aca="1">Podatak_JIB</f>
        <v>4400471400001</v>
      </c>
      <c r="F188" t="b">
        <f aca="1">Konsolidovan_izvjestaj</f>
        <v>0</v>
      </c>
      <c r="G188" s="20">
        <f aca="1">Datum_Broj</f>
        <v>45382</v>
      </c>
      <c r="H188">
        <f>VLOOKUP($A188,Aop!$A$2:$P$453,4,0)</f>
        <v>252</v>
      </c>
      <c r="I188">
        <f aca="1">Godina</f>
        <v>2024</v>
      </c>
      <c r="J188" t="str">
        <f aca="1">IF(VLOOKUP($H188,INDIRECT("Lookup_"&amp;$B188),IF(LEFT($B188,2)="BS",R$2,R$1),0)="","",VLOOKUP($H188,INDIRECT("Lookup_"&amp;$B188),IF($B188="BSp",R$2,R$1),0))</f>
        <v/>
      </c>
      <c r="K188"/>
      <c r="L188"/>
      <c r="M188" s="575">
        <f aca="1">IF(VLOOKUP($H188,INDIRECT("Lookup_"&amp;$B188),IF(LEFT($B188,2)="BS",S$2,S$1),0)="","",VLOOKUP($H188,INDIRECT("Lookup_"&amp;$B188),IF(LEFT($B188,2)="BS",S$2,S$1),0))</f>
        <v>17502</v>
      </c>
      <c r="N188" s="575">
        <f aca="1">IF(VLOOKUP($H188,INDIRECT("Lookup_"&amp;$B188),IF(LEFT($B188,2)="BS",S$2,S$1),0)="","",VLOOKUP($H188,INDIRECT("Lookup_"&amp;$B188),IF(LEFT($B188,2)="BS",S$2,S$1),0))</f>
        <v>17502</v>
      </c>
    </row>
    <row r="189" spans="1:14">
      <c r="A189" t="n">
        <v>191</v>
      </c>
      <c r="B189" t="str">
        <f>VLOOKUP($A189,Aop!$A$2:$P$453,2,0)</f>
        <v>BUa</v>
      </c>
      <c r="C189" t="n">
        <v>27</v>
      </c>
      <c r="D189" t="str">
        <f aca="1">Podatak_MB</f>
        <v>1062280</v>
      </c>
      <c r="E189" t="str">
        <f aca="1">Podatak_JIB</f>
        <v>4400471400001</v>
      </c>
      <c r="F189" t="b">
        <f aca="1">Konsolidovan_izvjestaj</f>
        <v>0</v>
      </c>
      <c r="G189" s="20">
        <f aca="1">Datum_Broj</f>
        <v>45382</v>
      </c>
      <c r="H189">
        <f>VLOOKUP($A189,Aop!$A$2:$P$453,4,0)</f>
        <v>253</v>
      </c>
      <c r="I189">
        <f aca="1">Godina</f>
        <v>2024</v>
      </c>
      <c r="J189" t="str">
        <f aca="1">IF(VLOOKUP($H189,INDIRECT("Lookup_"&amp;$B189),IF(LEFT($B189,2)="BS",R$2,R$1),0)="","",VLOOKUP($H189,INDIRECT("Lookup_"&amp;$B189),IF($B189="BSp",R$2,R$1),0))</f>
        <v/>
      </c>
      <c r="K189"/>
      <c r="L189"/>
      <c r="M189" t="str">
        <f aca="1">IF(VLOOKUP($H189,INDIRECT("Lookup_"&amp;$B189),IF(LEFT($B189,2)="BS",S$2,S$1),0)="","",VLOOKUP($H189,INDIRECT("Lookup_"&amp;$B189),IF(LEFT($B189,2)="BS",S$2,S$1),0))</f>
        <v/>
      </c>
      <c r="N189" t="str">
        <f aca="1">IF(VLOOKUP($H189,INDIRECT("Lookup_"&amp;$B189),IF(LEFT($B189,2)="BS",S$2,S$1),0)="","",VLOOKUP($H189,INDIRECT("Lookup_"&amp;$B189),IF(LEFT($B189,2)="BS",S$2,S$1),0))</f>
        <v/>
      </c>
    </row>
    <row r="190" spans="1:14">
      <c r="A190" t="n">
        <v>192</v>
      </c>
      <c r="B190" t="str">
        <f>VLOOKUP($A190,Aop!$A$2:$P$453,2,0)</f>
        <v>BUa</v>
      </c>
      <c r="C190" t="n">
        <v>27</v>
      </c>
      <c r="D190" t="str">
        <f aca="1">Podatak_MB</f>
        <v>1062280</v>
      </c>
      <c r="E190" t="str">
        <f aca="1">Podatak_JIB</f>
        <v>4400471400001</v>
      </c>
      <c r="F190" t="b">
        <f aca="1">Konsolidovan_izvjestaj</f>
        <v>0</v>
      </c>
      <c r="G190" s="20">
        <f aca="1">Datum_Broj</f>
        <v>45382</v>
      </c>
      <c r="H190">
        <f>VLOOKUP($A190,Aop!$A$2:$P$453,4,0)</f>
        <v>254</v>
      </c>
      <c r="I190">
        <f aca="1">Godina</f>
        <v>2024</v>
      </c>
      <c r="J190" t="str">
        <f aca="1">IF(VLOOKUP($H190,INDIRECT("Lookup_"&amp;$B190),IF(LEFT($B190,2)="BS",R$2,R$1),0)="","",VLOOKUP($H190,INDIRECT("Lookup_"&amp;$B190),IF($B190="BSp",R$2,R$1),0))</f>
        <v/>
      </c>
      <c r="K190"/>
      <c r="L190"/>
      <c r="M190" t="str">
        <f aca="1">IF(VLOOKUP($H190,INDIRECT("Lookup_"&amp;$B190),IF(LEFT($B190,2)="BS",S$2,S$1),0)="","",VLOOKUP($H190,INDIRECT("Lookup_"&amp;$B190),IF(LEFT($B190,2)="BS",S$2,S$1),0))</f>
        <v/>
      </c>
      <c r="N190" t="str">
        <f aca="1">IF(VLOOKUP($H190,INDIRECT("Lookup_"&amp;$B190),IF(LEFT($B190,2)="BS",S$2,S$1),0)="","",VLOOKUP($H190,INDIRECT("Lookup_"&amp;$B190),IF(LEFT($B190,2)="BS",S$2,S$1),0))</f>
        <v/>
      </c>
    </row>
    <row r="191" spans="1:14">
      <c r="A191" t="n">
        <v>193</v>
      </c>
      <c r="B191" t="str">
        <f>VLOOKUP($A191,Aop!$A$2:$P$453,2,0)</f>
        <v>BUa</v>
      </c>
      <c r="C191" t="n">
        <v>27</v>
      </c>
      <c r="D191" t="str">
        <f aca="1">Podatak_MB</f>
        <v>1062280</v>
      </c>
      <c r="E191" t="str">
        <f aca="1">Podatak_JIB</f>
        <v>4400471400001</v>
      </c>
      <c r="F191" t="b">
        <f aca="1">Konsolidovan_izvjestaj</f>
        <v>0</v>
      </c>
      <c r="G191" s="20">
        <f aca="1">Datum_Broj</f>
        <v>45382</v>
      </c>
      <c r="H191">
        <f>VLOOKUP($A191,Aop!$A$2:$P$453,4,0)</f>
        <v>255</v>
      </c>
      <c r="I191">
        <f aca="1">Godina</f>
        <v>2024</v>
      </c>
      <c r="J191" t="str">
        <f aca="1">IF(VLOOKUP($H191,INDIRECT("Lookup_"&amp;$B191),IF(LEFT($B191,2)="BS",R$2,R$1),0)="","",VLOOKUP($H191,INDIRECT("Lookup_"&amp;$B191),IF($B191="BSp",R$2,R$1),0))</f>
        <v/>
      </c>
      <c r="K191"/>
      <c r="L191"/>
      <c r="M191" t="str">
        <f aca="1">IF(VLOOKUP($H191,INDIRECT("Lookup_"&amp;$B191),IF(LEFT($B191,2)="BS",S$2,S$1),0)="","",VLOOKUP($H191,INDIRECT("Lookup_"&amp;$B191),IF(LEFT($B191,2)="BS",S$2,S$1),0))</f>
        <v/>
      </c>
      <c r="N191" t="str">
        <f aca="1">IF(VLOOKUP($H191,INDIRECT("Lookup_"&amp;$B191),IF(LEFT($B191,2)="BS",S$2,S$1),0)="","",VLOOKUP($H191,INDIRECT("Lookup_"&amp;$B191),IF(LEFT($B191,2)="BS",S$2,S$1),0))</f>
        <v/>
      </c>
    </row>
    <row r="192" spans="1:14">
      <c r="A192" t="n">
        <v>194</v>
      </c>
      <c r="B192" t="str">
        <f>VLOOKUP($A192,Aop!$A$2:$P$453,2,0)</f>
        <v>BUa</v>
      </c>
      <c r="C192" t="n">
        <v>27</v>
      </c>
      <c r="D192" t="str">
        <f aca="1">Podatak_MB</f>
        <v>1062280</v>
      </c>
      <c r="E192" t="str">
        <f aca="1">Podatak_JIB</f>
        <v>4400471400001</v>
      </c>
      <c r="F192" t="b">
        <f aca="1">Konsolidovan_izvjestaj</f>
        <v>0</v>
      </c>
      <c r="G192" s="20">
        <f aca="1">Datum_Broj</f>
        <v>45382</v>
      </c>
      <c r="H192">
        <f>VLOOKUP($A192,Aop!$A$2:$P$453,4,0)</f>
        <v>256</v>
      </c>
      <c r="I192">
        <f aca="1">Godina</f>
        <v>2024</v>
      </c>
      <c r="J192" t="str">
        <f aca="1">IF(VLOOKUP($H192,INDIRECT("Lookup_"&amp;$B192),IF(LEFT($B192,2)="BS",R$2,R$1),0)="","",VLOOKUP($H192,INDIRECT("Lookup_"&amp;$B192),IF($B192="BSp",R$2,R$1),0))</f>
        <v/>
      </c>
      <c r="K192"/>
      <c r="L192"/>
      <c r="M192" t="str">
        <f aca="1">IF(VLOOKUP($H192,INDIRECT("Lookup_"&amp;$B192),IF(LEFT($B192,2)="BS",S$2,S$1),0)="","",VLOOKUP($H192,INDIRECT("Lookup_"&amp;$B192),IF(LEFT($B192,2)="BS",S$2,S$1),0))</f>
        <v/>
      </c>
      <c r="N192" t="str">
        <f aca="1">IF(VLOOKUP($H192,INDIRECT("Lookup_"&amp;$B192),IF(LEFT($B192,2)="BS",S$2,S$1),0)="","",VLOOKUP($H192,INDIRECT("Lookup_"&amp;$B192),IF(LEFT($B192,2)="BS",S$2,S$1),0))</f>
        <v/>
      </c>
    </row>
    <row r="193" spans="1:14">
      <c r="A193" t="n">
        <v>195</v>
      </c>
      <c r="B193" t="str">
        <f>VLOOKUP($A193,Aop!$A$2:$P$453,2,0)</f>
        <v>BUa</v>
      </c>
      <c r="C193" t="n">
        <v>27</v>
      </c>
      <c r="D193" t="str">
        <f aca="1">Podatak_MB</f>
        <v>1062280</v>
      </c>
      <c r="E193" t="str">
        <f aca="1">Podatak_JIB</f>
        <v>4400471400001</v>
      </c>
      <c r="F193" t="b">
        <f aca="1">Konsolidovan_izvjestaj</f>
        <v>0</v>
      </c>
      <c r="G193" s="20">
        <f aca="1">Datum_Broj</f>
        <v>45382</v>
      </c>
      <c r="H193">
        <f>VLOOKUP($A193,Aop!$A$2:$P$453,4,0)</f>
        <v>257</v>
      </c>
      <c r="I193">
        <f aca="1">Godina</f>
        <v>2024</v>
      </c>
      <c r="J193" t="str">
        <f aca="1">IF(VLOOKUP($H193,INDIRECT("Lookup_"&amp;$B193),IF(LEFT($B193,2)="BS",R$2,R$1),0)="","",VLOOKUP($H193,INDIRECT("Lookup_"&amp;$B193),IF($B193="BSp",R$2,R$1),0))</f>
        <v/>
      </c>
      <c r="K193"/>
      <c r="L193"/>
      <c r="M193" t="str">
        <f aca="1">IF(VLOOKUP($H193,INDIRECT("Lookup_"&amp;$B193),IF(LEFT($B193,2)="BS",S$2,S$1),0)="","",VLOOKUP($H193,INDIRECT("Lookup_"&amp;$B193),IF(LEFT($B193,2)="BS",S$2,S$1),0))</f>
        <v/>
      </c>
      <c r="N193" t="str">
        <f aca="1">IF(VLOOKUP($H193,INDIRECT("Lookup_"&amp;$B193),IF(LEFT($B193,2)="BS",S$2,S$1),0)="","",VLOOKUP($H193,INDIRECT("Lookup_"&amp;$B193),IF(LEFT($B193,2)="BS",S$2,S$1),0))</f>
        <v/>
      </c>
    </row>
    <row r="194" spans="1:14">
      <c r="A194" t="n">
        <v>196</v>
      </c>
      <c r="B194" t="str">
        <f>VLOOKUP($A194,Aop!$A$2:$P$453,2,0)</f>
        <v>BUa</v>
      </c>
      <c r="C194" t="n">
        <v>27</v>
      </c>
      <c r="D194" t="str">
        <f aca="1">Podatak_MB</f>
        <v>1062280</v>
      </c>
      <c r="E194" t="str">
        <f aca="1">Podatak_JIB</f>
        <v>4400471400001</v>
      </c>
      <c r="F194" t="b">
        <f aca="1">Konsolidovan_izvjestaj</f>
        <v>0</v>
      </c>
      <c r="G194" s="20">
        <f aca="1">Datum_Broj</f>
        <v>45382</v>
      </c>
      <c r="H194">
        <f>VLOOKUP($A194,Aop!$A$2:$P$453,4,0)</f>
        <v>258</v>
      </c>
      <c r="I194">
        <f aca="1">Godina</f>
        <v>2024</v>
      </c>
      <c r="J194" t="str">
        <f aca="1">IF(VLOOKUP($H194,INDIRECT("Lookup_"&amp;$B194),IF(LEFT($B194,2)="BS",R$2,R$1),0)="","",VLOOKUP($H194,INDIRECT("Lookup_"&amp;$B194),IF($B194="BSp",R$2,R$1),0))</f>
        <v/>
      </c>
      <c r="K194"/>
      <c r="L194"/>
      <c r="M194" t="str">
        <f aca="1">IF(VLOOKUP($H194,INDIRECT("Lookup_"&amp;$B194),IF(LEFT($B194,2)="BS",S$2,S$1),0)="","",VLOOKUP($H194,INDIRECT("Lookup_"&amp;$B194),IF(LEFT($B194,2)="BS",S$2,S$1),0))</f>
        <v/>
      </c>
      <c r="N194" t="str">
        <f aca="1">IF(VLOOKUP($H194,INDIRECT("Lookup_"&amp;$B194),IF(LEFT($B194,2)="BS",S$2,S$1),0)="","",VLOOKUP($H194,INDIRECT("Lookup_"&amp;$B194),IF(LEFT($B194,2)="BS",S$2,S$1),0))</f>
        <v/>
      </c>
    </row>
    <row r="195" spans="1:14">
      <c r="A195" t="n">
        <v>197</v>
      </c>
      <c r="B195" t="str">
        <f>VLOOKUP($A195,Aop!$A$2:$P$453,2,0)</f>
        <v>BUa</v>
      </c>
      <c r="C195" t="n">
        <v>27</v>
      </c>
      <c r="D195" t="str">
        <f aca="1">Podatak_MB</f>
        <v>1062280</v>
      </c>
      <c r="E195" t="str">
        <f aca="1">Podatak_JIB</f>
        <v>4400471400001</v>
      </c>
      <c r="F195" t="b">
        <f aca="1">Konsolidovan_izvjestaj</f>
        <v>0</v>
      </c>
      <c r="G195" s="20">
        <f aca="1">Datum_Broj</f>
        <v>45382</v>
      </c>
      <c r="H195">
        <f>VLOOKUP($A195,Aop!$A$2:$P$453,4,0)</f>
        <v>259</v>
      </c>
      <c r="I195">
        <f aca="1">Godina</f>
        <v>2024</v>
      </c>
      <c r="J195" t="str">
        <f aca="1">IF(VLOOKUP($H195,INDIRECT("Lookup_"&amp;$B195),IF(LEFT($B195,2)="BS",R$2,R$1),0)="","",VLOOKUP($H195,INDIRECT("Lookup_"&amp;$B195),IF($B195="BSp",R$2,R$1),0))</f>
        <v/>
      </c>
      <c r="K195"/>
      <c r="L195"/>
      <c r="M195" t="str">
        <f aca="1">IF(VLOOKUP($H195,INDIRECT("Lookup_"&amp;$B195),IF(LEFT($B195,2)="BS",S$2,S$1),0)="","",VLOOKUP($H195,INDIRECT("Lookup_"&amp;$B195),IF(LEFT($B195,2)="BS",S$2,S$1),0))</f>
        <v/>
      </c>
      <c r="N195" t="str">
        <f aca="1">IF(VLOOKUP($H195,INDIRECT("Lookup_"&amp;$B195),IF(LEFT($B195,2)="BS",S$2,S$1),0)="","",VLOOKUP($H195,INDIRECT("Lookup_"&amp;$B195),IF(LEFT($B195,2)="BS",S$2,S$1),0))</f>
        <v/>
      </c>
    </row>
    <row r="196" spans="1:14">
      <c r="A196" t="n">
        <v>198</v>
      </c>
      <c r="B196" t="str">
        <f>VLOOKUP($A196,Aop!$A$2:$P$453,2,0)</f>
        <v>BUa</v>
      </c>
      <c r="C196" t="n">
        <v>27</v>
      </c>
      <c r="D196" t="str">
        <f aca="1">Podatak_MB</f>
        <v>1062280</v>
      </c>
      <c r="E196" t="str">
        <f aca="1">Podatak_JIB</f>
        <v>4400471400001</v>
      </c>
      <c r="F196" t="b">
        <f aca="1">Konsolidovan_izvjestaj</f>
        <v>0</v>
      </c>
      <c r="G196" s="20">
        <f aca="1">Datum_Broj</f>
        <v>45382</v>
      </c>
      <c r="H196">
        <f>VLOOKUP($A196,Aop!$A$2:$P$453,4,0)</f>
        <v>260</v>
      </c>
      <c r="I196">
        <f aca="1">Godina</f>
        <v>2024</v>
      </c>
      <c r="J196" t="str">
        <f aca="1">IF(VLOOKUP($H196,INDIRECT("Lookup_"&amp;$B196),IF(LEFT($B196,2)="BS",R$2,R$1),0)="","",VLOOKUP($H196,INDIRECT("Lookup_"&amp;$B196),IF($B196="BSp",R$2,R$1),0))</f>
        <v/>
      </c>
      <c r="K196"/>
      <c r="L196"/>
      <c r="M196" t="str">
        <f aca="1">IF(VLOOKUP($H196,INDIRECT("Lookup_"&amp;$B196),IF(LEFT($B196,2)="BS",S$2,S$1),0)="","",VLOOKUP($H196,INDIRECT("Lookup_"&amp;$B196),IF(LEFT($B196,2)="BS",S$2,S$1),0))</f>
        <v/>
      </c>
      <c r="N196" t="str">
        <f aca="1">IF(VLOOKUP($H196,INDIRECT("Lookup_"&amp;$B196),IF(LEFT($B196,2)="BS",S$2,S$1),0)="","",VLOOKUP($H196,INDIRECT("Lookup_"&amp;$B196),IF(LEFT($B196,2)="BS",S$2,S$1),0))</f>
        <v/>
      </c>
    </row>
    <row r="197" spans="1:14">
      <c r="A197" t="n">
        <v>199</v>
      </c>
      <c r="B197" t="str">
        <f>VLOOKUP($A197,Aop!$A$2:$P$453,2,0)</f>
        <v>BUa</v>
      </c>
      <c r="C197" t="n">
        <v>27</v>
      </c>
      <c r="D197" t="str">
        <f aca="1">Podatak_MB</f>
        <v>1062280</v>
      </c>
      <c r="E197" t="str">
        <f aca="1">Podatak_JIB</f>
        <v>4400471400001</v>
      </c>
      <c r="F197" t="b">
        <f aca="1">Konsolidovan_izvjestaj</f>
        <v>0</v>
      </c>
      <c r="G197" s="20">
        <f aca="1">Datum_Broj</f>
        <v>45382</v>
      </c>
      <c r="H197">
        <f>VLOOKUP($A197,Aop!$A$2:$P$453,4,0)</f>
        <v>261</v>
      </c>
      <c r="I197">
        <f aca="1">Godina</f>
        <v>2024</v>
      </c>
      <c r="J197" t="str">
        <f aca="1">IF(VLOOKUP($H197,INDIRECT("Lookup_"&amp;$B197),IF(LEFT($B197,2)="BS",R$2,R$1),0)="","",VLOOKUP($H197,INDIRECT("Lookup_"&amp;$B197),IF($B197="BSp",R$2,R$1),0))</f>
        <v/>
      </c>
      <c r="K197"/>
      <c r="L197"/>
      <c r="M197" s="571">
        <f aca="1">IF(VLOOKUP($H197,INDIRECT("Lookup_"&amp;$B197),IF(LEFT($B197,2)="BS",S$2,S$1),0)="","",VLOOKUP($H197,INDIRECT("Lookup_"&amp;$B197),IF(LEFT($B197,2)="BS",S$2,S$1),0))</f>
        <v>5</v>
      </c>
      <c r="N197" s="571">
        <f aca="1">IF(VLOOKUP($H197,INDIRECT("Lookup_"&amp;$B197),IF(LEFT($B197,2)="BS",S$2,S$1),0)="","",VLOOKUP($H197,INDIRECT("Lookup_"&amp;$B197),IF(LEFT($B197,2)="BS",S$2,S$1),0))</f>
        <v>5</v>
      </c>
    </row>
    <row r="198" spans="1:14">
      <c r="A198" t="n">
        <v>200</v>
      </c>
      <c r="B198" t="str">
        <f>VLOOKUP($A198,Aop!$A$2:$P$453,2,0)</f>
        <v>BUa</v>
      </c>
      <c r="C198" t="n">
        <v>27</v>
      </c>
      <c r="D198" t="str">
        <f aca="1">Podatak_MB</f>
        <v>1062280</v>
      </c>
      <c r="E198" t="str">
        <f aca="1">Podatak_JIB</f>
        <v>4400471400001</v>
      </c>
      <c r="F198" t="b">
        <f aca="1">Konsolidovan_izvjestaj</f>
        <v>0</v>
      </c>
      <c r="G198" s="20">
        <f aca="1">Datum_Broj</f>
        <v>45382</v>
      </c>
      <c r="H198">
        <f>VLOOKUP($A198,Aop!$A$2:$P$453,4,0)</f>
        <v>262</v>
      </c>
      <c r="I198">
        <f aca="1">Godina</f>
        <v>2024</v>
      </c>
      <c r="J198" t="str">
        <f aca="1">IF(VLOOKUP($H198,INDIRECT("Lookup_"&amp;$B198),IF(LEFT($B198,2)="BS",R$2,R$1),0)="","",VLOOKUP($H198,INDIRECT("Lookup_"&amp;$B198),IF($B198="BSp",R$2,R$1),0))</f>
        <v/>
      </c>
      <c r="K198"/>
      <c r="L198"/>
      <c r="M198" t="str">
        <f aca="1">IF(VLOOKUP($H198,INDIRECT("Lookup_"&amp;$B198),IF(LEFT($B198,2)="BS",S$2,S$1),0)="","",VLOOKUP($H198,INDIRECT("Lookup_"&amp;$B198),IF(LEFT($B198,2)="BS",S$2,S$1),0))</f>
        <v/>
      </c>
      <c r="N198" t="str">
        <f aca="1">IF(VLOOKUP($H198,INDIRECT("Lookup_"&amp;$B198),IF(LEFT($B198,2)="BS",S$2,S$1),0)="","",VLOOKUP($H198,INDIRECT("Lookup_"&amp;$B198),IF(LEFT($B198,2)="BS",S$2,S$1),0))</f>
        <v/>
      </c>
    </row>
    <row r="199" spans="1:14">
      <c r="A199" t="n">
        <v>201</v>
      </c>
      <c r="B199" t="str">
        <f>VLOOKUP($A199,Aop!$A$2:$P$453,2,0)</f>
        <v>BUa</v>
      </c>
      <c r="C199" t="n">
        <v>27</v>
      </c>
      <c r="D199" t="str">
        <f aca="1">Podatak_MB</f>
        <v>1062280</v>
      </c>
      <c r="E199" t="str">
        <f aca="1">Podatak_JIB</f>
        <v>4400471400001</v>
      </c>
      <c r="F199" t="b">
        <f aca="1">Konsolidovan_izvjestaj</f>
        <v>0</v>
      </c>
      <c r="G199" s="20">
        <f aca="1">Datum_Broj</f>
        <v>45382</v>
      </c>
      <c r="H199">
        <f>VLOOKUP($A199,Aop!$A$2:$P$453,4,0)</f>
        <v>263</v>
      </c>
      <c r="I199">
        <f aca="1">Godina</f>
        <v>2024</v>
      </c>
      <c r="J199" t="str">
        <f aca="1">IF(VLOOKUP($H199,INDIRECT("Lookup_"&amp;$B199),IF(LEFT($B199,2)="BS",R$2,R$1),0)="","",VLOOKUP($H199,INDIRECT("Lookup_"&amp;$B199),IF($B199="BSp",R$2,R$1),0))</f>
        <v/>
      </c>
      <c r="K199"/>
      <c r="L199"/>
      <c r="M199" t="str">
        <f aca="1">IF(VLOOKUP($H199,INDIRECT("Lookup_"&amp;$B199),IF(LEFT($B199,2)="BS",S$2,S$1),0)="","",VLOOKUP($H199,INDIRECT("Lookup_"&amp;$B199),IF(LEFT($B199,2)="BS",S$2,S$1),0))</f>
        <v/>
      </c>
      <c r="N199" t="str">
        <f aca="1">IF(VLOOKUP($H199,INDIRECT("Lookup_"&amp;$B199),IF(LEFT($B199,2)="BS",S$2,S$1),0)="","",VLOOKUP($H199,INDIRECT("Lookup_"&amp;$B199),IF(LEFT($B199,2)="BS",S$2,S$1),0))</f>
        <v/>
      </c>
    </row>
    <row r="200" spans="1:14">
      <c r="A200" t="n">
        <v>202</v>
      </c>
      <c r="B200" t="str">
        <f>VLOOKUP($A200,Aop!$A$2:$P$453,2,0)</f>
        <v>BUa</v>
      </c>
      <c r="C200" t="n">
        <v>27</v>
      </c>
      <c r="D200" t="str">
        <f aca="1">Podatak_MB</f>
        <v>1062280</v>
      </c>
      <c r="E200" t="str">
        <f aca="1">Podatak_JIB</f>
        <v>4400471400001</v>
      </c>
      <c r="F200" t="b">
        <f aca="1">Konsolidovan_izvjestaj</f>
        <v>0</v>
      </c>
      <c r="G200" s="20">
        <f aca="1">Datum_Broj</f>
        <v>45382</v>
      </c>
      <c r="H200">
        <f>VLOOKUP($A200,Aop!$A$2:$P$453,4,0)</f>
        <v>264</v>
      </c>
      <c r="I200">
        <f aca="1">Godina</f>
        <v>2024</v>
      </c>
      <c r="J200" t="str">
        <f aca="1">IF(VLOOKUP($H200,INDIRECT("Lookup_"&amp;$B200),IF(LEFT($B200,2)="BS",R$2,R$1),0)="","",VLOOKUP($H200,INDIRECT("Lookup_"&amp;$B200),IF($B200="BSp",R$2,R$1),0))</f>
        <v/>
      </c>
      <c r="K200"/>
      <c r="L200"/>
      <c r="M200" t="str">
        <f aca="1">IF(VLOOKUP($H200,INDIRECT("Lookup_"&amp;$B200),IF(LEFT($B200,2)="BS",S$2,S$1),0)="","",VLOOKUP($H200,INDIRECT("Lookup_"&amp;$B200),IF(LEFT($B200,2)="BS",S$2,S$1),0))</f>
        <v/>
      </c>
      <c r="N200" t="str">
        <f aca="1">IF(VLOOKUP($H200,INDIRECT("Lookup_"&amp;$B200),IF(LEFT($B200,2)="BS",S$2,S$1),0)="","",VLOOKUP($H200,INDIRECT("Lookup_"&amp;$B200),IF(LEFT($B200,2)="BS",S$2,S$1),0))</f>
        <v/>
      </c>
    </row>
    <row r="201" spans="1:14">
      <c r="A201" t="n">
        <v>203</v>
      </c>
      <c r="B201" t="str">
        <f>VLOOKUP($A201,Aop!$A$2:$P$453,2,0)</f>
        <v>BUa</v>
      </c>
      <c r="C201" t="n">
        <v>27</v>
      </c>
      <c r="D201" t="str">
        <f aca="1">Podatak_MB</f>
        <v>1062280</v>
      </c>
      <c r="E201" t="str">
        <f aca="1">Podatak_JIB</f>
        <v>4400471400001</v>
      </c>
      <c r="F201" t="b">
        <f aca="1">Konsolidovan_izvjestaj</f>
        <v>0</v>
      </c>
      <c r="G201" s="20">
        <f aca="1">Datum_Broj</f>
        <v>45382</v>
      </c>
      <c r="H201">
        <f>VLOOKUP($A201,Aop!$A$2:$P$453,4,0)</f>
        <v>265</v>
      </c>
      <c r="I201">
        <f aca="1">Godina</f>
        <v>2024</v>
      </c>
      <c r="J201" t="str">
        <f aca="1">IF(VLOOKUP($H201,INDIRECT("Lookup_"&amp;$B201),IF(LEFT($B201,2)="BS",R$2,R$1),0)="","",VLOOKUP($H201,INDIRECT("Lookup_"&amp;$B201),IF($B201="BSp",R$2,R$1),0))</f>
        <v/>
      </c>
      <c r="K201"/>
      <c r="L201"/>
      <c r="M201" t="str">
        <f aca="1">IF(VLOOKUP($H201,INDIRECT("Lookup_"&amp;$B201),IF(LEFT($B201,2)="BS",S$2,S$1),0)="","",VLOOKUP($H201,INDIRECT("Lookup_"&amp;$B201),IF(LEFT($B201,2)="BS",S$2,S$1),0))</f>
        <v/>
      </c>
      <c r="N201" t="str">
        <f aca="1">IF(VLOOKUP($H201,INDIRECT("Lookup_"&amp;$B201),IF(LEFT($B201,2)="BS",S$2,S$1),0)="","",VLOOKUP($H201,INDIRECT("Lookup_"&amp;$B201),IF(LEFT($B201,2)="BS",S$2,S$1),0))</f>
        <v/>
      </c>
    </row>
    <row r="202" spans="1:14">
      <c r="A202" t="n">
        <v>204</v>
      </c>
      <c r="B202" t="str">
        <f>VLOOKUP($A202,Aop!$A$2:$P$453,2,0)</f>
        <v>BUa</v>
      </c>
      <c r="C202" t="n">
        <v>27</v>
      </c>
      <c r="D202" t="str">
        <f aca="1">Podatak_MB</f>
        <v>1062280</v>
      </c>
      <c r="E202" t="str">
        <f aca="1">Podatak_JIB</f>
        <v>4400471400001</v>
      </c>
      <c r="F202" t="b">
        <f aca="1">Konsolidovan_izvjestaj</f>
        <v>0</v>
      </c>
      <c r="G202" s="20">
        <f aca="1">Datum_Broj</f>
        <v>45382</v>
      </c>
      <c r="H202">
        <f>VLOOKUP($A202,Aop!$A$2:$P$453,4,0)</f>
        <v>266</v>
      </c>
      <c r="I202">
        <f aca="1">Godina</f>
        <v>2024</v>
      </c>
      <c r="J202" t="str">
        <f aca="1">IF(VLOOKUP($H202,INDIRECT("Lookup_"&amp;$B202),IF(LEFT($B202,2)="BS",R$2,R$1),0)="","",VLOOKUP($H202,INDIRECT("Lookup_"&amp;$B202),IF($B202="BSp",R$2,R$1),0))</f>
        <v/>
      </c>
      <c r="K202"/>
      <c r="L202"/>
      <c r="M202" t="str">
        <f aca="1">IF(VLOOKUP($H202,INDIRECT("Lookup_"&amp;$B202),IF(LEFT($B202,2)="BS",S$2,S$1),0)="","",VLOOKUP($H202,INDIRECT("Lookup_"&amp;$B202),IF(LEFT($B202,2)="BS",S$2,S$1),0))</f>
        <v/>
      </c>
      <c r="N202" t="str">
        <f aca="1">IF(VLOOKUP($H202,INDIRECT("Lookup_"&amp;$B202),IF(LEFT($B202,2)="BS",S$2,S$1),0)="","",VLOOKUP($H202,INDIRECT("Lookup_"&amp;$B202),IF(LEFT($B202,2)="BS",S$2,S$1),0))</f>
        <v/>
      </c>
    </row>
    <row r="203" spans="1:14">
      <c r="A203" t="n">
        <v>205</v>
      </c>
      <c r="B203" t="str">
        <f>VLOOKUP($A203,Aop!$A$2:$P$453,2,0)</f>
        <v>BUa</v>
      </c>
      <c r="C203" t="n">
        <v>27</v>
      </c>
      <c r="D203" t="str">
        <f aca="1">Podatak_MB</f>
        <v>1062280</v>
      </c>
      <c r="E203" t="str">
        <f aca="1">Podatak_JIB</f>
        <v>4400471400001</v>
      </c>
      <c r="F203" t="b">
        <f aca="1">Konsolidovan_izvjestaj</f>
        <v>0</v>
      </c>
      <c r="G203" s="20">
        <f aca="1">Datum_Broj</f>
        <v>45382</v>
      </c>
      <c r="H203">
        <f>VLOOKUP($A203,Aop!$A$2:$P$453,4,0)</f>
        <v>267</v>
      </c>
      <c r="I203">
        <f aca="1">Godina</f>
        <v>2024</v>
      </c>
      <c r="J203" t="str">
        <f aca="1">IF(VLOOKUP($H203,INDIRECT("Lookup_"&amp;$B203),IF(LEFT($B203,2)="BS",R$2,R$1),0)="","",VLOOKUP($H203,INDIRECT("Lookup_"&amp;$B203),IF($B203="BSp",R$2,R$1),0))</f>
        <v/>
      </c>
      <c r="K203"/>
      <c r="L203"/>
      <c r="M203" t="str">
        <f aca="1">IF(VLOOKUP($H203,INDIRECT("Lookup_"&amp;$B203),IF(LEFT($B203,2)="BS",S$2,S$1),0)="","",VLOOKUP($H203,INDIRECT("Lookup_"&amp;$B203),IF(LEFT($B203,2)="BS",S$2,S$1),0))</f>
        <v/>
      </c>
      <c r="N203" t="str">
        <f aca="1">IF(VLOOKUP($H203,INDIRECT("Lookup_"&amp;$B203),IF(LEFT($B203,2)="BS",S$2,S$1),0)="","",VLOOKUP($H203,INDIRECT("Lookup_"&amp;$B203),IF(LEFT($B203,2)="BS",S$2,S$1),0))</f>
        <v/>
      </c>
    </row>
    <row r="204" spans="1:14">
      <c r="A204" t="n">
        <v>206</v>
      </c>
      <c r="B204" t="str">
        <f>VLOOKUP($A204,Aop!$A$2:$P$453,2,0)</f>
        <v>BUa</v>
      </c>
      <c r="C204" t="n">
        <v>27</v>
      </c>
      <c r="D204" t="str">
        <f aca="1">Podatak_MB</f>
        <v>1062280</v>
      </c>
      <c r="E204" t="str">
        <f aca="1">Podatak_JIB</f>
        <v>4400471400001</v>
      </c>
      <c r="F204" t="b">
        <f aca="1">Konsolidovan_izvjestaj</f>
        <v>0</v>
      </c>
      <c r="G204" s="20">
        <f aca="1">Datum_Broj</f>
        <v>45382</v>
      </c>
      <c r="H204">
        <f>VLOOKUP($A204,Aop!$A$2:$P$453,4,0)</f>
        <v>268</v>
      </c>
      <c r="I204">
        <f aca="1">Godina</f>
        <v>2024</v>
      </c>
      <c r="J204" t="str">
        <f aca="1">IF(VLOOKUP($H204,INDIRECT("Lookup_"&amp;$B204),IF(LEFT($B204,2)="BS",R$2,R$1),0)="","",VLOOKUP($H204,INDIRECT("Lookup_"&amp;$B204),IF($B204="BSp",R$2,R$1),0))</f>
        <v/>
      </c>
      <c r="K204"/>
      <c r="L204"/>
      <c r="M204" t="str">
        <f aca="1">IF(VLOOKUP($H204,INDIRECT("Lookup_"&amp;$B204),IF(LEFT($B204,2)="BS",S$2,S$1),0)="","",VLOOKUP($H204,INDIRECT("Lookup_"&amp;$B204),IF(LEFT($B204,2)="BS",S$2,S$1),0))</f>
        <v/>
      </c>
      <c r="N204" t="str">
        <f aca="1">IF(VLOOKUP($H204,INDIRECT("Lookup_"&amp;$B204),IF(LEFT($B204,2)="BS",S$2,S$1),0)="","",VLOOKUP($H204,INDIRECT("Lookup_"&amp;$B204),IF(LEFT($B204,2)="BS",S$2,S$1),0))</f>
        <v/>
      </c>
    </row>
    <row r="205" spans="1:14">
      <c r="A205" t="n">
        <v>208</v>
      </c>
      <c r="B205" t="str">
        <f>VLOOKUP($A205,Aop!$A$2:$P$453,2,0)</f>
        <v>BUa</v>
      </c>
      <c r="C205" t="n">
        <v>27</v>
      </c>
      <c r="D205" t="str">
        <f aca="1">Podatak_MB</f>
        <v>1062280</v>
      </c>
      <c r="E205" t="str">
        <f aca="1">Podatak_JIB</f>
        <v>4400471400001</v>
      </c>
      <c r="F205" t="b">
        <f aca="1">Konsolidovan_izvjestaj</f>
        <v>0</v>
      </c>
      <c r="G205" s="20">
        <f aca="1">Datum_Broj</f>
        <v>45382</v>
      </c>
      <c r="H205">
        <f>VLOOKUP($A205,Aop!$A$2:$P$453,4,0)</f>
        <v>270</v>
      </c>
      <c r="I205">
        <f aca="1">Godina</f>
        <v>2024</v>
      </c>
      <c r="J205" t="str">
        <f aca="1">IF(VLOOKUP($H205,INDIRECT("Lookup_"&amp;$B205),IF(LEFT($B205,2)="BS",R$2,R$1),0)="","",VLOOKUP($H205,INDIRECT("Lookup_"&amp;$B205),IF($B205="BSp",R$2,R$1),0))</f>
        <v/>
      </c>
      <c r="K205"/>
      <c r="L205"/>
      <c r="M205" s="575">
        <f aca="1">IF(VLOOKUP($H205,INDIRECT("Lookup_"&amp;$B205),IF(LEFT($B205,2)="BS",S$2,S$1),0)="","",VLOOKUP($H205,INDIRECT("Lookup_"&amp;$B205),IF(LEFT($B205,2)="BS",S$2,S$1),0))</f>
        <v>5</v>
      </c>
      <c r="N205" s="575">
        <f aca="1">IF(VLOOKUP($H205,INDIRECT("Lookup_"&amp;$B205),IF(LEFT($B205,2)="BS",S$2,S$1),0)="","",VLOOKUP($H205,INDIRECT("Lookup_"&amp;$B205),IF(LEFT($B205,2)="BS",S$2,S$1),0))</f>
        <v>5</v>
      </c>
    </row>
    <row r="206" spans="1:14">
      <c r="A206" t="n">
        <v>209</v>
      </c>
      <c r="B206" t="str">
        <f>VLOOKUP($A206,Aop!$A$2:$P$453,2,0)</f>
        <v>BUa</v>
      </c>
      <c r="C206" t="n">
        <v>27</v>
      </c>
      <c r="D206" t="str">
        <f aca="1">Podatak_MB</f>
        <v>1062280</v>
      </c>
      <c r="E206" t="str">
        <f aca="1">Podatak_JIB</f>
        <v>4400471400001</v>
      </c>
      <c r="F206" t="b">
        <f aca="1">Konsolidovan_izvjestaj</f>
        <v>0</v>
      </c>
      <c r="G206" s="20">
        <f aca="1">Datum_Broj</f>
        <v>45382</v>
      </c>
      <c r="H206">
        <f>VLOOKUP($A206,Aop!$A$2:$P$453,4,0)</f>
        <v>271</v>
      </c>
      <c r="I206">
        <f aca="1">Godina</f>
        <v>2024</v>
      </c>
      <c r="J206" t="str">
        <f aca="1">IF(VLOOKUP($H206,INDIRECT("Lookup_"&amp;$B206),IF(LEFT($B206,2)="BS",R$2,R$1),0)="","",VLOOKUP($H206,INDIRECT("Lookup_"&amp;$B206),IF($B206="BSp",R$2,R$1),0))</f>
        <v/>
      </c>
      <c r="K206"/>
      <c r="L206"/>
      <c r="M206" s="571">
        <f aca="1">IF(VLOOKUP($H206,INDIRECT("Lookup_"&amp;$B206),IF(LEFT($B206,2)="BS",S$2,S$1),0)="","",VLOOKUP($H206,INDIRECT("Lookup_"&amp;$B206),IF(LEFT($B206,2)="BS",S$2,S$1),0))</f>
        <v>17497</v>
      </c>
      <c r="N206" s="571">
        <f aca="1">IF(VLOOKUP($H206,INDIRECT("Lookup_"&amp;$B206),IF(LEFT($B206,2)="BS",S$2,S$1),0)="","",VLOOKUP($H206,INDIRECT("Lookup_"&amp;$B206),IF(LEFT($B206,2)="BS",S$2,S$1),0))</f>
        <v>17497</v>
      </c>
    </row>
    <row r="207" spans="1:14">
      <c r="A207" t="n">
        <v>210</v>
      </c>
      <c r="B207" t="str">
        <f>VLOOKUP($A207,Aop!$A$2:$P$453,2,0)</f>
        <v>BUa</v>
      </c>
      <c r="C207" t="n">
        <v>27</v>
      </c>
      <c r="D207" t="str">
        <f aca="1">Podatak_MB</f>
        <v>1062280</v>
      </c>
      <c r="E207" t="str">
        <f aca="1">Podatak_JIB</f>
        <v>4400471400001</v>
      </c>
      <c r="F207" t="b">
        <f aca="1">Konsolidovan_izvjestaj</f>
        <v>0</v>
      </c>
      <c r="G207" s="20">
        <f aca="1">Datum_Broj</f>
        <v>45382</v>
      </c>
      <c r="H207">
        <f>VLOOKUP($A207,Aop!$A$2:$P$453,4,0)</f>
        <v>272</v>
      </c>
      <c r="I207">
        <f aca="1">Godina</f>
        <v>2024</v>
      </c>
      <c r="J207" t="str">
        <f aca="1">IF(VLOOKUP($H207,INDIRECT("Lookup_"&amp;$B207),IF(LEFT($B207,2)="BS",R$2,R$1),0)="","",VLOOKUP($H207,INDIRECT("Lookup_"&amp;$B207),IF($B207="BSp",R$2,R$1),0))</f>
        <v/>
      </c>
      <c r="K207"/>
      <c r="L207"/>
      <c r="M207" s="571">
        <f aca="1">IF(VLOOKUP($H207,INDIRECT("Lookup_"&amp;$B207),IF(LEFT($B207,2)="BS",S$2,S$1),0)="","",VLOOKUP($H207,INDIRECT("Lookup_"&amp;$B207),IF(LEFT($B207,2)="BS",S$2,S$1),0))</f>
        <v>0</v>
      </c>
      <c r="N207" s="571">
        <f aca="1">IF(VLOOKUP($H207,INDIRECT("Lookup_"&amp;$B207),IF(LEFT($B207,2)="BS",S$2,S$1),0)="","",VLOOKUP($H207,INDIRECT("Lookup_"&amp;$B207),IF(LEFT($B207,2)="BS",S$2,S$1),0))</f>
        <v>0</v>
      </c>
    </row>
    <row r="208" spans="1:14">
      <c r="A208" t="n">
        <v>211</v>
      </c>
      <c r="B208" t="str">
        <f>VLOOKUP($A208,Aop!$A$2:$P$453,2,0)</f>
        <v>BUa</v>
      </c>
      <c r="C208" t="n">
        <v>27</v>
      </c>
      <c r="D208" t="str">
        <f aca="1">Podatak_MB</f>
        <v>1062280</v>
      </c>
      <c r="E208" t="str">
        <f aca="1">Podatak_JIB</f>
        <v>4400471400001</v>
      </c>
      <c r="F208" t="b">
        <f aca="1">Konsolidovan_izvjestaj</f>
        <v>0</v>
      </c>
      <c r="G208" s="20">
        <f aca="1">Datum_Broj</f>
        <v>45382</v>
      </c>
      <c r="H208">
        <f>VLOOKUP($A208,Aop!$A$2:$P$453,4,0)</f>
        <v>273</v>
      </c>
      <c r="I208">
        <f aca="1">Godina</f>
        <v>2024</v>
      </c>
      <c r="J208" t="str">
        <f aca="1">IF(VLOOKUP($H208,INDIRECT("Lookup_"&amp;$B208),IF(LEFT($B208,2)="BS",R$2,R$1),0)="","",VLOOKUP($H208,INDIRECT("Lookup_"&amp;$B208),IF($B208="BSp",R$2,R$1),0))</f>
        <v/>
      </c>
      <c r="K208"/>
      <c r="L208"/>
      <c r="M208" s="571">
        <f aca="1">IF(VLOOKUP($H208,INDIRECT("Lookup_"&amp;$B208),IF(LEFT($B208,2)="BS",S$2,S$1),0)="","",VLOOKUP($H208,INDIRECT("Lookup_"&amp;$B208),IF(LEFT($B208,2)="BS",S$2,S$1),0))</f>
        <v>0</v>
      </c>
      <c r="N208" s="571">
        <f aca="1">IF(VLOOKUP($H208,INDIRECT("Lookup_"&amp;$B208),IF(LEFT($B208,2)="BS",S$2,S$1),0)="","",VLOOKUP($H208,INDIRECT("Lookup_"&amp;$B208),IF(LEFT($B208,2)="BS",S$2,S$1),0))</f>
        <v>0</v>
      </c>
    </row>
    <row r="209" spans="1:14">
      <c r="A209" t="n">
        <v>212</v>
      </c>
      <c r="B209" t="str">
        <f>VLOOKUP($A209,Aop!$A$2:$P$453,2,0)</f>
        <v>BUa</v>
      </c>
      <c r="C209" t="n">
        <v>27</v>
      </c>
      <c r="D209" t="str">
        <f aca="1">Podatak_MB</f>
        <v>1062280</v>
      </c>
      <c r="E209" t="str">
        <f aca="1">Podatak_JIB</f>
        <v>4400471400001</v>
      </c>
      <c r="F209" t="b">
        <f aca="1">Konsolidovan_izvjestaj</f>
        <v>0</v>
      </c>
      <c r="G209" s="20">
        <f aca="1">Datum_Broj</f>
        <v>45382</v>
      </c>
      <c r="H209">
        <f>VLOOKUP($A209,Aop!$A$2:$P$453,4,0)</f>
        <v>274</v>
      </c>
      <c r="I209">
        <f aca="1">Godina</f>
        <v>2024</v>
      </c>
      <c r="J209" t="str">
        <f aca="1">IF(VLOOKUP($H209,INDIRECT("Lookup_"&amp;$B209),IF(LEFT($B209,2)="BS",R$2,R$1),0)="","",VLOOKUP($H209,INDIRECT("Lookup_"&amp;$B209),IF($B209="BSp",R$2,R$1),0))</f>
        <v/>
      </c>
      <c r="K209"/>
      <c r="L209"/>
      <c r="M209" s="571">
        <f aca="1">IF(VLOOKUP($H209,INDIRECT("Lookup_"&amp;$B209),IF(LEFT($B209,2)="BS",S$2,S$1),0)="","",VLOOKUP($H209,INDIRECT("Lookup_"&amp;$B209),IF(LEFT($B209,2)="BS",S$2,S$1),0))</f>
        <v>0</v>
      </c>
      <c r="N209" s="571">
        <f aca="1">IF(VLOOKUP($H209,INDIRECT("Lookup_"&amp;$B209),IF(LEFT($B209,2)="BS",S$2,S$1),0)="","",VLOOKUP($H209,INDIRECT("Lookup_"&amp;$B209),IF(LEFT($B209,2)="BS",S$2,S$1),0))</f>
        <v>0</v>
      </c>
    </row>
    <row r="210" spans="1:14">
      <c r="A210" t="n">
        <v>213</v>
      </c>
      <c r="B210" t="str">
        <f>VLOOKUP($A210,Aop!$A$2:$P$453,2,0)</f>
        <v>BUa</v>
      </c>
      <c r="C210" t="n">
        <v>27</v>
      </c>
      <c r="D210" t="str">
        <f aca="1">Podatak_MB</f>
        <v>1062280</v>
      </c>
      <c r="E210" t="str">
        <f aca="1">Podatak_JIB</f>
        <v>4400471400001</v>
      </c>
      <c r="F210" t="b">
        <f aca="1">Konsolidovan_izvjestaj</f>
        <v>0</v>
      </c>
      <c r="G210" s="20">
        <f aca="1">Datum_Broj</f>
        <v>45382</v>
      </c>
      <c r="H210">
        <f>VLOOKUP($A210,Aop!$A$2:$P$453,4,0)</f>
        <v>275</v>
      </c>
      <c r="I210">
        <f aca="1">Godina</f>
        <v>2024</v>
      </c>
      <c r="J210" t="str">
        <f aca="1">IF(VLOOKUP($H210,INDIRECT("Lookup_"&amp;$B210),IF(LEFT($B210,2)="BS",R$2,R$1),0)="","",VLOOKUP($H210,INDIRECT("Lookup_"&amp;$B210),IF($B210="BSp",R$2,R$1),0))</f>
        <v/>
      </c>
      <c r="K210"/>
      <c r="L210"/>
      <c r="M210" t="str">
        <f aca="1">IF(VLOOKUP($H210,INDIRECT("Lookup_"&amp;$B210),IF(LEFT($B210,2)="BS",S$2,S$1),0)="","",VLOOKUP($H210,INDIRECT("Lookup_"&amp;$B210),IF(LEFT($B210,2)="BS",S$2,S$1),0))</f>
        <v/>
      </c>
      <c r="N210" t="str">
        <f aca="1">IF(VLOOKUP($H210,INDIRECT("Lookup_"&amp;$B210),IF(LEFT($B210,2)="BS",S$2,S$1),0)="","",VLOOKUP($H210,INDIRECT("Lookup_"&amp;$B210),IF(LEFT($B210,2)="BS",S$2,S$1),0))</f>
        <v/>
      </c>
    </row>
    <row r="211" spans="1:14">
      <c r="A211" t="n">
        <v>214</v>
      </c>
      <c r="B211" t="str">
        <f>VLOOKUP($A211,Aop!$A$2:$P$453,2,0)</f>
        <v>BUa</v>
      </c>
      <c r="C211" t="n">
        <v>27</v>
      </c>
      <c r="D211" t="str">
        <f aca="1">Podatak_MB</f>
        <v>1062280</v>
      </c>
      <c r="E211" t="str">
        <f aca="1">Podatak_JIB</f>
        <v>4400471400001</v>
      </c>
      <c r="F211" t="b">
        <f aca="1">Konsolidovan_izvjestaj</f>
        <v>0</v>
      </c>
      <c r="G211" s="20">
        <f aca="1">Datum_Broj</f>
        <v>45382</v>
      </c>
      <c r="H211">
        <f>VLOOKUP($A211,Aop!$A$2:$P$453,4,0)</f>
        <v>276</v>
      </c>
      <c r="I211">
        <f aca="1">Godina</f>
        <v>2024</v>
      </c>
      <c r="J211" t="str">
        <f aca="1">IF(VLOOKUP($H211,INDIRECT("Lookup_"&amp;$B211),IF(LEFT($B211,2)="BS",R$2,R$1),0)="","",VLOOKUP($H211,INDIRECT("Lookup_"&amp;$B211),IF($B211="BSp",R$2,R$1),0))</f>
        <v/>
      </c>
      <c r="K211"/>
      <c r="L211"/>
      <c r="M211" t="str">
        <f aca="1">IF(VLOOKUP($H211,INDIRECT("Lookup_"&amp;$B211),IF(LEFT($B211,2)="BS",S$2,S$1),0)="","",VLOOKUP($H211,INDIRECT("Lookup_"&amp;$B211),IF(LEFT($B211,2)="BS",S$2,S$1),0))</f>
        <v/>
      </c>
      <c r="N211" t="str">
        <f aca="1">IF(VLOOKUP($H211,INDIRECT("Lookup_"&amp;$B211),IF(LEFT($B211,2)="BS",S$2,S$1),0)="","",VLOOKUP($H211,INDIRECT("Lookup_"&amp;$B211),IF(LEFT($B211,2)="BS",S$2,S$1),0))</f>
        <v/>
      </c>
    </row>
    <row r="212" spans="1:14">
      <c r="A212" t="n">
        <v>215</v>
      </c>
      <c r="B212" t="str">
        <f>VLOOKUP($A212,Aop!$A$2:$P$453,2,0)</f>
        <v>BUa</v>
      </c>
      <c r="C212" t="n">
        <v>27</v>
      </c>
      <c r="D212" t="str">
        <f aca="1">Podatak_MB</f>
        <v>1062280</v>
      </c>
      <c r="E212" t="str">
        <f aca="1">Podatak_JIB</f>
        <v>4400471400001</v>
      </c>
      <c r="F212" t="b">
        <f aca="1">Konsolidovan_izvjestaj</f>
        <v>0</v>
      </c>
      <c r="G212" s="20">
        <f aca="1">Datum_Broj</f>
        <v>45382</v>
      </c>
      <c r="H212">
        <f>VLOOKUP($A212,Aop!$A$2:$P$453,4,0)</f>
        <v>277</v>
      </c>
      <c r="I212">
        <f aca="1">Godina</f>
        <v>2024</v>
      </c>
      <c r="J212" t="str">
        <f aca="1">IF(VLOOKUP($H212,INDIRECT("Lookup_"&amp;$B212),IF(LEFT($B212,2)="BS",R$2,R$1),0)="","",VLOOKUP($H212,INDIRECT("Lookup_"&amp;$B212),IF($B212="BSp",R$2,R$1),0))</f>
        <v/>
      </c>
      <c r="K212"/>
      <c r="L212"/>
      <c r="M212" t="str">
        <f aca="1">IF(VLOOKUP($H212,INDIRECT("Lookup_"&amp;$B212),IF(LEFT($B212,2)="BS",S$2,S$1),0)="","",VLOOKUP($H212,INDIRECT("Lookup_"&amp;$B212),IF(LEFT($B212,2)="BS",S$2,S$1),0))</f>
        <v/>
      </c>
      <c r="N212" t="str">
        <f aca="1">IF(VLOOKUP($H212,INDIRECT("Lookup_"&amp;$B212),IF(LEFT($B212,2)="BS",S$2,S$1),0)="","",VLOOKUP($H212,INDIRECT("Lookup_"&amp;$B212),IF(LEFT($B212,2)="BS",S$2,S$1),0))</f>
        <v/>
      </c>
    </row>
    <row r="213" spans="1:14">
      <c r="A213" t="n">
        <v>216</v>
      </c>
      <c r="B213" t="str">
        <f>VLOOKUP($A213,Aop!$A$2:$P$453,2,0)</f>
        <v>BUa</v>
      </c>
      <c r="C213" t="n">
        <v>27</v>
      </c>
      <c r="D213" t="str">
        <f aca="1">Podatak_MB</f>
        <v>1062280</v>
      </c>
      <c r="E213" t="str">
        <f aca="1">Podatak_JIB</f>
        <v>4400471400001</v>
      </c>
      <c r="F213" t="b">
        <f aca="1">Konsolidovan_izvjestaj</f>
        <v>0</v>
      </c>
      <c r="G213" s="20">
        <f aca="1">Datum_Broj</f>
        <v>45382</v>
      </c>
      <c r="H213">
        <f>VLOOKUP($A213,Aop!$A$2:$P$453,4,0)</f>
        <v>278</v>
      </c>
      <c r="I213">
        <f aca="1">Godina</f>
        <v>2024</v>
      </c>
      <c r="J213" t="str">
        <f aca="1">IF(VLOOKUP($H213,INDIRECT("Lookup_"&amp;$B213),IF(LEFT($B213,2)="BS",R$2,R$1),0)="","",VLOOKUP($H213,INDIRECT("Lookup_"&amp;$B213),IF($B213="BSp",R$2,R$1),0))</f>
        <v/>
      </c>
      <c r="K213"/>
      <c r="L213"/>
      <c r="M213" t="str">
        <f aca="1">IF(VLOOKUP($H213,INDIRECT("Lookup_"&amp;$B213),IF(LEFT($B213,2)="BS",S$2,S$1),0)="","",VLOOKUP($H213,INDIRECT("Lookup_"&amp;$B213),IF(LEFT($B213,2)="BS",S$2,S$1),0))</f>
        <v/>
      </c>
      <c r="N213" t="str">
        <f aca="1">IF(VLOOKUP($H213,INDIRECT("Lookup_"&amp;$B213),IF(LEFT($B213,2)="BS",S$2,S$1),0)="","",VLOOKUP($H213,INDIRECT("Lookup_"&amp;$B213),IF(LEFT($B213,2)="BS",S$2,S$1),0))</f>
        <v/>
      </c>
    </row>
    <row r="214" spans="1:14">
      <c r="A214" t="n">
        <v>217</v>
      </c>
      <c r="B214" t="str">
        <f>VLOOKUP($A214,Aop!$A$2:$P$453,2,0)</f>
        <v>BUa</v>
      </c>
      <c r="C214" t="n">
        <v>27</v>
      </c>
      <c r="D214" t="str">
        <f aca="1">Podatak_MB</f>
        <v>1062280</v>
      </c>
      <c r="E214" t="str">
        <f aca="1">Podatak_JIB</f>
        <v>4400471400001</v>
      </c>
      <c r="F214" t="b">
        <f aca="1">Konsolidovan_izvjestaj</f>
        <v>0</v>
      </c>
      <c r="G214" s="20">
        <f aca="1">Datum_Broj</f>
        <v>45382</v>
      </c>
      <c r="H214">
        <f>VLOOKUP($A214,Aop!$A$2:$P$453,4,0)</f>
        <v>279</v>
      </c>
      <c r="I214">
        <f aca="1">Godina</f>
        <v>2024</v>
      </c>
      <c r="J214" t="str">
        <f aca="1">IF(VLOOKUP($H214,INDIRECT("Lookup_"&amp;$B214),IF(LEFT($B214,2)="BS",R$2,R$1),0)="","",VLOOKUP($H214,INDIRECT("Lookup_"&amp;$B214),IF($B214="BSp",R$2,R$1),0))</f>
        <v/>
      </c>
      <c r="K214"/>
      <c r="L214"/>
      <c r="M214" t="str">
        <f aca="1">IF(VLOOKUP($H214,INDIRECT("Lookup_"&amp;$B214),IF(LEFT($B214,2)="BS",S$2,S$1),0)="","",VLOOKUP($H214,INDIRECT("Lookup_"&amp;$B214),IF(LEFT($B214,2)="BS",S$2,S$1),0))</f>
        <v/>
      </c>
      <c r="N214" t="str">
        <f aca="1">IF(VLOOKUP($H214,INDIRECT("Lookup_"&amp;$B214),IF(LEFT($B214,2)="BS",S$2,S$1),0)="","",VLOOKUP($H214,INDIRECT("Lookup_"&amp;$B214),IF(LEFT($B214,2)="BS",S$2,S$1),0))</f>
        <v/>
      </c>
    </row>
    <row r="215" spans="1:14">
      <c r="A215" t="n">
        <v>218</v>
      </c>
      <c r="B215" t="str">
        <f>VLOOKUP($A215,Aop!$A$2:$P$453,2,0)</f>
        <v>BUa</v>
      </c>
      <c r="C215" t="n">
        <v>27</v>
      </c>
      <c r="D215" t="str">
        <f aca="1">Podatak_MB</f>
        <v>1062280</v>
      </c>
      <c r="E215" t="str">
        <f aca="1">Podatak_JIB</f>
        <v>4400471400001</v>
      </c>
      <c r="F215" t="b">
        <f aca="1">Konsolidovan_izvjestaj</f>
        <v>0</v>
      </c>
      <c r="G215" s="20">
        <f aca="1">Datum_Broj</f>
        <v>45382</v>
      </c>
      <c r="H215">
        <f>VLOOKUP($A215,Aop!$A$2:$P$453,4,0)</f>
        <v>280</v>
      </c>
      <c r="I215">
        <f aca="1">Godina</f>
        <v>2024</v>
      </c>
      <c r="J215" t="str">
        <f aca="1">IF(VLOOKUP($H215,INDIRECT("Lookup_"&amp;$B215),IF(LEFT($B215,2)="BS",R$2,R$1),0)="","",VLOOKUP($H215,INDIRECT("Lookup_"&amp;$B215),IF($B215="BSp",R$2,R$1),0))</f>
        <v/>
      </c>
      <c r="K215"/>
      <c r="L215"/>
      <c r="M215" t="str">
        <f aca="1">IF(VLOOKUP($H215,INDIRECT("Lookup_"&amp;$B215),IF(LEFT($B215,2)="BS",S$2,S$1),0)="","",VLOOKUP($H215,INDIRECT("Lookup_"&amp;$B215),IF(LEFT($B215,2)="BS",S$2,S$1),0))</f>
        <v/>
      </c>
      <c r="N215" t="str">
        <f aca="1">IF(VLOOKUP($H215,INDIRECT("Lookup_"&amp;$B215),IF(LEFT($B215,2)="BS",S$2,S$1),0)="","",VLOOKUP($H215,INDIRECT("Lookup_"&amp;$B215),IF(LEFT($B215,2)="BS",S$2,S$1),0))</f>
        <v/>
      </c>
    </row>
    <row r="216" spans="1:14">
      <c r="A216" t="n">
        <v>219</v>
      </c>
      <c r="B216" t="str">
        <f>VLOOKUP($A216,Aop!$A$2:$P$453,2,0)</f>
        <v>BUa</v>
      </c>
      <c r="C216" t="n">
        <v>27</v>
      </c>
      <c r="D216" t="str">
        <f aca="1">Podatak_MB</f>
        <v>1062280</v>
      </c>
      <c r="E216" t="str">
        <f aca="1">Podatak_JIB</f>
        <v>4400471400001</v>
      </c>
      <c r="F216" t="b">
        <f aca="1">Konsolidovan_izvjestaj</f>
        <v>0</v>
      </c>
      <c r="G216" s="20">
        <f aca="1">Datum_Broj</f>
        <v>45382</v>
      </c>
      <c r="H216">
        <f>VLOOKUP($A216,Aop!$A$2:$P$453,4,0)</f>
        <v>281</v>
      </c>
      <c r="I216">
        <f aca="1">Godina</f>
        <v>2024</v>
      </c>
      <c r="J216" t="str">
        <f aca="1">IF(VLOOKUP($H216,INDIRECT("Lookup_"&amp;$B216),IF(LEFT($B216,2)="BS",R$2,R$1),0)="","",VLOOKUP($H216,INDIRECT("Lookup_"&amp;$B216),IF($B216="BSp",R$2,R$1),0))</f>
        <v/>
      </c>
      <c r="K216"/>
      <c r="L216"/>
      <c r="M216" s="571">
        <f aca="1">IF(VLOOKUP($H216,INDIRECT("Lookup_"&amp;$B216),IF(LEFT($B216,2)="BS",S$2,S$1),0)="","",VLOOKUP($H216,INDIRECT("Lookup_"&amp;$B216),IF(LEFT($B216,2)="BS",S$2,S$1),0))</f>
        <v>0</v>
      </c>
      <c r="N216" s="571">
        <f aca="1">IF(VLOOKUP($H216,INDIRECT("Lookup_"&amp;$B216),IF(LEFT($B216,2)="BS",S$2,S$1),0)="","",VLOOKUP($H216,INDIRECT("Lookup_"&amp;$B216),IF(LEFT($B216,2)="BS",S$2,S$1),0))</f>
        <v>0</v>
      </c>
    </row>
    <row r="217" spans="1:14">
      <c r="A217" t="n">
        <v>220</v>
      </c>
      <c r="B217" t="str">
        <f>VLOOKUP($A217,Aop!$A$2:$P$453,2,0)</f>
        <v>BUa</v>
      </c>
      <c r="C217" t="n">
        <v>27</v>
      </c>
      <c r="D217" t="str">
        <f aca="1">Podatak_MB</f>
        <v>1062280</v>
      </c>
      <c r="E217" t="str">
        <f aca="1">Podatak_JIB</f>
        <v>4400471400001</v>
      </c>
      <c r="F217" t="b">
        <f aca="1">Konsolidovan_izvjestaj</f>
        <v>0</v>
      </c>
      <c r="G217" s="20">
        <f aca="1">Datum_Broj</f>
        <v>45382</v>
      </c>
      <c r="H217">
        <f>VLOOKUP($A217,Aop!$A$2:$P$453,4,0)</f>
        <v>282</v>
      </c>
      <c r="I217">
        <f aca="1">Godina</f>
        <v>2024</v>
      </c>
      <c r="J217" t="str">
        <f aca="1">IF(VLOOKUP($H217,INDIRECT("Lookup_"&amp;$B217),IF(LEFT($B217,2)="BS",R$2,R$1),0)="","",VLOOKUP($H217,INDIRECT("Lookup_"&amp;$B217),IF($B217="BSp",R$2,R$1),0))</f>
        <v/>
      </c>
      <c r="K217"/>
      <c r="L217"/>
      <c r="M217" t="str">
        <f aca="1">IF(VLOOKUP($H217,INDIRECT("Lookup_"&amp;$B217),IF(LEFT($B217,2)="BS",S$2,S$1),0)="","",VLOOKUP($H217,INDIRECT("Lookup_"&amp;$B217),IF(LEFT($B217,2)="BS",S$2,S$1),0))</f>
        <v/>
      </c>
      <c r="N217" t="str">
        <f aca="1">IF(VLOOKUP($H217,INDIRECT("Lookup_"&amp;$B217),IF(LEFT($B217,2)="BS",S$2,S$1),0)="","",VLOOKUP($H217,INDIRECT("Lookup_"&amp;$B217),IF(LEFT($B217,2)="BS",S$2,S$1),0))</f>
        <v/>
      </c>
    </row>
    <row r="218" spans="1:14">
      <c r="A218" t="n">
        <v>221</v>
      </c>
      <c r="B218" t="str">
        <f>VLOOKUP($A218,Aop!$A$2:$P$453,2,0)</f>
        <v>BUa</v>
      </c>
      <c r="C218" t="n">
        <v>27</v>
      </c>
      <c r="D218" t="str">
        <f aca="1">Podatak_MB</f>
        <v>1062280</v>
      </c>
      <c r="E218" t="str">
        <f aca="1">Podatak_JIB</f>
        <v>4400471400001</v>
      </c>
      <c r="F218" t="b">
        <f aca="1">Konsolidovan_izvjestaj</f>
        <v>0</v>
      </c>
      <c r="G218" s="20">
        <f aca="1">Datum_Broj</f>
        <v>45382</v>
      </c>
      <c r="H218">
        <f>VLOOKUP($A218,Aop!$A$2:$P$453,4,0)</f>
        <v>283</v>
      </c>
      <c r="I218">
        <f aca="1">Godina</f>
        <v>2024</v>
      </c>
      <c r="J218" t="str">
        <f aca="1">IF(VLOOKUP($H218,INDIRECT("Lookup_"&amp;$B218),IF(LEFT($B218,2)="BS",R$2,R$1),0)="","",VLOOKUP($H218,INDIRECT("Lookup_"&amp;$B218),IF($B218="BSp",R$2,R$1),0))</f>
        <v/>
      </c>
      <c r="K218"/>
      <c r="L218"/>
      <c r="M218" t="str">
        <f aca="1">IF(VLOOKUP($H218,INDIRECT("Lookup_"&amp;$B218),IF(LEFT($B218,2)="BS",S$2,S$1),0)="","",VLOOKUP($H218,INDIRECT("Lookup_"&amp;$B218),IF(LEFT($B218,2)="BS",S$2,S$1),0))</f>
        <v/>
      </c>
      <c r="N218" t="str">
        <f aca="1">IF(VLOOKUP($H218,INDIRECT("Lookup_"&amp;$B218),IF(LEFT($B218,2)="BS",S$2,S$1),0)="","",VLOOKUP($H218,INDIRECT("Lookup_"&amp;$B218),IF(LEFT($B218,2)="BS",S$2,S$1),0))</f>
        <v/>
      </c>
    </row>
    <row r="219" spans="1:14">
      <c r="A219" t="n">
        <v>222</v>
      </c>
      <c r="B219" t="str">
        <f>VLOOKUP($A219,Aop!$A$2:$P$453,2,0)</f>
        <v>BUa</v>
      </c>
      <c r="C219" t="n">
        <v>27</v>
      </c>
      <c r="D219" t="str">
        <f aca="1">Podatak_MB</f>
        <v>1062280</v>
      </c>
      <c r="E219" t="str">
        <f aca="1">Podatak_JIB</f>
        <v>4400471400001</v>
      </c>
      <c r="F219" t="b">
        <f aca="1">Konsolidovan_izvjestaj</f>
        <v>0</v>
      </c>
      <c r="G219" s="20">
        <f aca="1">Datum_Broj</f>
        <v>45382</v>
      </c>
      <c r="H219">
        <f>VLOOKUP($A219,Aop!$A$2:$P$453,4,0)</f>
        <v>284</v>
      </c>
      <c r="I219">
        <f aca="1">Godina</f>
        <v>2024</v>
      </c>
      <c r="J219" t="str">
        <f aca="1">IF(VLOOKUP($H219,INDIRECT("Lookup_"&amp;$B219),IF(LEFT($B219,2)="BS",R$2,R$1),0)="","",VLOOKUP($H219,INDIRECT("Lookup_"&amp;$B219),IF($B219="BSp",R$2,R$1),0))</f>
        <v/>
      </c>
      <c r="K219"/>
      <c r="L219"/>
      <c r="M219" t="str">
        <f aca="1">IF(VLOOKUP($H219,INDIRECT("Lookup_"&amp;$B219),IF(LEFT($B219,2)="BS",S$2,S$1),0)="","",VLOOKUP($H219,INDIRECT("Lookup_"&amp;$B219),IF(LEFT($B219,2)="BS",S$2,S$1),0))</f>
        <v/>
      </c>
      <c r="N219" t="str">
        <f aca="1">IF(VLOOKUP($H219,INDIRECT("Lookup_"&amp;$B219),IF(LEFT($B219,2)="BS",S$2,S$1),0)="","",VLOOKUP($H219,INDIRECT("Lookup_"&amp;$B219),IF(LEFT($B219,2)="BS",S$2,S$1),0))</f>
        <v/>
      </c>
    </row>
    <row r="220" spans="1:14">
      <c r="A220" t="n">
        <v>223</v>
      </c>
      <c r="B220" t="str">
        <f>VLOOKUP($A220,Aop!$A$2:$P$453,2,0)</f>
        <v>BUa</v>
      </c>
      <c r="C220" t="n">
        <v>27</v>
      </c>
      <c r="D220" t="str">
        <f aca="1">Podatak_MB</f>
        <v>1062280</v>
      </c>
      <c r="E220" t="str">
        <f aca="1">Podatak_JIB</f>
        <v>4400471400001</v>
      </c>
      <c r="F220" t="b">
        <f aca="1">Konsolidovan_izvjestaj</f>
        <v>0</v>
      </c>
      <c r="G220" s="20">
        <f aca="1">Datum_Broj</f>
        <v>45382</v>
      </c>
      <c r="H220">
        <f>VLOOKUP($A220,Aop!$A$2:$P$453,4,0)</f>
        <v>285</v>
      </c>
      <c r="I220">
        <f aca="1">Godina</f>
        <v>2024</v>
      </c>
      <c r="J220" t="str">
        <f aca="1">IF(VLOOKUP($H220,INDIRECT("Lookup_"&amp;$B220),IF(LEFT($B220,2)="BS",R$2,R$1),0)="","",VLOOKUP($H220,INDIRECT("Lookup_"&amp;$B220),IF($B220="BSp",R$2,R$1),0))</f>
        <v/>
      </c>
      <c r="K220"/>
      <c r="L220"/>
      <c r="M220" t="str">
        <f aca="1">IF(VLOOKUP($H220,INDIRECT("Lookup_"&amp;$B220),IF(LEFT($B220,2)="BS",S$2,S$1),0)="","",VLOOKUP($H220,INDIRECT("Lookup_"&amp;$B220),IF(LEFT($B220,2)="BS",S$2,S$1),0))</f>
        <v/>
      </c>
      <c r="N220" t="str">
        <f aca="1">IF(VLOOKUP($H220,INDIRECT("Lookup_"&amp;$B220),IF(LEFT($B220,2)="BS",S$2,S$1),0)="","",VLOOKUP($H220,INDIRECT("Lookup_"&amp;$B220),IF(LEFT($B220,2)="BS",S$2,S$1),0))</f>
        <v/>
      </c>
    </row>
    <row r="221" spans="1:14">
      <c r="A221" t="n">
        <v>224</v>
      </c>
      <c r="B221" t="str">
        <f>VLOOKUP($A221,Aop!$A$2:$P$453,2,0)</f>
        <v>BUa</v>
      </c>
      <c r="C221" t="n">
        <v>27</v>
      </c>
      <c r="D221" t="str">
        <f aca="1">Podatak_MB</f>
        <v>1062280</v>
      </c>
      <c r="E221" t="str">
        <f aca="1">Podatak_JIB</f>
        <v>4400471400001</v>
      </c>
      <c r="F221" t="b">
        <f aca="1">Konsolidovan_izvjestaj</f>
        <v>0</v>
      </c>
      <c r="G221" s="20">
        <f aca="1">Datum_Broj</f>
        <v>45382</v>
      </c>
      <c r="H221">
        <f>VLOOKUP($A221,Aop!$A$2:$P$453,4,0)</f>
        <v>286</v>
      </c>
      <c r="I221">
        <f aca="1">Godina</f>
        <v>2024</v>
      </c>
      <c r="J221" t="str">
        <f aca="1">IF(VLOOKUP($H221,INDIRECT("Lookup_"&amp;$B221),IF(LEFT($B221,2)="BS",R$2,R$1),0)="","",VLOOKUP($H221,INDIRECT("Lookup_"&amp;$B221),IF($B221="BSp",R$2,R$1),0))</f>
        <v/>
      </c>
      <c r="K221"/>
      <c r="L221"/>
      <c r="M221" s="571">
        <f aca="1">IF(VLOOKUP($H221,INDIRECT("Lookup_"&amp;$B221),IF(LEFT($B221,2)="BS",S$2,S$1),0)="","",VLOOKUP($H221,INDIRECT("Lookup_"&amp;$B221),IF(LEFT($B221,2)="BS",S$2,S$1),0))</f>
        <v>0</v>
      </c>
      <c r="N221" s="571">
        <f aca="1">IF(VLOOKUP($H221,INDIRECT("Lookup_"&amp;$B221),IF(LEFT($B221,2)="BS",S$2,S$1),0)="","",VLOOKUP($H221,INDIRECT("Lookup_"&amp;$B221),IF(LEFT($B221,2)="BS",S$2,S$1),0))</f>
        <v>0</v>
      </c>
    </row>
    <row r="222" spans="1:14">
      <c r="A222" t="n">
        <v>225</v>
      </c>
      <c r="B222" t="str">
        <f>VLOOKUP($A222,Aop!$A$2:$P$453,2,0)</f>
        <v>BUa</v>
      </c>
      <c r="C222" t="n">
        <v>27</v>
      </c>
      <c r="D222" t="str">
        <f aca="1">Podatak_MB</f>
        <v>1062280</v>
      </c>
      <c r="E222" t="str">
        <f aca="1">Podatak_JIB</f>
        <v>4400471400001</v>
      </c>
      <c r="F222" t="b">
        <f aca="1">Konsolidovan_izvjestaj</f>
        <v>0</v>
      </c>
      <c r="G222" s="20">
        <f aca="1">Datum_Broj</f>
        <v>45382</v>
      </c>
      <c r="H222">
        <f>VLOOKUP($A222,Aop!$A$2:$P$453,4,0)</f>
        <v>287</v>
      </c>
      <c r="I222">
        <f aca="1">Godina</f>
        <v>2024</v>
      </c>
      <c r="J222" t="str">
        <f aca="1">IF(VLOOKUP($H222,INDIRECT("Lookup_"&amp;$B222),IF(LEFT($B222,2)="BS",R$2,R$1),0)="","",VLOOKUP($H222,INDIRECT("Lookup_"&amp;$B222),IF($B222="BSp",R$2,R$1),0))</f>
        <v/>
      </c>
      <c r="K222"/>
      <c r="L222"/>
      <c r="M222" s="571">
        <f aca="1">IF(VLOOKUP($H222,INDIRECT("Lookup_"&amp;$B222),IF(LEFT($B222,2)="BS",S$2,S$1),0)="","",VLOOKUP($H222,INDIRECT("Lookup_"&amp;$B222),IF(LEFT($B222,2)="BS",S$2,S$1),0))</f>
        <v>0</v>
      </c>
      <c r="N222" s="571">
        <f aca="1">IF(VLOOKUP($H222,INDIRECT("Lookup_"&amp;$B222),IF(LEFT($B222,2)="BS",S$2,S$1),0)="","",VLOOKUP($H222,INDIRECT("Lookup_"&amp;$B222),IF(LEFT($B222,2)="BS",S$2,S$1),0))</f>
        <v>0</v>
      </c>
    </row>
    <row r="223" spans="1:14">
      <c r="A223" t="n">
        <v>226</v>
      </c>
      <c r="B223" t="str">
        <f>VLOOKUP($A223,Aop!$A$2:$P$453,2,0)</f>
        <v>BUa</v>
      </c>
      <c r="C223" t="n">
        <v>27</v>
      </c>
      <c r="D223" t="str">
        <f aca="1">Podatak_MB</f>
        <v>1062280</v>
      </c>
      <c r="E223" t="str">
        <f aca="1">Podatak_JIB</f>
        <v>4400471400001</v>
      </c>
      <c r="F223" t="b">
        <f aca="1">Konsolidovan_izvjestaj</f>
        <v>0</v>
      </c>
      <c r="G223" s="20">
        <f aca="1">Datum_Broj</f>
        <v>45382</v>
      </c>
      <c r="H223">
        <f>VLOOKUP($A223,Aop!$A$2:$P$453,4,0)</f>
        <v>288</v>
      </c>
      <c r="I223">
        <f aca="1">Godina</f>
        <v>2024</v>
      </c>
      <c r="J223" t="str">
        <f aca="1">IF(VLOOKUP($H223,INDIRECT("Lookup_"&amp;$B223),IF(LEFT($B223,2)="BS",R$2,R$1),0)="","",VLOOKUP($H223,INDIRECT("Lookup_"&amp;$B223),IF($B223="BSp",R$2,R$1),0))</f>
        <v/>
      </c>
      <c r="K223"/>
      <c r="L223"/>
      <c r="M223" t="str">
        <f aca="1">IF(VLOOKUP($H223,INDIRECT("Lookup_"&amp;$B223),IF(LEFT($B223,2)="BS",S$2,S$1),0)="","",VLOOKUP($H223,INDIRECT("Lookup_"&amp;$B223),IF(LEFT($B223,2)="BS",S$2,S$1),0))</f>
        <v/>
      </c>
      <c r="N223" t="str">
        <f aca="1">IF(VLOOKUP($H223,INDIRECT("Lookup_"&amp;$B223),IF(LEFT($B223,2)="BS",S$2,S$1),0)="","",VLOOKUP($H223,INDIRECT("Lookup_"&amp;$B223),IF(LEFT($B223,2)="BS",S$2,S$1),0))</f>
        <v/>
      </c>
    </row>
    <row r="224" spans="1:14">
      <c r="A224" t="n">
        <v>227</v>
      </c>
      <c r="B224" t="str">
        <f>VLOOKUP($A224,Aop!$A$2:$P$453,2,0)</f>
        <v>BUa</v>
      </c>
      <c r="C224" t="n">
        <v>27</v>
      </c>
      <c r="D224" t="str">
        <f aca="1">Podatak_MB</f>
        <v>1062280</v>
      </c>
      <c r="E224" t="str">
        <f aca="1">Podatak_JIB</f>
        <v>4400471400001</v>
      </c>
      <c r="F224" t="b">
        <f aca="1">Konsolidovan_izvjestaj</f>
        <v>0</v>
      </c>
      <c r="G224" s="20">
        <f aca="1">Datum_Broj</f>
        <v>45382</v>
      </c>
      <c r="H224">
        <f>VLOOKUP($A224,Aop!$A$2:$P$453,4,0)</f>
        <v>289</v>
      </c>
      <c r="I224">
        <f aca="1">Godina</f>
        <v>2024</v>
      </c>
      <c r="J224" t="str">
        <f aca="1">IF(VLOOKUP($H224,INDIRECT("Lookup_"&amp;$B224),IF(LEFT($B224,2)="BS",R$2,R$1),0)="","",VLOOKUP($H224,INDIRECT("Lookup_"&amp;$B224),IF($B224="BSp",R$2,R$1),0))</f>
        <v/>
      </c>
      <c r="K224"/>
      <c r="L224"/>
      <c r="M224" t="str">
        <f aca="1">IF(VLOOKUP($H224,INDIRECT("Lookup_"&amp;$B224),IF(LEFT($B224,2)="BS",S$2,S$1),0)="","",VLOOKUP($H224,INDIRECT("Lookup_"&amp;$B224),IF(LEFT($B224,2)="BS",S$2,S$1),0))</f>
        <v/>
      </c>
      <c r="N224" t="str">
        <f aca="1">IF(VLOOKUP($H224,INDIRECT("Lookup_"&amp;$B224),IF(LEFT($B224,2)="BS",S$2,S$1),0)="","",VLOOKUP($H224,INDIRECT("Lookup_"&amp;$B224),IF(LEFT($B224,2)="BS",S$2,S$1),0))</f>
        <v/>
      </c>
    </row>
    <row r="225" spans="1:14">
      <c r="A225" t="n">
        <v>228</v>
      </c>
      <c r="B225" t="str">
        <f>VLOOKUP($A225,Aop!$A$2:$P$453,2,0)</f>
        <v>BUa</v>
      </c>
      <c r="C225" t="n">
        <v>27</v>
      </c>
      <c r="D225" t="str">
        <f aca="1">Podatak_MB</f>
        <v>1062280</v>
      </c>
      <c r="E225" t="str">
        <f aca="1">Podatak_JIB</f>
        <v>4400471400001</v>
      </c>
      <c r="F225" t="b">
        <f aca="1">Konsolidovan_izvjestaj</f>
        <v>0</v>
      </c>
      <c r="G225" s="20">
        <f aca="1">Datum_Broj</f>
        <v>45382</v>
      </c>
      <c r="H225">
        <f>VLOOKUP($A225,Aop!$A$2:$P$453,4,0)</f>
        <v>290</v>
      </c>
      <c r="I225">
        <f aca="1">Godina</f>
        <v>2024</v>
      </c>
      <c r="J225" t="str">
        <f aca="1">IF(VLOOKUP($H225,INDIRECT("Lookup_"&amp;$B225),IF(LEFT($B225,2)="BS",R$2,R$1),0)="","",VLOOKUP($H225,INDIRECT("Lookup_"&amp;$B225),IF($B225="BSp",R$2,R$1),0))</f>
        <v/>
      </c>
      <c r="K225"/>
      <c r="L225"/>
      <c r="M225" t="str">
        <f aca="1">IF(VLOOKUP($H225,INDIRECT("Lookup_"&amp;$B225),IF(LEFT($B225,2)="BS",S$2,S$1),0)="","",VLOOKUP($H225,INDIRECT("Lookup_"&amp;$B225),IF(LEFT($B225,2)="BS",S$2,S$1),0))</f>
        <v/>
      </c>
      <c r="N225" t="str">
        <f aca="1">IF(VLOOKUP($H225,INDIRECT("Lookup_"&amp;$B225),IF(LEFT($B225,2)="BS",S$2,S$1),0)="","",VLOOKUP($H225,INDIRECT("Lookup_"&amp;$B225),IF(LEFT($B225,2)="BS",S$2,S$1),0))</f>
        <v/>
      </c>
    </row>
    <row r="226" spans="1:14">
      <c r="A226" t="n">
        <v>229</v>
      </c>
      <c r="B226" t="str">
        <f>VLOOKUP($A226,Aop!$A$2:$P$453,2,0)</f>
        <v>BUa</v>
      </c>
      <c r="C226" t="n">
        <v>27</v>
      </c>
      <c r="D226" t="str">
        <f aca="1">Podatak_MB</f>
        <v>1062280</v>
      </c>
      <c r="E226" t="str">
        <f aca="1">Podatak_JIB</f>
        <v>4400471400001</v>
      </c>
      <c r="F226" t="b">
        <f aca="1">Konsolidovan_izvjestaj</f>
        <v>0</v>
      </c>
      <c r="G226" s="20">
        <f aca="1">Datum_Broj</f>
        <v>45382</v>
      </c>
      <c r="H226">
        <f>VLOOKUP($A226,Aop!$A$2:$P$453,4,0)</f>
        <v>291</v>
      </c>
      <c r="I226">
        <f aca="1">Godina</f>
        <v>2024</v>
      </c>
      <c r="J226" t="str">
        <f aca="1">IF(VLOOKUP($H226,INDIRECT("Lookup_"&amp;$B226),IF(LEFT($B226,2)="BS",R$2,R$1),0)="","",VLOOKUP($H226,INDIRECT("Lookup_"&amp;$B226),IF($B226="BSp",R$2,R$1),0))</f>
        <v/>
      </c>
      <c r="K226"/>
      <c r="L226"/>
      <c r="M226" t="str">
        <f aca="1">IF(VLOOKUP($H226,INDIRECT("Lookup_"&amp;$B226),IF(LEFT($B226,2)="BS",S$2,S$1),0)="","",VLOOKUP($H226,INDIRECT("Lookup_"&amp;$B226),IF(LEFT($B226,2)="BS",S$2,S$1),0))</f>
        <v/>
      </c>
      <c r="N226" t="str">
        <f aca="1">IF(VLOOKUP($H226,INDIRECT("Lookup_"&amp;$B226),IF(LEFT($B226,2)="BS",S$2,S$1),0)="","",VLOOKUP($H226,INDIRECT("Lookup_"&amp;$B226),IF(LEFT($B226,2)="BS",S$2,S$1),0))</f>
        <v/>
      </c>
    </row>
    <row r="227" spans="1:14">
      <c r="A227" t="n">
        <v>230</v>
      </c>
      <c r="B227" t="str">
        <f>VLOOKUP($A227,Aop!$A$2:$P$453,2,0)</f>
        <v>BUa</v>
      </c>
      <c r="C227" t="n">
        <v>27</v>
      </c>
      <c r="D227" t="str">
        <f aca="1">Podatak_MB</f>
        <v>1062280</v>
      </c>
      <c r="E227" t="str">
        <f aca="1">Podatak_JIB</f>
        <v>4400471400001</v>
      </c>
      <c r="F227" t="b">
        <f aca="1">Konsolidovan_izvjestaj</f>
        <v>0</v>
      </c>
      <c r="G227" s="20">
        <f aca="1">Datum_Broj</f>
        <v>45382</v>
      </c>
      <c r="H227">
        <f>VLOOKUP($A227,Aop!$A$2:$P$453,4,0)</f>
        <v>292</v>
      </c>
      <c r="I227">
        <f aca="1">Godina</f>
        <v>2024</v>
      </c>
      <c r="J227" t="str">
        <f aca="1">IF(VLOOKUP($H227,INDIRECT("Lookup_"&amp;$B227),IF(LEFT($B227,2)="BS",R$2,R$1),0)="","",VLOOKUP($H227,INDIRECT("Lookup_"&amp;$B227),IF($B227="BSp",R$2,R$1),0))</f>
        <v/>
      </c>
      <c r="K227"/>
      <c r="L227"/>
      <c r="M227" t="str">
        <f aca="1">IF(VLOOKUP($H227,INDIRECT("Lookup_"&amp;$B227),IF(LEFT($B227,2)="BS",S$2,S$1),0)="","",VLOOKUP($H227,INDIRECT("Lookup_"&amp;$B227),IF(LEFT($B227,2)="BS",S$2,S$1),0))</f>
        <v/>
      </c>
      <c r="N227" t="str">
        <f aca="1">IF(VLOOKUP($H227,INDIRECT("Lookup_"&amp;$B227),IF(LEFT($B227,2)="BS",S$2,S$1),0)="","",VLOOKUP($H227,INDIRECT("Lookup_"&amp;$B227),IF(LEFT($B227,2)="BS",S$2,S$1),0))</f>
        <v/>
      </c>
    </row>
    <row r="228" spans="1:14">
      <c r="A228" t="n">
        <v>231</v>
      </c>
      <c r="B228" t="str">
        <f>VLOOKUP($A228,Aop!$A$2:$P$453,2,0)</f>
        <v>BUa</v>
      </c>
      <c r="C228" t="n">
        <v>27</v>
      </c>
      <c r="D228" t="str">
        <f aca="1">Podatak_MB</f>
        <v>1062280</v>
      </c>
      <c r="E228" t="str">
        <f aca="1">Podatak_JIB</f>
        <v>4400471400001</v>
      </c>
      <c r="F228" t="b">
        <f aca="1">Konsolidovan_izvjestaj</f>
        <v>0</v>
      </c>
      <c r="G228" s="20">
        <f aca="1">Datum_Broj</f>
        <v>45382</v>
      </c>
      <c r="H228">
        <f>VLOOKUP($A228,Aop!$A$2:$P$453,4,0)</f>
        <v>293</v>
      </c>
      <c r="I228">
        <f aca="1">Godina</f>
        <v>2024</v>
      </c>
      <c r="J228" t="str">
        <f aca="1">IF(VLOOKUP($H228,INDIRECT("Lookup_"&amp;$B228),IF(LEFT($B228,2)="BS",R$2,R$1),0)="","",VLOOKUP($H228,INDIRECT("Lookup_"&amp;$B228),IF($B228="BSp",R$2,R$1),0))</f>
        <v/>
      </c>
      <c r="K228"/>
      <c r="L228"/>
      <c r="M228" t="str">
        <f aca="1">IF(VLOOKUP($H228,INDIRECT("Lookup_"&amp;$B228),IF(LEFT($B228,2)="BS",S$2,S$1),0)="","",VLOOKUP($H228,INDIRECT("Lookup_"&amp;$B228),IF(LEFT($B228,2)="BS",S$2,S$1),0))</f>
        <v/>
      </c>
      <c r="N228" t="str">
        <f aca="1">IF(VLOOKUP($H228,INDIRECT("Lookup_"&amp;$B228),IF(LEFT($B228,2)="BS",S$2,S$1),0)="","",VLOOKUP($H228,INDIRECT("Lookup_"&amp;$B228),IF(LEFT($B228,2)="BS",S$2,S$1),0))</f>
        <v/>
      </c>
    </row>
    <row r="229" spans="1:14">
      <c r="A229" t="n">
        <v>233</v>
      </c>
      <c r="B229" t="str">
        <f>VLOOKUP($A229,Aop!$A$2:$P$453,2,0)</f>
        <v>BUa</v>
      </c>
      <c r="C229" t="n">
        <v>27</v>
      </c>
      <c r="D229" t="str">
        <f aca="1">Podatak_MB</f>
        <v>1062280</v>
      </c>
      <c r="E229" t="str">
        <f aca="1">Podatak_JIB</f>
        <v>4400471400001</v>
      </c>
      <c r="F229" t="b">
        <f aca="1">Konsolidovan_izvjestaj</f>
        <v>0</v>
      </c>
      <c r="G229" s="20">
        <f aca="1">Datum_Broj</f>
        <v>45382</v>
      </c>
      <c r="H229">
        <f>VLOOKUP($A229,Aop!$A$2:$P$453,4,0)</f>
        <v>295</v>
      </c>
      <c r="I229">
        <f aca="1">Godina</f>
        <v>2024</v>
      </c>
      <c r="J229" t="str">
        <f aca="1">IF(VLOOKUP($H229,INDIRECT("Lookup_"&amp;$B229),IF(LEFT($B229,2)="BS",R$2,R$1),0)="","",VLOOKUP($H229,INDIRECT("Lookup_"&amp;$B229),IF($B229="BSp",R$2,R$1),0))</f>
        <v/>
      </c>
      <c r="K229"/>
      <c r="L229"/>
      <c r="M229" t="str">
        <f aca="1">IF(VLOOKUP($H229,INDIRECT("Lookup_"&amp;$B229),IF(LEFT($B229,2)="BS",S$2,S$1),0)="","",VLOOKUP($H229,INDIRECT("Lookup_"&amp;$B229),IF(LEFT($B229,2)="BS",S$2,S$1),0))</f>
        <v/>
      </c>
      <c r="N229" t="str">
        <f aca="1">IF(VLOOKUP($H229,INDIRECT("Lookup_"&amp;$B229),IF(LEFT($B229,2)="BS",S$2,S$1),0)="","",VLOOKUP($H229,INDIRECT("Lookup_"&amp;$B229),IF(LEFT($B229,2)="BS",S$2,S$1),0))</f>
        <v/>
      </c>
    </row>
    <row r="230" spans="1:14">
      <c r="A230" t="n">
        <v>234</v>
      </c>
      <c r="B230" t="str">
        <f>VLOOKUP($A230,Aop!$A$2:$P$453,2,0)</f>
        <v>BUa</v>
      </c>
      <c r="C230" t="n">
        <v>27</v>
      </c>
      <c r="D230" t="str">
        <f aca="1">Podatak_MB</f>
        <v>1062280</v>
      </c>
      <c r="E230" t="str">
        <f aca="1">Podatak_JIB</f>
        <v>4400471400001</v>
      </c>
      <c r="F230" t="b">
        <f aca="1">Konsolidovan_izvjestaj</f>
        <v>0</v>
      </c>
      <c r="G230" s="20">
        <f aca="1">Datum_Broj</f>
        <v>45382</v>
      </c>
      <c r="H230">
        <f>VLOOKUP($A230,Aop!$A$2:$P$453,4,0)</f>
        <v>296</v>
      </c>
      <c r="I230">
        <f aca="1">Godina</f>
        <v>2024</v>
      </c>
      <c r="J230" t="str">
        <f aca="1">IF(VLOOKUP($H230,INDIRECT("Lookup_"&amp;$B230),IF(LEFT($B230,2)="BS",R$2,R$1),0)="","",VLOOKUP($H230,INDIRECT("Lookup_"&amp;$B230),IF($B230="BSp",R$2,R$1),0))</f>
        <v/>
      </c>
      <c r="K230"/>
      <c r="L230"/>
      <c r="M230" t="str">
        <f aca="1">IF(VLOOKUP($H230,INDIRECT("Lookup_"&amp;$B230),IF(LEFT($B230,2)="BS",S$2,S$1),0)="","",VLOOKUP($H230,INDIRECT("Lookup_"&amp;$B230),IF(LEFT($B230,2)="BS",S$2,S$1),0))</f>
        <v/>
      </c>
      <c r="N230" t="str">
        <f aca="1">IF(VLOOKUP($H230,INDIRECT("Lookup_"&amp;$B230),IF(LEFT($B230,2)="BS",S$2,S$1),0)="","",VLOOKUP($H230,INDIRECT("Lookup_"&amp;$B230),IF(LEFT($B230,2)="BS",S$2,S$1),0))</f>
        <v/>
      </c>
    </row>
    <row r="231" spans="1:14">
      <c r="A231" t="n">
        <v>236</v>
      </c>
      <c r="B231" t="str">
        <f>VLOOKUP($A231,Aop!$A$2:$P$453,2,0)</f>
        <v>BUa</v>
      </c>
      <c r="C231" t="n">
        <v>27</v>
      </c>
      <c r="D231" t="str">
        <f aca="1">Podatak_MB</f>
        <v>1062280</v>
      </c>
      <c r="E231" t="str">
        <f aca="1">Podatak_JIB</f>
        <v>4400471400001</v>
      </c>
      <c r="F231" t="b">
        <f aca="1">Konsolidovan_izvjestaj</f>
        <v>0</v>
      </c>
      <c r="G231" s="20">
        <f aca="1">Datum_Broj</f>
        <v>45382</v>
      </c>
      <c r="H231">
        <f>VLOOKUP($A231,Aop!$A$2:$P$453,4,0)</f>
        <v>298</v>
      </c>
      <c r="I231">
        <f aca="1">Godina</f>
        <v>2024</v>
      </c>
      <c r="J231" t="str">
        <f aca="1">IF(VLOOKUP($H231,INDIRECT("Lookup_"&amp;$B231),IF(LEFT($B231,2)="BS",R$2,R$1),0)="","",VLOOKUP($H231,INDIRECT("Lookup_"&amp;$B231),IF($B231="BSp",R$2,R$1),0))</f>
        <v/>
      </c>
      <c r="K231"/>
      <c r="L231"/>
      <c r="M231" t="str">
        <f aca="1">IF(VLOOKUP($H231,INDIRECT("Lookup_"&amp;$B231),IF(LEFT($B231,2)="BS",S$2,S$1),0)="","",VLOOKUP($H231,INDIRECT("Lookup_"&amp;$B231),IF(LEFT($B231,2)="BS",S$2,S$1),0))</f>
        <v/>
      </c>
      <c r="N231" t="str">
        <f aca="1">IF(VLOOKUP($H231,INDIRECT("Lookup_"&amp;$B231),IF(LEFT($B231,2)="BS",S$2,S$1),0)="","",VLOOKUP($H231,INDIRECT("Lookup_"&amp;$B231),IF(LEFT($B231,2)="BS",S$2,S$1),0))</f>
        <v/>
      </c>
    </row>
    <row r="232" spans="1:14">
      <c r="A232" t="n">
        <v>237</v>
      </c>
      <c r="B232" t="str">
        <f>VLOOKUP($A232,Aop!$A$2:$P$453,2,0)</f>
        <v>BUa</v>
      </c>
      <c r="C232" t="n">
        <v>27</v>
      </c>
      <c r="D232" t="str">
        <f aca="1">Podatak_MB</f>
        <v>1062280</v>
      </c>
      <c r="E232" t="str">
        <f aca="1">Podatak_JIB</f>
        <v>4400471400001</v>
      </c>
      <c r="F232" t="b">
        <f aca="1">Konsolidovan_izvjestaj</f>
        <v>0</v>
      </c>
      <c r="G232" s="20">
        <f aca="1">Datum_Broj</f>
        <v>45382</v>
      </c>
      <c r="H232">
        <f>VLOOKUP($A232,Aop!$A$2:$P$453,4,0)</f>
        <v>299</v>
      </c>
      <c r="I232">
        <f aca="1">Godina</f>
        <v>2024</v>
      </c>
      <c r="J232" t="str">
        <f aca="1">IF(VLOOKUP($H232,INDIRECT("Lookup_"&amp;$B232),IF(LEFT($B232,2)="BS",R$2,R$1),0)="","",VLOOKUP($H232,INDIRECT("Lookup_"&amp;$B232),IF($B232="BSp",R$2,R$1),0))</f>
        <v/>
      </c>
      <c r="K232"/>
      <c r="L232"/>
      <c r="M232" s="571">
        <f aca="1">IF(VLOOKUP($H232,INDIRECT("Lookup_"&amp;$B232),IF(LEFT($B232,2)="BS",S$2,S$1),0)="","",VLOOKUP($H232,INDIRECT("Lookup_"&amp;$B232),IF(LEFT($B232,2)="BS",S$2,S$1),0))</f>
        <v>0</v>
      </c>
      <c r="N232" s="571">
        <f aca="1">IF(VLOOKUP($H232,INDIRECT("Lookup_"&amp;$B232),IF(LEFT($B232,2)="BS",S$2,S$1),0)="","",VLOOKUP($H232,INDIRECT("Lookup_"&amp;$B232),IF(LEFT($B232,2)="BS",S$2,S$1),0))</f>
        <v>0</v>
      </c>
    </row>
    <row r="233" spans="1:14">
      <c r="A233" t="n">
        <v>238</v>
      </c>
      <c r="B233" t="str">
        <f>VLOOKUP($A233,Aop!$A$2:$P$453,2,0)</f>
        <v>BUa</v>
      </c>
      <c r="C233" t="n">
        <v>27</v>
      </c>
      <c r="D233" t="str">
        <f aca="1">Podatak_MB</f>
        <v>1062280</v>
      </c>
      <c r="E233" t="str">
        <f aca="1">Podatak_JIB</f>
        <v>4400471400001</v>
      </c>
      <c r="F233" t="b">
        <f aca="1">Konsolidovan_izvjestaj</f>
        <v>0</v>
      </c>
      <c r="G233" s="20">
        <f aca="1">Datum_Broj</f>
        <v>45382</v>
      </c>
      <c r="H233">
        <f>VLOOKUP($A233,Aop!$A$2:$P$453,4,0)</f>
        <v>300</v>
      </c>
      <c r="I233">
        <f aca="1">Godina</f>
        <v>2024</v>
      </c>
      <c r="J233" t="str">
        <f aca="1">IF(VLOOKUP($H233,INDIRECT("Lookup_"&amp;$B233),IF(LEFT($B233,2)="BS",R$2,R$1),0)="","",VLOOKUP($H233,INDIRECT("Lookup_"&amp;$B233),IF($B233="BSp",R$2,R$1),0))</f>
        <v/>
      </c>
      <c r="K233"/>
      <c r="L233"/>
      <c r="M233" s="571">
        <f aca="1">IF(VLOOKUP($H233,INDIRECT("Lookup_"&amp;$B233),IF(LEFT($B233,2)="BS",S$2,S$1),0)="","",VLOOKUP($H233,INDIRECT("Lookup_"&amp;$B233),IF(LEFT($B233,2)="BS",S$2,S$1),0))</f>
        <v>0</v>
      </c>
      <c r="N233" s="571">
        <f aca="1">IF(VLOOKUP($H233,INDIRECT("Lookup_"&amp;$B233),IF(LEFT($B233,2)="BS",S$2,S$1),0)="","",VLOOKUP($H233,INDIRECT("Lookup_"&amp;$B233),IF(LEFT($B233,2)="BS",S$2,S$1),0))</f>
        <v>0</v>
      </c>
    </row>
    <row r="234" spans="1:14">
      <c r="A234" t="n">
        <v>240</v>
      </c>
      <c r="B234" t="str">
        <f>VLOOKUP($A234,Aop!$A$2:$P$453,2,0)</f>
        <v>BUa</v>
      </c>
      <c r="C234" t="n">
        <v>27</v>
      </c>
      <c r="D234" t="str">
        <f aca="1">Podatak_MB</f>
        <v>1062280</v>
      </c>
      <c r="E234" t="str">
        <f aca="1">Podatak_JIB</f>
        <v>4400471400001</v>
      </c>
      <c r="F234" t="b">
        <f aca="1">Konsolidovan_izvjestaj</f>
        <v>0</v>
      </c>
      <c r="G234" s="20">
        <f aca="1">Datum_Broj</f>
        <v>45382</v>
      </c>
      <c r="H234">
        <f>VLOOKUP($A234,Aop!$A$2:$P$453,4,0)</f>
        <v>302</v>
      </c>
      <c r="I234">
        <f aca="1">Godina</f>
        <v>2024</v>
      </c>
      <c r="J234" t="str">
        <f aca="1">IF(VLOOKUP($H234,INDIRECT("Lookup_"&amp;$B234),IF(LEFT($B234,2)="BS",R$2,R$1),0)="","",VLOOKUP($H234,INDIRECT("Lookup_"&amp;$B234),IF($B234="BSp",R$2,R$1),0))</f>
        <v/>
      </c>
      <c r="K234"/>
      <c r="L234"/>
      <c r="M234" t="str">
        <f aca="1">IF(VLOOKUP($H234,INDIRECT("Lookup_"&amp;$B234),IF(LEFT($B234,2)="BS",S$2,S$1),0)="","",VLOOKUP($H234,INDIRECT("Lookup_"&amp;$B234),IF(LEFT($B234,2)="BS",S$2,S$1),0))</f>
        <v/>
      </c>
      <c r="N234" t="str">
        <f aca="1">IF(VLOOKUP($H234,INDIRECT("Lookup_"&amp;$B234),IF(LEFT($B234,2)="BS",S$2,S$1),0)="","",VLOOKUP($H234,INDIRECT("Lookup_"&amp;$B234),IF(LEFT($B234,2)="BS",S$2,S$1),0))</f>
        <v/>
      </c>
    </row>
    <row r="235" spans="1:14">
      <c r="A235" t="n">
        <v>241</v>
      </c>
      <c r="B235" t="str">
        <f>VLOOKUP($A235,Aop!$A$2:$P$453,2,0)</f>
        <v>BUa</v>
      </c>
      <c r="C235" t="n">
        <v>27</v>
      </c>
      <c r="D235" t="str">
        <f aca="1">Podatak_MB</f>
        <v>1062280</v>
      </c>
      <c r="E235" t="str">
        <f aca="1">Podatak_JIB</f>
        <v>4400471400001</v>
      </c>
      <c r="F235" t="b">
        <f aca="1">Konsolidovan_izvjestaj</f>
        <v>0</v>
      </c>
      <c r="G235" s="20">
        <f aca="1">Datum_Broj</f>
        <v>45382</v>
      </c>
      <c r="H235">
        <f>VLOOKUP($A235,Aop!$A$2:$P$453,4,0)</f>
        <v>303</v>
      </c>
      <c r="I235">
        <f aca="1">Godina</f>
        <v>2024</v>
      </c>
      <c r="J235" t="str">
        <f aca="1">IF(VLOOKUP($H235,INDIRECT("Lookup_"&amp;$B235),IF(LEFT($B235,2)="BS",R$2,R$1),0)="","",VLOOKUP($H235,INDIRECT("Lookup_"&amp;$B235),IF($B235="BSp",R$2,R$1),0))</f>
        <v/>
      </c>
      <c r="K235"/>
      <c r="L235"/>
      <c r="M235" t="str">
        <f aca="1">IF(VLOOKUP($H235,INDIRECT("Lookup_"&amp;$B235),IF(LEFT($B235,2)="BS",S$2,S$1),0)="","",VLOOKUP($H235,INDIRECT("Lookup_"&amp;$B235),IF(LEFT($B235,2)="BS",S$2,S$1),0))</f>
        <v/>
      </c>
      <c r="N235" t="str">
        <f aca="1">IF(VLOOKUP($H235,INDIRECT("Lookup_"&amp;$B235),IF(LEFT($B235,2)="BS",S$2,S$1),0)="","",VLOOKUP($H235,INDIRECT("Lookup_"&amp;$B235),IF(LEFT($B235,2)="BS",S$2,S$1),0))</f>
        <v/>
      </c>
    </row>
    <row r="236" spans="1:14">
      <c r="A236" t="n">
        <v>242</v>
      </c>
      <c r="B236" t="str">
        <f>VLOOKUP($A236,Aop!$A$2:$P$453,2,0)</f>
        <v>BUa</v>
      </c>
      <c r="C236" t="n">
        <v>27</v>
      </c>
      <c r="D236" t="str">
        <f aca="1">Podatak_MB</f>
        <v>1062280</v>
      </c>
      <c r="E236" t="str">
        <f aca="1">Podatak_JIB</f>
        <v>4400471400001</v>
      </c>
      <c r="F236" t="b">
        <f aca="1">Konsolidovan_izvjestaj</f>
        <v>0</v>
      </c>
      <c r="G236" s="20">
        <f aca="1">Datum_Broj</f>
        <v>45382</v>
      </c>
      <c r="H236">
        <f>VLOOKUP($A236,Aop!$A$2:$P$453,4,0)</f>
        <v>304</v>
      </c>
      <c r="I236">
        <f aca="1">Godina</f>
        <v>2024</v>
      </c>
      <c r="J236" t="str">
        <f aca="1">IF(VLOOKUP($H236,INDIRECT("Lookup_"&amp;$B236),IF(LEFT($B236,2)="BS",R$2,R$1),0)="","",VLOOKUP($H236,INDIRECT("Lookup_"&amp;$B236),IF($B236="BSp",R$2,R$1),0))</f>
        <v/>
      </c>
      <c r="K236"/>
      <c r="L236"/>
      <c r="M236" t="str">
        <f aca="1">IF(VLOOKUP($H236,INDIRECT("Lookup_"&amp;$B236),IF(LEFT($B236,2)="BS",S$2,S$1),0)="","",VLOOKUP($H236,INDIRECT("Lookup_"&amp;$B236),IF(LEFT($B236,2)="BS",S$2,S$1),0))</f>
        <v/>
      </c>
      <c r="N236" t="str">
        <f aca="1">IF(VLOOKUP($H236,INDIRECT("Lookup_"&amp;$B236),IF(LEFT($B236,2)="BS",S$2,S$1),0)="","",VLOOKUP($H236,INDIRECT("Lookup_"&amp;$B236),IF(LEFT($B236,2)="BS",S$2,S$1),0))</f>
        <v/>
      </c>
    </row>
    <row r="237" spans="1:14">
      <c r="A237" t="n">
        <v>243</v>
      </c>
      <c r="B237" t="str">
        <f>VLOOKUP($A237,Aop!$A$2:$P$453,2,0)</f>
        <v>BUa</v>
      </c>
      <c r="C237" t="n">
        <v>27</v>
      </c>
      <c r="D237" t="str">
        <f aca="1">Podatak_MB</f>
        <v>1062280</v>
      </c>
      <c r="E237" t="str">
        <f aca="1">Podatak_JIB</f>
        <v>4400471400001</v>
      </c>
      <c r="F237" t="b">
        <f aca="1">Konsolidovan_izvjestaj</f>
        <v>0</v>
      </c>
      <c r="G237" s="20">
        <f aca="1">Datum_Broj</f>
        <v>45382</v>
      </c>
      <c r="H237">
        <f>VLOOKUP($A237,Aop!$A$2:$P$453,4,0)</f>
        <v>305</v>
      </c>
      <c r="I237">
        <f aca="1">Godina</f>
        <v>2024</v>
      </c>
      <c r="J237" t="str">
        <f aca="1">IF(VLOOKUP($H237,INDIRECT("Lookup_"&amp;$B237),IF(LEFT($B237,2)="BS",R$2,R$1),0)="","",VLOOKUP($H237,INDIRECT("Lookup_"&amp;$B237),IF($B237="BSp",R$2,R$1),0))</f>
        <v/>
      </c>
      <c r="K237"/>
      <c r="L237"/>
      <c r="M237" s="571">
        <f aca="1">IF(VLOOKUP($H237,INDIRECT("Lookup_"&amp;$B237),IF(LEFT($B237,2)="BS",S$2,S$1),0)="","",VLOOKUP($H237,INDIRECT("Lookup_"&amp;$B237),IF(LEFT($B237,2)="BS",S$2,S$1),0))</f>
        <v>329081</v>
      </c>
      <c r="N237" s="571">
        <f aca="1">IF(VLOOKUP($H237,INDIRECT("Lookup_"&amp;$B237),IF(LEFT($B237,2)="BS",S$2,S$1),0)="","",VLOOKUP($H237,INDIRECT("Lookup_"&amp;$B237),IF(LEFT($B237,2)="BS",S$2,S$1),0))</f>
        <v>329081</v>
      </c>
    </row>
    <row r="238" spans="1:14">
      <c r="A238" t="n">
        <v>244</v>
      </c>
      <c r="B238" t="str">
        <f>VLOOKUP($A238,Aop!$A$2:$P$453,2,0)</f>
        <v>BUa</v>
      </c>
      <c r="C238" t="n">
        <v>27</v>
      </c>
      <c r="D238" t="str">
        <f aca="1">Podatak_MB</f>
        <v>1062280</v>
      </c>
      <c r="E238" t="str">
        <f aca="1">Podatak_JIB</f>
        <v>4400471400001</v>
      </c>
      <c r="F238" t="b">
        <f aca="1">Konsolidovan_izvjestaj</f>
        <v>0</v>
      </c>
      <c r="G238" s="20">
        <f aca="1">Datum_Broj</f>
        <v>45382</v>
      </c>
      <c r="H238">
        <f>VLOOKUP($A238,Aop!$A$2:$P$453,4,0)</f>
        <v>306</v>
      </c>
      <c r="I238">
        <f aca="1">Godina</f>
        <v>2024</v>
      </c>
      <c r="J238" t="str">
        <f aca="1">IF(VLOOKUP($H238,INDIRECT("Lookup_"&amp;$B238),IF(LEFT($B238,2)="BS",R$2,R$1),0)="","",VLOOKUP($H238,INDIRECT("Lookup_"&amp;$B238),IF($B238="BSp",R$2,R$1),0))</f>
        <v/>
      </c>
      <c r="K238"/>
      <c r="L238"/>
      <c r="M238" s="571">
        <f aca="1">IF(VLOOKUP($H238,INDIRECT("Lookup_"&amp;$B238),IF(LEFT($B238,2)="BS",S$2,S$1),0)="","",VLOOKUP($H238,INDIRECT("Lookup_"&amp;$B238),IF(LEFT($B238,2)="BS",S$2,S$1),0))</f>
        <v>328126</v>
      </c>
      <c r="N238" s="571">
        <f aca="1">IF(VLOOKUP($H238,INDIRECT("Lookup_"&amp;$B238),IF(LEFT($B238,2)="BS",S$2,S$1),0)="","",VLOOKUP($H238,INDIRECT("Lookup_"&amp;$B238),IF(LEFT($B238,2)="BS",S$2,S$1),0))</f>
        <v>328126</v>
      </c>
    </row>
    <row r="239" spans="1:14">
      <c r="A239" t="n">
        <v>245</v>
      </c>
      <c r="B239" t="str">
        <f>VLOOKUP($A239,Aop!$A$2:$P$453,2,0)</f>
        <v>BUa</v>
      </c>
      <c r="C239" t="n">
        <v>27</v>
      </c>
      <c r="D239" t="str">
        <f aca="1">Podatak_MB</f>
        <v>1062280</v>
      </c>
      <c r="E239" t="str">
        <f aca="1">Podatak_JIB</f>
        <v>4400471400001</v>
      </c>
      <c r="F239" t="b">
        <f aca="1">Konsolidovan_izvjestaj</f>
        <v>0</v>
      </c>
      <c r="G239" s="20">
        <f aca="1">Datum_Broj</f>
        <v>45382</v>
      </c>
      <c r="H239">
        <f>VLOOKUP($A239,Aop!$A$2:$P$453,4,0)</f>
        <v>307</v>
      </c>
      <c r="I239">
        <f aca="1">Godina</f>
        <v>2024</v>
      </c>
      <c r="J239" t="str">
        <f aca="1">IF(VLOOKUP($H239,INDIRECT("Lookup_"&amp;$B239),IF(LEFT($B239,2)="BS",R$2,R$1),0)="","",VLOOKUP($H239,INDIRECT("Lookup_"&amp;$B239),IF($B239="BSp",R$2,R$1),0))</f>
        <v/>
      </c>
      <c r="K239"/>
      <c r="L239"/>
      <c r="M239" s="571">
        <f aca="1">IF(VLOOKUP($H239,INDIRECT("Lookup_"&amp;$B239),IF(LEFT($B239,2)="BS",S$2,S$1),0)="","",VLOOKUP($H239,INDIRECT("Lookup_"&amp;$B239),IF(LEFT($B239,2)="BS",S$2,S$1),0))</f>
        <v>955</v>
      </c>
      <c r="N239" s="571">
        <f aca="1">IF(VLOOKUP($H239,INDIRECT("Lookup_"&amp;$B239),IF(LEFT($B239,2)="BS",S$2,S$1),0)="","",VLOOKUP($H239,INDIRECT("Lookup_"&amp;$B239),IF(LEFT($B239,2)="BS",S$2,S$1),0))</f>
        <v>955</v>
      </c>
    </row>
    <row r="240" spans="1:14">
      <c r="A240" t="n">
        <v>246</v>
      </c>
      <c r="B240" t="str">
        <f>VLOOKUP($A240,Aop!$A$2:$P$453,2,0)</f>
        <v>BUa</v>
      </c>
      <c r="C240" t="n">
        <v>27</v>
      </c>
      <c r="D240" t="str">
        <f aca="1">Podatak_MB</f>
        <v>1062280</v>
      </c>
      <c r="E240" t="str">
        <f aca="1">Podatak_JIB</f>
        <v>4400471400001</v>
      </c>
      <c r="F240" t="b">
        <f aca="1">Konsolidovan_izvjestaj</f>
        <v>0</v>
      </c>
      <c r="G240" s="20">
        <f aca="1">Datum_Broj</f>
        <v>45382</v>
      </c>
      <c r="H240">
        <f>VLOOKUP($A240,Aop!$A$2:$P$453,4,0)</f>
        <v>308</v>
      </c>
      <c r="I240">
        <f aca="1">Godina</f>
        <v>2024</v>
      </c>
      <c r="J240" t="str">
        <f aca="1">IF(VLOOKUP($H240,INDIRECT("Lookup_"&amp;$B240),IF(LEFT($B240,2)="BS",R$2,R$1),0)="","",VLOOKUP($H240,INDIRECT("Lookup_"&amp;$B240),IF($B240="BSp",R$2,R$1),0))</f>
        <v/>
      </c>
      <c r="K240"/>
      <c r="L240"/>
      <c r="M240" s="571">
        <f aca="1">IF(VLOOKUP($H240,INDIRECT("Lookup_"&amp;$B240),IF(LEFT($B240,2)="BS",S$2,S$1),0)="","",VLOOKUP($H240,INDIRECT("Lookup_"&amp;$B240),IF(LEFT($B240,2)="BS",S$2,S$1),0))</f>
        <v>0</v>
      </c>
      <c r="N240" s="571">
        <f aca="1">IF(VLOOKUP($H240,INDIRECT("Lookup_"&amp;$B240),IF(LEFT($B240,2)="BS",S$2,S$1),0)="","",VLOOKUP($H240,INDIRECT("Lookup_"&amp;$B240),IF(LEFT($B240,2)="BS",S$2,S$1),0))</f>
        <v>0</v>
      </c>
    </row>
    <row r="241" spans="1:14">
      <c r="A241" t="n">
        <v>247</v>
      </c>
      <c r="B241" t="str">
        <f>VLOOKUP($A241,Aop!$A$2:$P$453,2,0)</f>
        <v>BUa</v>
      </c>
      <c r="C241" t="n">
        <v>27</v>
      </c>
      <c r="D241" t="str">
        <f aca="1">Podatak_MB</f>
        <v>1062280</v>
      </c>
      <c r="E241" t="str">
        <f aca="1">Podatak_JIB</f>
        <v>4400471400001</v>
      </c>
      <c r="F241" t="b">
        <f aca="1">Konsolidovan_izvjestaj</f>
        <v>0</v>
      </c>
      <c r="G241" s="20">
        <f aca="1">Datum_Broj</f>
        <v>45382</v>
      </c>
      <c r="H241">
        <f>VLOOKUP($A241,Aop!$A$2:$P$453,4,0)</f>
        <v>309</v>
      </c>
      <c r="I241">
        <f aca="1">Godina</f>
        <v>2024</v>
      </c>
      <c r="J241" t="str">
        <f aca="1">IF(VLOOKUP($H241,INDIRECT("Lookup_"&amp;$B241),IF(LEFT($B241,2)="BS",R$2,R$1),0)="","",VLOOKUP($H241,INDIRECT("Lookup_"&amp;$B241),IF($B241="BSp",R$2,R$1),0))</f>
        <v/>
      </c>
      <c r="K241"/>
      <c r="L241"/>
      <c r="M241" s="575">
        <f aca="1">IF(VLOOKUP($H241,INDIRECT("Lookup_"&amp;$B241),IF(LEFT($B241,2)="BS",S$2,S$1),0)="","",VLOOKUP($H241,INDIRECT("Lookup_"&amp;$B241),IF(LEFT($B241,2)="BS",S$2,S$1),0))</f>
        <v>150</v>
      </c>
      <c r="N241" s="575">
        <f aca="1">IF(VLOOKUP($H241,INDIRECT("Lookup_"&amp;$B241),IF(LEFT($B241,2)="BS",S$2,S$1),0)="","",VLOOKUP($H241,INDIRECT("Lookup_"&amp;$B241),IF(LEFT($B241,2)="BS",S$2,S$1),0))</f>
        <v>150</v>
      </c>
    </row>
    <row r="242" spans="1:14">
      <c r="A242" t="n">
        <v>248</v>
      </c>
      <c r="B242" t="str">
        <f>VLOOKUP($A242,Aop!$A$2:$P$453,2,0)</f>
        <v>BUa</v>
      </c>
      <c r="C242" t="n">
        <v>27</v>
      </c>
      <c r="D242" t="str">
        <f aca="1">Podatak_MB</f>
        <v>1062280</v>
      </c>
      <c r="E242" t="str">
        <f aca="1">Podatak_JIB</f>
        <v>4400471400001</v>
      </c>
      <c r="F242" t="b">
        <f aca="1">Konsolidovan_izvjestaj</f>
        <v>0</v>
      </c>
      <c r="G242" s="20">
        <f aca="1">Datum_Broj</f>
        <v>45382</v>
      </c>
      <c r="H242">
        <f>VLOOKUP($A242,Aop!$A$2:$P$453,4,0)</f>
        <v>310</v>
      </c>
      <c r="I242">
        <f aca="1">Godina</f>
        <v>2024</v>
      </c>
      <c r="J242" t="str">
        <f aca="1">IF(VLOOKUP($H242,INDIRECT("Lookup_"&amp;$B242),IF(LEFT($B242,2)="BS",R$2,R$1),0)="","",VLOOKUP($H242,INDIRECT("Lookup_"&amp;$B242),IF($B242="BSp",R$2,R$1),0))</f>
        <v/>
      </c>
      <c r="K242"/>
      <c r="L242"/>
      <c r="M242" s="571">
        <f aca="1">IF(VLOOKUP($H242,INDIRECT("Lookup_"&amp;$B242),IF(LEFT($B242,2)="BS",S$2,S$1),0)="","",VLOOKUP($H242,INDIRECT("Lookup_"&amp;$B242),IF(LEFT($B242,2)="BS",S$2,S$1),0))</f>
        <v>0</v>
      </c>
      <c r="N242" s="571">
        <f aca="1">IF(VLOOKUP($H242,INDIRECT("Lookup_"&amp;$B242),IF(LEFT($B242,2)="BS",S$2,S$1),0)="","",VLOOKUP($H242,INDIRECT("Lookup_"&amp;$B242),IF(LEFT($B242,2)="BS",S$2,S$1),0))</f>
        <v>0</v>
      </c>
    </row>
    <row r="243" spans="1:14">
      <c r="A243" t="n">
        <v>249</v>
      </c>
      <c r="B243" t="str">
        <f>VLOOKUP($A243,Aop!$A$2:$P$453,2,0)</f>
        <v>BUa</v>
      </c>
      <c r="C243" t="n">
        <v>27</v>
      </c>
      <c r="D243" t="str">
        <f aca="1">Podatak_MB</f>
        <v>1062280</v>
      </c>
      <c r="E243" t="str">
        <f aca="1">Podatak_JIB</f>
        <v>4400471400001</v>
      </c>
      <c r="F243" t="b">
        <f aca="1">Konsolidovan_izvjestaj</f>
        <v>0</v>
      </c>
      <c r="G243" s="20">
        <f aca="1">Datum_Broj</f>
        <v>45382</v>
      </c>
      <c r="H243">
        <f>VLOOKUP($A243,Aop!$A$2:$P$453,4,0)</f>
        <v>311</v>
      </c>
      <c r="I243">
        <f aca="1">Godina</f>
        <v>2024</v>
      </c>
      <c r="J243" t="str">
        <f aca="1">IF(VLOOKUP($H243,INDIRECT("Lookup_"&amp;$B243),IF(LEFT($B243,2)="BS",R$2,R$1),0)="","",VLOOKUP($H243,INDIRECT("Lookup_"&amp;$B243),IF($B243="BSp",R$2,R$1),0))</f>
        <v/>
      </c>
      <c r="K243"/>
      <c r="L243"/>
      <c r="M243" t="str">
        <f aca="1">IF(VLOOKUP($H243,INDIRECT("Lookup_"&amp;$B243),IF(LEFT($B243,2)="BS",S$2,S$1),0)="","",VLOOKUP($H243,INDIRECT("Lookup_"&amp;$B243),IF(LEFT($B243,2)="BS",S$2,S$1),0))</f>
        <v/>
      </c>
      <c r="N243" t="str">
        <f aca="1">IF(VLOOKUP($H243,INDIRECT("Lookup_"&amp;$B243),IF(LEFT($B243,2)="BS",S$2,S$1),0)="","",VLOOKUP($H243,INDIRECT("Lookup_"&amp;$B243),IF(LEFT($B243,2)="BS",S$2,S$1),0))</f>
        <v/>
      </c>
    </row>
    <row r="244" spans="1:14">
      <c r="A244" t="n">
        <v>250</v>
      </c>
      <c r="B244" t="str">
        <f>VLOOKUP($A244,Aop!$A$2:$P$453,2,0)</f>
        <v>BUa</v>
      </c>
      <c r="C244" t="n">
        <v>27</v>
      </c>
      <c r="D244" t="str">
        <f aca="1">Podatak_MB</f>
        <v>1062280</v>
      </c>
      <c r="E244" t="str">
        <f aca="1">Podatak_JIB</f>
        <v>4400471400001</v>
      </c>
      <c r="F244" t="b">
        <f aca="1">Konsolidovan_izvjestaj</f>
        <v>0</v>
      </c>
      <c r="G244" s="20">
        <f aca="1">Datum_Broj</f>
        <v>45382</v>
      </c>
      <c r="H244">
        <f>VLOOKUP($A244,Aop!$A$2:$P$453,4,0)</f>
        <v>312</v>
      </c>
      <c r="I244">
        <f aca="1">Godina</f>
        <v>2024</v>
      </c>
      <c r="J244" t="str">
        <f aca="1">IF(VLOOKUP($H244,INDIRECT("Lookup_"&amp;$B244),IF(LEFT($B244,2)="BS",R$2,R$1),0)="","",VLOOKUP($H244,INDIRECT("Lookup_"&amp;$B244),IF($B244="BSp",R$2,R$1),0))</f>
        <v/>
      </c>
      <c r="K244"/>
      <c r="L244"/>
      <c r="M244" t="str">
        <f aca="1">IF(VLOOKUP($H244,INDIRECT("Lookup_"&amp;$B244),IF(LEFT($B244,2)="BS",S$2,S$1),0)="","",VLOOKUP($H244,INDIRECT("Lookup_"&amp;$B244),IF(LEFT($B244,2)="BS",S$2,S$1),0))</f>
        <v/>
      </c>
      <c r="N244" t="str">
        <f aca="1">IF(VLOOKUP($H244,INDIRECT("Lookup_"&amp;$B244),IF(LEFT($B244,2)="BS",S$2,S$1),0)="","",VLOOKUP($H244,INDIRECT("Lookup_"&amp;$B244),IF(LEFT($B244,2)="BS",S$2,S$1),0))</f>
        <v/>
      </c>
    </row>
    <row r="245" spans="1:14">
      <c r="A245" t="n">
        <v>251</v>
      </c>
      <c r="B245" t="str">
        <f>VLOOKUP($A245,Aop!$A$2:$P$453,2,0)</f>
        <v>BUa</v>
      </c>
      <c r="C245" t="n">
        <v>27</v>
      </c>
      <c r="D245" t="str">
        <f aca="1">Podatak_MB</f>
        <v>1062280</v>
      </c>
      <c r="E245" t="str">
        <f aca="1">Podatak_JIB</f>
        <v>4400471400001</v>
      </c>
      <c r="F245" t="b">
        <f aca="1">Konsolidovan_izvjestaj</f>
        <v>0</v>
      </c>
      <c r="G245" s="20">
        <f aca="1">Datum_Broj</f>
        <v>45382</v>
      </c>
      <c r="H245">
        <f>VLOOKUP($A245,Aop!$A$2:$P$453,4,0)</f>
        <v>313</v>
      </c>
      <c r="I245">
        <f aca="1">Godina</f>
        <v>2024</v>
      </c>
      <c r="J245" t="str">
        <f aca="1">IF(VLOOKUP($H245,INDIRECT("Lookup_"&amp;$B245),IF(LEFT($B245,2)="BS",R$2,R$1),0)="","",VLOOKUP($H245,INDIRECT("Lookup_"&amp;$B245),IF($B245="BSp",R$2,R$1),0))</f>
        <v/>
      </c>
      <c r="K245"/>
      <c r="L245"/>
      <c r="M245" s="571">
        <f aca="1">IF(VLOOKUP($H245,INDIRECT("Lookup_"&amp;$B245),IF(LEFT($B245,2)="BS",S$2,S$1),0)="","",VLOOKUP($H245,INDIRECT("Lookup_"&amp;$B245),IF(LEFT($B245,2)="BS",S$2,S$1),0))</f>
        <v>0</v>
      </c>
      <c r="N245" s="571">
        <f aca="1">IF(VLOOKUP($H245,INDIRECT("Lookup_"&amp;$B245),IF(LEFT($B245,2)="BS",S$2,S$1),0)="","",VLOOKUP($H245,INDIRECT("Lookup_"&amp;$B245),IF(LEFT($B245,2)="BS",S$2,S$1),0))</f>
        <v>0</v>
      </c>
    </row>
    <row r="246" spans="1:14">
      <c r="A246" t="n">
        <v>252</v>
      </c>
      <c r="B246" t="str">
        <f>VLOOKUP($A246,Aop!$A$2:$P$453,2,0)</f>
        <v>BUa</v>
      </c>
      <c r="C246" t="n">
        <v>27</v>
      </c>
      <c r="D246" t="str">
        <f aca="1">Podatak_MB</f>
        <v>1062280</v>
      </c>
      <c r="E246" t="str">
        <f aca="1">Podatak_JIB</f>
        <v>4400471400001</v>
      </c>
      <c r="F246" t="b">
        <f aca="1">Konsolidovan_izvjestaj</f>
        <v>0</v>
      </c>
      <c r="G246" s="20">
        <f aca="1">Datum_Broj</f>
        <v>45382</v>
      </c>
      <c r="H246">
        <f>VLOOKUP($A246,Aop!$A$2:$P$453,4,0)</f>
        <v>314</v>
      </c>
      <c r="I246">
        <f aca="1">Godina</f>
        <v>2024</v>
      </c>
      <c r="J246" t="str">
        <f aca="1">IF(VLOOKUP($H246,INDIRECT("Lookup_"&amp;$B246),IF(LEFT($B246,2)="BS",R$2,R$1),0)="","",VLOOKUP($H246,INDIRECT("Lookup_"&amp;$B246),IF($B246="BSp",R$2,R$1),0))</f>
        <v/>
      </c>
      <c r="K246"/>
      <c r="L246"/>
      <c r="M246" t="str">
        <f aca="1">IF(VLOOKUP($H246,INDIRECT("Lookup_"&amp;$B246),IF(LEFT($B246,2)="BS",S$2,S$1),0)="","",VLOOKUP($H246,INDIRECT("Lookup_"&amp;$B246),IF(LEFT($B246,2)="BS",S$2,S$1),0))</f>
        <v/>
      </c>
      <c r="N246" t="str">
        <f aca="1">IF(VLOOKUP($H246,INDIRECT("Lookup_"&amp;$B246),IF(LEFT($B246,2)="BS",S$2,S$1),0)="","",VLOOKUP($H246,INDIRECT("Lookup_"&amp;$B246),IF(LEFT($B246,2)="BS",S$2,S$1),0))</f>
        <v/>
      </c>
    </row>
    <row r="247" spans="1:14">
      <c r="A247" t="n">
        <v>253</v>
      </c>
      <c r="B247" t="str">
        <f>VLOOKUP($A247,Aop!$A$2:$P$453,2,0)</f>
        <v>BUa</v>
      </c>
      <c r="C247" t="n">
        <v>27</v>
      </c>
      <c r="D247" t="str">
        <f aca="1">Podatak_MB</f>
        <v>1062280</v>
      </c>
      <c r="E247" t="str">
        <f aca="1">Podatak_JIB</f>
        <v>4400471400001</v>
      </c>
      <c r="F247" t="b">
        <f aca="1">Konsolidovan_izvjestaj</f>
        <v>0</v>
      </c>
      <c r="G247" s="20">
        <f aca="1">Datum_Broj</f>
        <v>45382</v>
      </c>
      <c r="H247">
        <f>VLOOKUP($A247,Aop!$A$2:$P$453,4,0)</f>
        <v>315</v>
      </c>
      <c r="I247">
        <f aca="1">Godina</f>
        <v>2024</v>
      </c>
      <c r="J247" t="str">
        <f aca="1">IF(VLOOKUP($H247,INDIRECT("Lookup_"&amp;$B247),IF(LEFT($B247,2)="BS",R$2,R$1),0)="","",VLOOKUP($H247,INDIRECT("Lookup_"&amp;$B247),IF($B247="BSp",R$2,R$1),0))</f>
        <v/>
      </c>
      <c r="K247"/>
      <c r="L247"/>
      <c r="M247" t="str">
        <f aca="1">IF(VLOOKUP($H247,INDIRECT("Lookup_"&amp;$B247),IF(LEFT($B247,2)="BS",S$2,S$1),0)="","",VLOOKUP($H247,INDIRECT("Lookup_"&amp;$B247),IF(LEFT($B247,2)="BS",S$2,S$1),0))</f>
        <v/>
      </c>
      <c r="N247" t="str">
        <f aca="1">IF(VLOOKUP($H247,INDIRECT("Lookup_"&amp;$B247),IF(LEFT($B247,2)="BS",S$2,S$1),0)="","",VLOOKUP($H247,INDIRECT("Lookup_"&amp;$B247),IF(LEFT($B247,2)="BS",S$2,S$1),0))</f>
        <v/>
      </c>
    </row>
    <row r="248" spans="1:14">
      <c r="A248" t="n">
        <v>254</v>
      </c>
      <c r="B248" t="str">
        <f>VLOOKUP($A248,Aop!$A$2:$P$453,2,0)</f>
        <v>BUa</v>
      </c>
      <c r="C248" t="n">
        <v>27</v>
      </c>
      <c r="D248" t="str">
        <f aca="1">Podatak_MB</f>
        <v>1062280</v>
      </c>
      <c r="E248" t="str">
        <f aca="1">Podatak_JIB</f>
        <v>4400471400001</v>
      </c>
      <c r="F248" t="b">
        <f aca="1">Konsolidovan_izvjestaj</f>
        <v>0</v>
      </c>
      <c r="G248" s="20">
        <f aca="1">Datum_Broj</f>
        <v>45382</v>
      </c>
      <c r="H248">
        <f>VLOOKUP($A248,Aop!$A$2:$P$453,4,0)</f>
        <v>316</v>
      </c>
      <c r="I248">
        <f aca="1">Godina</f>
        <v>2024</v>
      </c>
      <c r="J248" t="str">
        <f aca="1">IF(VLOOKUP($H248,INDIRECT("Lookup_"&amp;$B248),IF(LEFT($B248,2)="BS",R$2,R$1),0)="","",VLOOKUP($H248,INDIRECT("Lookup_"&amp;$B248),IF($B248="BSp",R$2,R$1),0))</f>
        <v/>
      </c>
      <c r="K248"/>
      <c r="L248"/>
      <c r="M248" s="571">
        <f aca="1">IF(VLOOKUP($H248,INDIRECT("Lookup_"&amp;$B248),IF(LEFT($B248,2)="BS",S$2,S$1),0)="","",VLOOKUP($H248,INDIRECT("Lookup_"&amp;$B248),IF(LEFT($B248,2)="BS",S$2,S$1),0))</f>
        <v>805</v>
      </c>
      <c r="N248" s="571">
        <f aca="1">IF(VLOOKUP($H248,INDIRECT("Lookup_"&amp;$B248),IF(LEFT($B248,2)="BS",S$2,S$1),0)="","",VLOOKUP($H248,INDIRECT("Lookup_"&amp;$B248),IF(LEFT($B248,2)="BS",S$2,S$1),0))</f>
        <v>805</v>
      </c>
    </row>
    <row r="249" spans="1:14">
      <c r="A249" t="n">
        <v>255</v>
      </c>
      <c r="B249" t="str">
        <f>VLOOKUP($A249,Aop!$A$2:$P$453,2,0)</f>
        <v>BUa</v>
      </c>
      <c r="C249" t="n">
        <v>27</v>
      </c>
      <c r="D249" t="str">
        <f aca="1">Podatak_MB</f>
        <v>1062280</v>
      </c>
      <c r="E249" t="str">
        <f aca="1">Podatak_JIB</f>
        <v>4400471400001</v>
      </c>
      <c r="F249" t="b">
        <f aca="1">Konsolidovan_izvjestaj</f>
        <v>0</v>
      </c>
      <c r="G249" s="20">
        <f aca="1">Datum_Broj</f>
        <v>45382</v>
      </c>
      <c r="H249">
        <f>VLOOKUP($A249,Aop!$A$2:$P$453,4,0)</f>
        <v>317</v>
      </c>
      <c r="I249">
        <f aca="1">Godina</f>
        <v>2024</v>
      </c>
      <c r="J249" t="str">
        <f aca="1">IF(VLOOKUP($H249,INDIRECT("Lookup_"&amp;$B249),IF(LEFT($B249,2)="BS",R$2,R$1),0)="","",VLOOKUP($H249,INDIRECT("Lookup_"&amp;$B249),IF($B249="BSp",R$2,R$1),0))</f>
        <v/>
      </c>
      <c r="K249"/>
      <c r="L249"/>
      <c r="M249" s="571">
        <f aca="1">IF(VLOOKUP($H249,INDIRECT("Lookup_"&amp;$B249),IF(LEFT($B249,2)="BS",S$2,S$1),0)="","",VLOOKUP($H249,INDIRECT("Lookup_"&amp;$B249),IF(LEFT($B249,2)="BS",S$2,S$1),0))</f>
        <v>0</v>
      </c>
      <c r="N249" s="571">
        <f aca="1">IF(VLOOKUP($H249,INDIRECT("Lookup_"&amp;$B249),IF(LEFT($B249,2)="BS",S$2,S$1),0)="","",VLOOKUP($H249,INDIRECT("Lookup_"&amp;$B249),IF(LEFT($B249,2)="BS",S$2,S$1),0))</f>
        <v>0</v>
      </c>
    </row>
    <row r="250" spans="1:14">
      <c r="A250" t="n">
        <v>256</v>
      </c>
      <c r="B250" t="str">
        <f>VLOOKUP($A250,Aop!$A$2:$P$453,2,0)</f>
        <v>BUa</v>
      </c>
      <c r="C250" t="n">
        <v>27</v>
      </c>
      <c r="D250" t="str">
        <f aca="1">Podatak_MB</f>
        <v>1062280</v>
      </c>
      <c r="E250" t="str">
        <f aca="1">Podatak_JIB</f>
        <v>4400471400001</v>
      </c>
      <c r="F250" t="b">
        <f aca="1">Konsolidovan_izvjestaj</f>
        <v>0</v>
      </c>
      <c r="G250" s="20">
        <f aca="1">Datum_Broj</f>
        <v>45382</v>
      </c>
      <c r="H250">
        <f>VLOOKUP($A250,Aop!$A$2:$P$453,4,0)</f>
        <v>318</v>
      </c>
      <c r="I250">
        <f aca="1">Godina</f>
        <v>2024</v>
      </c>
      <c r="J250" t="str">
        <f aca="1">IF(VLOOKUP($H250,INDIRECT("Lookup_"&amp;$B250),IF(LEFT($B250,2)="BS",R$2,R$1),0)="","",VLOOKUP($H250,INDIRECT("Lookup_"&amp;$B250),IF($B250="BSp",R$2,R$1),0))</f>
        <v/>
      </c>
      <c r="K250"/>
      <c r="L250"/>
      <c r="M250" t="str">
        <f aca="1">IF(VLOOKUP($H250,INDIRECT("Lookup_"&amp;$B250),IF(LEFT($B250,2)="BS",S$2,S$1),0)="","",VLOOKUP($H250,INDIRECT("Lookup_"&amp;$B250),IF(LEFT($B250,2)="BS",S$2,S$1),0))</f>
        <v/>
      </c>
      <c r="N250" t="str">
        <f aca="1">IF(VLOOKUP($H250,INDIRECT("Lookup_"&amp;$B250),IF(LEFT($B250,2)="BS",S$2,S$1),0)="","",VLOOKUP($H250,INDIRECT("Lookup_"&amp;$B250),IF(LEFT($B250,2)="BS",S$2,S$1),0))</f>
        <v/>
      </c>
    </row>
    <row r="251" spans="1:14">
      <c r="A251" t="n">
        <v>257</v>
      </c>
      <c r="B251" t="str">
        <f>VLOOKUP($A251,Aop!$A$2:$P$453,2,0)</f>
        <v>BUa</v>
      </c>
      <c r="C251" t="n">
        <v>27</v>
      </c>
      <c r="D251" t="str">
        <f aca="1">Podatak_MB</f>
        <v>1062280</v>
      </c>
      <c r="E251" t="str">
        <f aca="1">Podatak_JIB</f>
        <v>4400471400001</v>
      </c>
      <c r="F251" t="b">
        <f aca="1">Konsolidovan_izvjestaj</f>
        <v>0</v>
      </c>
      <c r="G251" s="20">
        <f aca="1">Datum_Broj</f>
        <v>45382</v>
      </c>
      <c r="H251">
        <f>VLOOKUP($A251,Aop!$A$2:$P$453,4,0)</f>
        <v>319</v>
      </c>
      <c r="I251">
        <f aca="1">Godina</f>
        <v>2024</v>
      </c>
      <c r="J251" t="str">
        <f aca="1">IF(VLOOKUP($H251,INDIRECT("Lookup_"&amp;$B251),IF(LEFT($B251,2)="BS",R$2,R$1),0)="","",VLOOKUP($H251,INDIRECT("Lookup_"&amp;$B251),IF($B251="BSp",R$2,R$1),0))</f>
        <v/>
      </c>
      <c r="K251"/>
      <c r="L251"/>
      <c r="M251" t="str">
        <f aca="1">IF(VLOOKUP($H251,INDIRECT("Lookup_"&amp;$B251),IF(LEFT($B251,2)="BS",S$2,S$1),0)="","",VLOOKUP($H251,INDIRECT("Lookup_"&amp;$B251),IF(LEFT($B251,2)="BS",S$2,S$1),0))</f>
        <v/>
      </c>
      <c r="N251" t="str">
        <f aca="1">IF(VLOOKUP($H251,INDIRECT("Lookup_"&amp;$B251),IF(LEFT($B251,2)="BS",S$2,S$1),0)="","",VLOOKUP($H251,INDIRECT("Lookup_"&amp;$B251),IF(LEFT($B251,2)="BS",S$2,S$1),0))</f>
        <v/>
      </c>
    </row>
    <row r="252" spans="1:14">
      <c r="A252" t="n">
        <v>258</v>
      </c>
      <c r="B252" t="str">
        <f>VLOOKUP($A252,Aop!$A$2:$P$453,2,0)</f>
        <v>BUa</v>
      </c>
      <c r="C252" t="n">
        <v>27</v>
      </c>
      <c r="D252" t="str">
        <f aca="1">Podatak_MB</f>
        <v>1062280</v>
      </c>
      <c r="E252" t="str">
        <f aca="1">Podatak_JIB</f>
        <v>4400471400001</v>
      </c>
      <c r="F252" t="b">
        <f aca="1">Konsolidovan_izvjestaj</f>
        <v>0</v>
      </c>
      <c r="G252" s="20">
        <f aca="1">Datum_Broj</f>
        <v>45382</v>
      </c>
      <c r="H252">
        <f>VLOOKUP($A252,Aop!$A$2:$P$453,4,0)</f>
        <v>320</v>
      </c>
      <c r="I252">
        <f aca="1">Godina</f>
        <v>2024</v>
      </c>
      <c r="J252" t="str">
        <f aca="1">IF(VLOOKUP($H252,INDIRECT("Lookup_"&amp;$B252),IF(LEFT($B252,2)="BS",R$2,R$1),0)="","",VLOOKUP($H252,INDIRECT("Lookup_"&amp;$B252),IF($B252="BSp",R$2,R$1),0))</f>
        <v/>
      </c>
      <c r="K252"/>
      <c r="L252"/>
      <c r="M252" t="str">
        <f aca="1">IF(VLOOKUP($H252,INDIRECT("Lookup_"&amp;$B252),IF(LEFT($B252,2)="BS",S$2,S$1),0)="","",VLOOKUP($H252,INDIRECT("Lookup_"&amp;$B252),IF(LEFT($B252,2)="BS",S$2,S$1),0))</f>
        <v/>
      </c>
      <c r="N252" t="str">
        <f aca="1">IF(VLOOKUP($H252,INDIRECT("Lookup_"&amp;$B252),IF(LEFT($B252,2)="BS",S$2,S$1),0)="","",VLOOKUP($H252,INDIRECT("Lookup_"&amp;$B252),IF(LEFT($B252,2)="BS",S$2,S$1),0))</f>
        <v/>
      </c>
    </row>
    <row r="253" spans="1:14">
      <c r="A253" t="n">
        <v>259</v>
      </c>
      <c r="B253" t="str">
        <f>VLOOKUP($A253,Aop!$A$2:$P$453,2,0)</f>
        <v>BUa</v>
      </c>
      <c r="C253" t="n">
        <v>27</v>
      </c>
      <c r="D253" t="str">
        <f aca="1">Podatak_MB</f>
        <v>1062280</v>
      </c>
      <c r="E253" t="str">
        <f aca="1">Podatak_JIB</f>
        <v>4400471400001</v>
      </c>
      <c r="F253" t="b">
        <f aca="1">Konsolidovan_izvjestaj</f>
        <v>0</v>
      </c>
      <c r="G253" s="20">
        <f aca="1">Datum_Broj</f>
        <v>45382</v>
      </c>
      <c r="H253">
        <f>VLOOKUP($A253,Aop!$A$2:$P$453,4,0)</f>
        <v>321</v>
      </c>
      <c r="I253">
        <f aca="1">Godina</f>
        <v>2024</v>
      </c>
      <c r="J253" t="str">
        <f aca="1">IF(VLOOKUP($H253,INDIRECT("Lookup_"&amp;$B253),IF(LEFT($B253,2)="BS",R$2,R$1),0)="","",VLOOKUP($H253,INDIRECT("Lookup_"&amp;$B253),IF($B253="BSp",R$2,R$1),0))</f>
        <v/>
      </c>
      <c r="K253"/>
      <c r="L253"/>
      <c r="M253" s="579">
        <f aca="1">IF(VLOOKUP($H253,INDIRECT("Lookup_"&amp;$B253),IF(LEFT($B253,2)="BS",S$2,S$1),0)="","",VLOOKUP($H253,INDIRECT("Lookup_"&amp;$B253),IF(LEFT($B253,2)="BS",S$2,S$1),0))</f>
        <v>0.0001</v>
      </c>
      <c r="N253" s="579">
        <f aca="1">IF(VLOOKUP($H253,INDIRECT("Lookup_"&amp;$B253),IF(LEFT($B253,2)="BS",S$2,S$1),0)="","",VLOOKUP($H253,INDIRECT("Lookup_"&amp;$B253),IF(LEFT($B253,2)="BS",S$2,S$1),0))</f>
        <v>0.0001</v>
      </c>
    </row>
    <row r="254" spans="1:14">
      <c r="A254" t="n">
        <v>260</v>
      </c>
      <c r="B254" t="str">
        <f>VLOOKUP($A254,Aop!$A$2:$P$453,2,0)</f>
        <v>BUa</v>
      </c>
      <c r="C254" t="n">
        <v>27</v>
      </c>
      <c r="D254" t="str">
        <f aca="1">Podatak_MB</f>
        <v>1062280</v>
      </c>
      <c r="E254" t="str">
        <f aca="1">Podatak_JIB</f>
        <v>4400471400001</v>
      </c>
      <c r="F254" t="b">
        <f aca="1">Konsolidovan_izvjestaj</f>
        <v>0</v>
      </c>
      <c r="G254" s="20">
        <f aca="1">Datum_Broj</f>
        <v>45382</v>
      </c>
      <c r="H254">
        <f>VLOOKUP($A254,Aop!$A$2:$P$453,4,0)</f>
        <v>322</v>
      </c>
      <c r="I254">
        <f aca="1">Godina</f>
        <v>2024</v>
      </c>
      <c r="J254" t="str">
        <f aca="1">IF(VLOOKUP($H254,INDIRECT("Lookup_"&amp;$B254),IF(LEFT($B254,2)="BS",R$2,R$1),0)="","",VLOOKUP($H254,INDIRECT("Lookup_"&amp;$B254),IF($B254="BSp",R$2,R$1),0))</f>
        <v/>
      </c>
      <c r="K254"/>
      <c r="L254"/>
      <c r="M254" t="str">
        <f aca="1">IF(VLOOKUP($H254,INDIRECT("Lookup_"&amp;$B254),IF(LEFT($B254,2)="BS",S$2,S$1),0)="","",VLOOKUP($H254,INDIRECT("Lookup_"&amp;$B254),IF(LEFT($B254,2)="BS",S$2,S$1),0))</f>
        <v/>
      </c>
      <c r="N254" t="str">
        <f aca="1">IF(VLOOKUP($H254,INDIRECT("Lookup_"&amp;$B254),IF(LEFT($B254,2)="BS",S$2,S$1),0)="","",VLOOKUP($H254,INDIRECT("Lookup_"&amp;$B254),IF(LEFT($B254,2)="BS",S$2,S$1),0))</f>
        <v/>
      </c>
    </row>
    <row r="255" spans="1:14">
      <c r="A255" t="n">
        <v>261</v>
      </c>
      <c r="B255" t="str">
        <f>VLOOKUP($A255,Aop!$A$2:$P$453,2,0)</f>
        <v>BUa</v>
      </c>
      <c r="C255" t="n">
        <v>27</v>
      </c>
      <c r="D255" t="str">
        <f aca="1">Podatak_MB</f>
        <v>1062280</v>
      </c>
      <c r="E255" t="str">
        <f aca="1">Podatak_JIB</f>
        <v>4400471400001</v>
      </c>
      <c r="F255" t="b">
        <f aca="1">Konsolidovan_izvjestaj</f>
        <v>0</v>
      </c>
      <c r="G255" s="20">
        <f aca="1">Datum_Broj</f>
        <v>45382</v>
      </c>
      <c r="H255">
        <f>VLOOKUP($A255,Aop!$A$2:$P$453,4,0)</f>
        <v>323</v>
      </c>
      <c r="I255">
        <f aca="1">Godina</f>
        <v>2024</v>
      </c>
      <c r="J255" t="str">
        <f aca="1">IF(VLOOKUP($H255,INDIRECT("Lookup_"&amp;$B255),IF(LEFT($B255,2)="BS",R$2,R$1),0)="","",VLOOKUP($H255,INDIRECT("Lookup_"&amp;$B255),IF($B255="BSp",R$2,R$1),0))</f>
        <v/>
      </c>
      <c r="K255"/>
      <c r="L255"/>
      <c r="M255" s="578">
        <f aca="1">IF(VLOOKUP($H255,INDIRECT("Lookup_"&amp;$B255),IF(LEFT($B255,2)="BS",S$2,S$1),0)="","",VLOOKUP($H255,INDIRECT("Lookup_"&amp;$B255),IF(LEFT($B255,2)="BS",S$2,S$1),0))</f>
        <v>23</v>
      </c>
      <c r="N255" s="578">
        <f aca="1">IF(VLOOKUP($H255,INDIRECT("Lookup_"&amp;$B255),IF(LEFT($B255,2)="BS",S$2,S$1),0)="","",VLOOKUP($H255,INDIRECT("Lookup_"&amp;$B255),IF(LEFT($B255,2)="BS",S$2,S$1),0))</f>
        <v>23</v>
      </c>
    </row>
    <row r="256" spans="1:14">
      <c r="A256" t="n">
        <v>262</v>
      </c>
      <c r="B256" t="str">
        <f>VLOOKUP($A256,Aop!$A$2:$P$453,2,0)</f>
        <v>BUa</v>
      </c>
      <c r="C256" t="n">
        <v>27</v>
      </c>
      <c r="D256" t="str">
        <f aca="1">Podatak_MB</f>
        <v>1062280</v>
      </c>
      <c r="E256" t="str">
        <f aca="1">Podatak_JIB</f>
        <v>4400471400001</v>
      </c>
      <c r="F256" t="b">
        <f aca="1">Konsolidovan_izvjestaj</f>
        <v>0</v>
      </c>
      <c r="G256" s="20">
        <f aca="1">Datum_Broj</f>
        <v>45382</v>
      </c>
      <c r="H256">
        <f>VLOOKUP($A256,Aop!$A$2:$P$453,4,0)</f>
        <v>324</v>
      </c>
      <c r="I256">
        <f aca="1">Godina</f>
        <v>2024</v>
      </c>
      <c r="J256" t="str">
        <f aca="1">IF(VLOOKUP($H256,INDIRECT("Lookup_"&amp;$B256),IF(LEFT($B256,2)="BS",R$2,R$1),0)="","",VLOOKUP($H256,INDIRECT("Lookup_"&amp;$B256),IF($B256="BSp",R$2,R$1),0))</f>
        <v/>
      </c>
      <c r="K256"/>
      <c r="L256"/>
      <c r="M256" s="578">
        <f aca="1">IF(VLOOKUP($H256,INDIRECT("Lookup_"&amp;$B256),IF(LEFT($B256,2)="BS",S$2,S$1),0)="","",VLOOKUP($H256,INDIRECT("Lookup_"&amp;$B256),IF(LEFT($B256,2)="BS",S$2,S$1),0))</f>
        <v>23</v>
      </c>
      <c r="N256" s="578">
        <f aca="1">IF(VLOOKUP($H256,INDIRECT("Lookup_"&amp;$B256),IF(LEFT($B256,2)="BS",S$2,S$1),0)="","",VLOOKUP($H256,INDIRECT("Lookup_"&amp;$B256),IF(LEFT($B256,2)="BS",S$2,S$1),0))</f>
        <v>23</v>
      </c>
    </row>
    <row r="257" spans="1:14">
      <c r="A257" t="n">
        <v>263</v>
      </c>
      <c r="B257" t="str">
        <f>VLOOKUP($A257,Aop!$A$2:$P$453,2,0)</f>
        <v>BUb</v>
      </c>
      <c r="C257" t="n">
        <v>27</v>
      </c>
      <c r="D257" t="str">
        <f aca="1">Podatak_MB</f>
        <v>1062280</v>
      </c>
      <c r="E257" t="str">
        <f aca="1">Podatak_JIB</f>
        <v>4400471400001</v>
      </c>
      <c r="F257" t="b">
        <f aca="1">Konsolidovan_izvjestaj</f>
        <v>0</v>
      </c>
      <c r="G257" s="20">
        <f aca="1">Datum_Broj</f>
        <v>45382</v>
      </c>
      <c r="H257">
        <f>VLOOKUP($A257,Aop!$A$2:$P$453,4,0)</f>
        <v>400</v>
      </c>
      <c r="I257">
        <f aca="1">Godina</f>
        <v>2024</v>
      </c>
      <c r="J257" t="str">
        <f aca="1">IF(VLOOKUP($H257,INDIRECT("Lookup_"&amp;$B257),IF(LEFT($B257,2)="BS",R$2,R$1),0)="","",VLOOKUP($H257,INDIRECT("Lookup_"&amp;$B257),IF($B257="BSp",R$2,R$1),0))</f>
        <v/>
      </c>
      <c r="K257"/>
      <c r="L257"/>
      <c r="M257" s="571">
        <f aca="1">IF(VLOOKUP($H257,INDIRECT("Lookup_"&amp;$B257),IF(LEFT($B257,2)="BS",S$2,S$1),0)="","",VLOOKUP($H257,INDIRECT("Lookup_"&amp;$B257),IF(LEFT($B257,2)="BS",S$2,S$1),0))</f>
        <v>805</v>
      </c>
      <c r="N257" s="571">
        <f aca="1">IF(VLOOKUP($H257,INDIRECT("Lookup_"&amp;$B257),IF(LEFT($B257,2)="BS",S$2,S$1),0)="","",VLOOKUP($H257,INDIRECT("Lookup_"&amp;$B257),IF(LEFT($B257,2)="BS",S$2,S$1),0))</f>
        <v>805</v>
      </c>
    </row>
    <row r="258" spans="1:14">
      <c r="A258" t="n">
        <v>264</v>
      </c>
      <c r="B258" t="str">
        <f>VLOOKUP($A258,Aop!$A$2:$P$453,2,0)</f>
        <v>BUb</v>
      </c>
      <c r="C258" t="n">
        <v>27</v>
      </c>
      <c r="D258" t="str">
        <f aca="1">Podatak_MB</f>
        <v>1062280</v>
      </c>
      <c r="E258" t="str">
        <f aca="1">Podatak_JIB</f>
        <v>4400471400001</v>
      </c>
      <c r="F258" t="b">
        <f aca="1">Konsolidovan_izvjestaj</f>
        <v>0</v>
      </c>
      <c r="G258" s="20">
        <f aca="1">Datum_Broj</f>
        <v>45382</v>
      </c>
      <c r="H258">
        <f>VLOOKUP($A258,Aop!$A$2:$P$453,4,0)</f>
        <v>401</v>
      </c>
      <c r="I258">
        <f aca="1">Godina</f>
        <v>2024</v>
      </c>
      <c r="J258" t="str">
        <f aca="1">IF(VLOOKUP($H258,INDIRECT("Lookup_"&amp;$B258),IF(LEFT($B258,2)="BS",R$2,R$1),0)="","",VLOOKUP($H258,INDIRECT("Lookup_"&amp;$B258),IF($B258="BSp",R$2,R$1),0))</f>
        <v/>
      </c>
      <c r="K258"/>
      <c r="L258"/>
      <c r="M258" s="571">
        <f aca="1">IF(VLOOKUP($H258,INDIRECT("Lookup_"&amp;$B258),IF(LEFT($B258,2)="BS",S$2,S$1),0)="","",VLOOKUP($H258,INDIRECT("Lookup_"&amp;$B258),IF(LEFT($B258,2)="BS",S$2,S$1),0))</f>
        <v>0</v>
      </c>
      <c r="N258" s="571">
        <f aca="1">IF(VLOOKUP($H258,INDIRECT("Lookup_"&amp;$B258),IF(LEFT($B258,2)="BS",S$2,S$1),0)="","",VLOOKUP($H258,INDIRECT("Lookup_"&amp;$B258),IF(LEFT($B258,2)="BS",S$2,S$1),0))</f>
        <v>0</v>
      </c>
    </row>
    <row r="259" spans="1:14">
      <c r="A259" t="n">
        <v>265</v>
      </c>
      <c r="B259" t="str">
        <f>VLOOKUP($A259,Aop!$A$2:$P$453,2,0)</f>
        <v>BUb</v>
      </c>
      <c r="C259" t="n">
        <v>27</v>
      </c>
      <c r="D259" t="str">
        <f aca="1">Podatak_MB</f>
        <v>1062280</v>
      </c>
      <c r="E259" t="str">
        <f aca="1">Podatak_JIB</f>
        <v>4400471400001</v>
      </c>
      <c r="F259" t="b">
        <f aca="1">Konsolidovan_izvjestaj</f>
        <v>0</v>
      </c>
      <c r="G259" s="20">
        <f aca="1">Datum_Broj</f>
        <v>45382</v>
      </c>
      <c r="H259">
        <f>VLOOKUP($A259,Aop!$A$2:$P$453,4,0)</f>
        <v>402</v>
      </c>
      <c r="I259">
        <f aca="1">Godina</f>
        <v>2024</v>
      </c>
      <c r="J259" t="str">
        <f aca="1">IF(VLOOKUP($H259,INDIRECT("Lookup_"&amp;$B259),IF(LEFT($B259,2)="BS",R$2,R$1),0)="","",VLOOKUP($H259,INDIRECT("Lookup_"&amp;$B259),IF($B259="BSp",R$2,R$1),0))</f>
        <v/>
      </c>
      <c r="K259"/>
      <c r="L259"/>
      <c r="M259" t="str">
        <f aca="1">IF(VLOOKUP($H259,INDIRECT("Lookup_"&amp;$B259),IF(LEFT($B259,2)="BS",S$2,S$1),0)="","",VLOOKUP($H259,INDIRECT("Lookup_"&amp;$B259),IF(LEFT($B259,2)="BS",S$2,S$1),0))</f>
        <v/>
      </c>
      <c r="N259" t="str">
        <f aca="1">IF(VLOOKUP($H259,INDIRECT("Lookup_"&amp;$B259),IF(LEFT($B259,2)="BS",S$2,S$1),0)="","",VLOOKUP($H259,INDIRECT("Lookup_"&amp;$B259),IF(LEFT($B259,2)="BS",S$2,S$1),0))</f>
        <v/>
      </c>
    </row>
    <row r="260" spans="1:14">
      <c r="A260" t="n">
        <v>266</v>
      </c>
      <c r="B260" t="str">
        <f>VLOOKUP($A260,Aop!$A$2:$P$453,2,0)</f>
        <v>BUb</v>
      </c>
      <c r="C260" t="n">
        <v>27</v>
      </c>
      <c r="D260" t="str">
        <f aca="1">Podatak_MB</f>
        <v>1062280</v>
      </c>
      <c r="E260" t="str">
        <f aca="1">Podatak_JIB</f>
        <v>4400471400001</v>
      </c>
      <c r="F260" t="b">
        <f aca="1">Konsolidovan_izvjestaj</f>
        <v>0</v>
      </c>
      <c r="G260" s="20">
        <f aca="1">Datum_Broj</f>
        <v>45382</v>
      </c>
      <c r="H260">
        <f>VLOOKUP($A260,Aop!$A$2:$P$453,4,0)</f>
        <v>403</v>
      </c>
      <c r="I260">
        <f aca="1">Godina</f>
        <v>2024</v>
      </c>
      <c r="J260" t="str">
        <f aca="1">IF(VLOOKUP($H260,INDIRECT("Lookup_"&amp;$B260),IF(LEFT($B260,2)="BS",R$2,R$1),0)="","",VLOOKUP($H260,INDIRECT("Lookup_"&amp;$B260),IF($B260="BSp",R$2,R$1),0))</f>
        <v/>
      </c>
      <c r="K260"/>
      <c r="L260"/>
      <c r="M260" t="str">
        <f aca="1">IF(VLOOKUP($H260,INDIRECT("Lookup_"&amp;$B260),IF(LEFT($B260,2)="BS",S$2,S$1),0)="","",VLOOKUP($H260,INDIRECT("Lookup_"&amp;$B260),IF(LEFT($B260,2)="BS",S$2,S$1),0))</f>
        <v/>
      </c>
      <c r="N260" t="str">
        <f aca="1">IF(VLOOKUP($H260,INDIRECT("Lookup_"&amp;$B260),IF(LEFT($B260,2)="BS",S$2,S$1),0)="","",VLOOKUP($H260,INDIRECT("Lookup_"&amp;$B260),IF(LEFT($B260,2)="BS",S$2,S$1),0))</f>
        <v/>
      </c>
    </row>
    <row r="261" spans="1:14">
      <c r="A261" t="n">
        <v>267</v>
      </c>
      <c r="B261" t="str">
        <f>VLOOKUP($A261,Aop!$A$2:$P$453,2,0)</f>
        <v>BUb</v>
      </c>
      <c r="C261" t="n">
        <v>27</v>
      </c>
      <c r="D261" t="str">
        <f aca="1">Podatak_MB</f>
        <v>1062280</v>
      </c>
      <c r="E261" t="str">
        <f aca="1">Podatak_JIB</f>
        <v>4400471400001</v>
      </c>
      <c r="F261" t="b">
        <f aca="1">Konsolidovan_izvjestaj</f>
        <v>0</v>
      </c>
      <c r="G261" s="20">
        <f aca="1">Datum_Broj</f>
        <v>45382</v>
      </c>
      <c r="H261">
        <f>VLOOKUP($A261,Aop!$A$2:$P$453,4,0)</f>
        <v>404</v>
      </c>
      <c r="I261">
        <f aca="1">Godina</f>
        <v>2024</v>
      </c>
      <c r="J261" t="str">
        <f aca="1">IF(VLOOKUP($H261,INDIRECT("Lookup_"&amp;$B261),IF(LEFT($B261,2)="BS",R$2,R$1),0)="","",VLOOKUP($H261,INDIRECT("Lookup_"&amp;$B261),IF($B261="BSp",R$2,R$1),0))</f>
        <v/>
      </c>
      <c r="K261"/>
      <c r="L261"/>
      <c r="M261" t="str">
        <f aca="1">IF(VLOOKUP($H261,INDIRECT("Lookup_"&amp;$B261),IF(LEFT($B261,2)="BS",S$2,S$1),0)="","",VLOOKUP($H261,INDIRECT("Lookup_"&amp;$B261),IF(LEFT($B261,2)="BS",S$2,S$1),0))</f>
        <v/>
      </c>
      <c r="N261" t="str">
        <f aca="1">IF(VLOOKUP($H261,INDIRECT("Lookup_"&amp;$B261),IF(LEFT($B261,2)="BS",S$2,S$1),0)="","",VLOOKUP($H261,INDIRECT("Lookup_"&amp;$B261),IF(LEFT($B261,2)="BS",S$2,S$1),0))</f>
        <v/>
      </c>
    </row>
    <row r="262" spans="1:14">
      <c r="A262" t="n">
        <v>269</v>
      </c>
      <c r="B262" t="str">
        <f>VLOOKUP($A262,Aop!$A$2:$P$453,2,0)</f>
        <v>BUb</v>
      </c>
      <c r="C262" t="n">
        <v>27</v>
      </c>
      <c r="D262" t="str">
        <f aca="1">Podatak_MB</f>
        <v>1062280</v>
      </c>
      <c r="E262" t="str">
        <f aca="1">Podatak_JIB</f>
        <v>4400471400001</v>
      </c>
      <c r="F262" t="b">
        <f aca="1">Konsolidovan_izvjestaj</f>
        <v>0</v>
      </c>
      <c r="G262" s="20">
        <f aca="1">Datum_Broj</f>
        <v>45382</v>
      </c>
      <c r="H262">
        <f>VLOOKUP($A262,Aop!$A$2:$P$453,4,0)</f>
        <v>406</v>
      </c>
      <c r="I262">
        <f aca="1">Godina</f>
        <v>2024</v>
      </c>
      <c r="J262" t="str">
        <f aca="1">IF(VLOOKUP($H262,INDIRECT("Lookup_"&amp;$B262),IF(LEFT($B262,2)="BS",R$2,R$1),0)="","",VLOOKUP($H262,INDIRECT("Lookup_"&amp;$B262),IF($B262="BSp",R$2,R$1),0))</f>
        <v/>
      </c>
      <c r="K262"/>
      <c r="L262"/>
      <c r="M262" t="str">
        <f aca="1">IF(VLOOKUP($H262,INDIRECT("Lookup_"&amp;$B262),IF(LEFT($B262,2)="BS",S$2,S$1),0)="","",VLOOKUP($H262,INDIRECT("Lookup_"&amp;$B262),IF(LEFT($B262,2)="BS",S$2,S$1),0))</f>
        <v/>
      </c>
      <c r="N262" t="str">
        <f aca="1">IF(VLOOKUP($H262,INDIRECT("Lookup_"&amp;$B262),IF(LEFT($B262,2)="BS",S$2,S$1),0)="","",VLOOKUP($H262,INDIRECT("Lookup_"&amp;$B262),IF(LEFT($B262,2)="BS",S$2,S$1),0))</f>
        <v/>
      </c>
    </row>
    <row r="263" spans="1:14">
      <c r="A263" t="n">
        <v>270</v>
      </c>
      <c r="B263" t="str">
        <f>VLOOKUP($A263,Aop!$A$2:$P$453,2,0)</f>
        <v>BUb</v>
      </c>
      <c r="C263" t="n">
        <v>27</v>
      </c>
      <c r="D263" t="str">
        <f aca="1">Podatak_MB</f>
        <v>1062280</v>
      </c>
      <c r="E263" t="str">
        <f aca="1">Podatak_JIB</f>
        <v>4400471400001</v>
      </c>
      <c r="F263" t="b">
        <f aca="1">Konsolidovan_izvjestaj</f>
        <v>0</v>
      </c>
      <c r="G263" s="20">
        <f aca="1">Datum_Broj</f>
        <v>45382</v>
      </c>
      <c r="H263">
        <f>VLOOKUP($A263,Aop!$A$2:$P$453,4,0)</f>
        <v>407</v>
      </c>
      <c r="I263">
        <f aca="1">Godina</f>
        <v>2024</v>
      </c>
      <c r="J263" t="str">
        <f aca="1">IF(VLOOKUP($H263,INDIRECT("Lookup_"&amp;$B263),IF(LEFT($B263,2)="BS",R$2,R$1),0)="","",VLOOKUP($H263,INDIRECT("Lookup_"&amp;$B263),IF($B263="BSp",R$2,R$1),0))</f>
        <v/>
      </c>
      <c r="K263"/>
      <c r="L263"/>
      <c r="M263" t="str">
        <f aca="1">IF(VLOOKUP($H263,INDIRECT("Lookup_"&amp;$B263),IF(LEFT($B263,2)="BS",S$2,S$1),0)="","",VLOOKUP($H263,INDIRECT("Lookup_"&amp;$B263),IF(LEFT($B263,2)="BS",S$2,S$1),0))</f>
        <v/>
      </c>
      <c r="N263" t="str">
        <f aca="1">IF(VLOOKUP($H263,INDIRECT("Lookup_"&amp;$B263),IF(LEFT($B263,2)="BS",S$2,S$1),0)="","",VLOOKUP($H263,INDIRECT("Lookup_"&amp;$B263),IF(LEFT($B263,2)="BS",S$2,S$1),0))</f>
        <v/>
      </c>
    </row>
    <row r="264" spans="1:14">
      <c r="A264" t="n">
        <v>272</v>
      </c>
      <c r="B264" t="str">
        <f>VLOOKUP($A264,Aop!$A$2:$P$453,2,0)</f>
        <v>BUb</v>
      </c>
      <c r="C264" t="n">
        <v>27</v>
      </c>
      <c r="D264" t="str">
        <f aca="1">Podatak_MB</f>
        <v>1062280</v>
      </c>
      <c r="E264" t="str">
        <f aca="1">Podatak_JIB</f>
        <v>4400471400001</v>
      </c>
      <c r="F264" t="b">
        <f aca="1">Konsolidovan_izvjestaj</f>
        <v>0</v>
      </c>
      <c r="G264" s="20">
        <f aca="1">Datum_Broj</f>
        <v>45382</v>
      </c>
      <c r="H264">
        <f>VLOOKUP($A264,Aop!$A$2:$P$453,4,0)</f>
        <v>409</v>
      </c>
      <c r="I264">
        <f aca="1">Godina</f>
        <v>2024</v>
      </c>
      <c r="J264" t="str">
        <f aca="1">IF(VLOOKUP($H264,INDIRECT("Lookup_"&amp;$B264),IF(LEFT($B264,2)="BS",R$2,R$1),0)="","",VLOOKUP($H264,INDIRECT("Lookup_"&amp;$B264),IF($B264="BSp",R$2,R$1),0))</f>
        <v/>
      </c>
      <c r="K264"/>
      <c r="L264"/>
      <c r="M264" s="576">
        <f aca="1">IF(VLOOKUP($H264,INDIRECT("Lookup_"&amp;$B264),IF(LEFT($B264,2)="BS",S$2,S$1),0)="","",VLOOKUP($H264,INDIRECT("Lookup_"&amp;$B264),IF(LEFT($B264,2)="BS",S$2,S$1),0))</f>
        <v>2736</v>
      </c>
      <c r="N264" s="576">
        <f aca="1">IF(VLOOKUP($H264,INDIRECT("Lookup_"&amp;$B264),IF(LEFT($B264,2)="BS",S$2,S$1),0)="","",VLOOKUP($H264,INDIRECT("Lookup_"&amp;$B264),IF(LEFT($B264,2)="BS",S$2,S$1),0))</f>
        <v>2736</v>
      </c>
    </row>
    <row r="265" spans="1:14">
      <c r="A265" t="n">
        <v>273</v>
      </c>
      <c r="B265" t="str">
        <f>VLOOKUP($A265,Aop!$A$2:$P$453,2,0)</f>
        <v>BUb</v>
      </c>
      <c r="C265" t="n">
        <v>27</v>
      </c>
      <c r="D265" t="str">
        <f aca="1">Podatak_MB</f>
        <v>1062280</v>
      </c>
      <c r="E265" t="str">
        <f aca="1">Podatak_JIB</f>
        <v>4400471400001</v>
      </c>
      <c r="F265" t="b">
        <f aca="1">Konsolidovan_izvjestaj</f>
        <v>0</v>
      </c>
      <c r="G265" s="20">
        <f aca="1">Datum_Broj</f>
        <v>45382</v>
      </c>
      <c r="H265">
        <f>VLOOKUP($A265,Aop!$A$2:$P$453,4,0)</f>
        <v>410</v>
      </c>
      <c r="I265">
        <f aca="1">Godina</f>
        <v>2024</v>
      </c>
      <c r="J265" t="str">
        <f aca="1">IF(VLOOKUP($H265,INDIRECT("Lookup_"&amp;$B265),IF(LEFT($B265,2)="BS",R$2,R$1),0)="","",VLOOKUP($H265,INDIRECT("Lookup_"&amp;$B265),IF($B265="BSp",R$2,R$1),0))</f>
        <v/>
      </c>
      <c r="K265"/>
      <c r="L265"/>
      <c r="M265" t="str">
        <f aca="1">IF(VLOOKUP($H265,INDIRECT("Lookup_"&amp;$B265),IF(LEFT($B265,2)="BS",S$2,S$1),0)="","",VLOOKUP($H265,INDIRECT("Lookup_"&amp;$B265),IF(LEFT($B265,2)="BS",S$2,S$1),0))</f>
        <v/>
      </c>
      <c r="N265" t="str">
        <f aca="1">IF(VLOOKUP($H265,INDIRECT("Lookup_"&amp;$B265),IF(LEFT($B265,2)="BS",S$2,S$1),0)="","",VLOOKUP($H265,INDIRECT("Lookup_"&amp;$B265),IF(LEFT($B265,2)="BS",S$2,S$1),0))</f>
        <v/>
      </c>
    </row>
    <row r="266" spans="1:14">
      <c r="A266" t="n">
        <v>274</v>
      </c>
      <c r="B266" t="str">
        <f>VLOOKUP($A266,Aop!$A$2:$P$453,2,0)</f>
        <v>BUb</v>
      </c>
      <c r="C266" t="n">
        <v>27</v>
      </c>
      <c r="D266" t="str">
        <f aca="1">Podatak_MB</f>
        <v>1062280</v>
      </c>
      <c r="E266" t="str">
        <f aca="1">Podatak_JIB</f>
        <v>4400471400001</v>
      </c>
      <c r="F266" t="b">
        <f aca="1">Konsolidovan_izvjestaj</f>
        <v>0</v>
      </c>
      <c r="G266" s="20">
        <f aca="1">Datum_Broj</f>
        <v>45382</v>
      </c>
      <c r="H266">
        <f>VLOOKUP($A266,Aop!$A$2:$P$453,4,0)</f>
        <v>411</v>
      </c>
      <c r="I266">
        <f aca="1">Godina</f>
        <v>2024</v>
      </c>
      <c r="J266" t="str">
        <f aca="1">IF(VLOOKUP($H266,INDIRECT("Lookup_"&amp;$B266),IF(LEFT($B266,2)="BS",R$2,R$1),0)="","",VLOOKUP($H266,INDIRECT("Lookup_"&amp;$B266),IF($B266="BSp",R$2,R$1),0))</f>
        <v/>
      </c>
      <c r="K266"/>
      <c r="L266"/>
      <c r="M266" t="str">
        <f aca="1">IF(VLOOKUP($H266,INDIRECT("Lookup_"&amp;$B266),IF(LEFT($B266,2)="BS",S$2,S$1),0)="","",VLOOKUP($H266,INDIRECT("Lookup_"&amp;$B266),IF(LEFT($B266,2)="BS",S$2,S$1),0))</f>
        <v/>
      </c>
      <c r="N266" t="str">
        <f aca="1">IF(VLOOKUP($H266,INDIRECT("Lookup_"&amp;$B266),IF(LEFT($B266,2)="BS",S$2,S$1),0)="","",VLOOKUP($H266,INDIRECT("Lookup_"&amp;$B266),IF(LEFT($B266,2)="BS",S$2,S$1),0))</f>
        <v/>
      </c>
    </row>
    <row r="267" spans="1:14">
      <c r="A267" t="n">
        <v>275</v>
      </c>
      <c r="B267" t="str">
        <f>VLOOKUP($A267,Aop!$A$2:$P$453,2,0)</f>
        <v>BUb</v>
      </c>
      <c r="C267" t="n">
        <v>27</v>
      </c>
      <c r="D267" t="str">
        <f aca="1">Podatak_MB</f>
        <v>1062280</v>
      </c>
      <c r="E267" t="str">
        <f aca="1">Podatak_JIB</f>
        <v>4400471400001</v>
      </c>
      <c r="F267" t="b">
        <f aca="1">Konsolidovan_izvjestaj</f>
        <v>0</v>
      </c>
      <c r="G267" s="20">
        <f aca="1">Datum_Broj</f>
        <v>45382</v>
      </c>
      <c r="H267">
        <f>VLOOKUP($A267,Aop!$A$2:$P$453,4,0)</f>
        <v>412</v>
      </c>
      <c r="I267">
        <f aca="1">Godina</f>
        <v>2024</v>
      </c>
      <c r="J267" t="str">
        <f aca="1">IF(VLOOKUP($H267,INDIRECT("Lookup_"&amp;$B267),IF(LEFT($B267,2)="BS",R$2,R$1),0)="","",VLOOKUP($H267,INDIRECT("Lookup_"&amp;$B267),IF($B267="BSp",R$2,R$1),0))</f>
        <v/>
      </c>
      <c r="K267"/>
      <c r="L267"/>
      <c r="M267" t="str">
        <f aca="1">IF(VLOOKUP($H267,INDIRECT("Lookup_"&amp;$B267),IF(LEFT($B267,2)="BS",S$2,S$1),0)="","",VLOOKUP($H267,INDIRECT("Lookup_"&amp;$B267),IF(LEFT($B267,2)="BS",S$2,S$1),0))</f>
        <v/>
      </c>
      <c r="N267" t="str">
        <f aca="1">IF(VLOOKUP($H267,INDIRECT("Lookup_"&amp;$B267),IF(LEFT($B267,2)="BS",S$2,S$1),0)="","",VLOOKUP($H267,INDIRECT("Lookup_"&amp;$B267),IF(LEFT($B267,2)="BS",S$2,S$1),0))</f>
        <v/>
      </c>
    </row>
    <row r="268" spans="1:14">
      <c r="A268" t="n">
        <v>276</v>
      </c>
      <c r="B268" t="str">
        <f>VLOOKUP($A268,Aop!$A$2:$P$453,2,0)</f>
        <v>BUb</v>
      </c>
      <c r="C268" t="n">
        <v>27</v>
      </c>
      <c r="D268" t="str">
        <f aca="1">Podatak_MB</f>
        <v>1062280</v>
      </c>
      <c r="E268" t="str">
        <f aca="1">Podatak_JIB</f>
        <v>4400471400001</v>
      </c>
      <c r="F268" t="b">
        <f aca="1">Konsolidovan_izvjestaj</f>
        <v>0</v>
      </c>
      <c r="G268" s="20">
        <f aca="1">Datum_Broj</f>
        <v>45382</v>
      </c>
      <c r="H268">
        <f>VLOOKUP($A268,Aop!$A$2:$P$453,4,0)</f>
        <v>413</v>
      </c>
      <c r="I268">
        <f aca="1">Godina</f>
        <v>2024</v>
      </c>
      <c r="J268" t="str">
        <f aca="1">IF(VLOOKUP($H268,INDIRECT("Lookup_"&amp;$B268),IF(LEFT($B268,2)="BS",R$2,R$1),0)="","",VLOOKUP($H268,INDIRECT("Lookup_"&amp;$B268),IF($B268="BSp",R$2,R$1),0))</f>
        <v/>
      </c>
      <c r="K268"/>
      <c r="L268"/>
      <c r="M268" t="str">
        <f aca="1">IF(VLOOKUP($H268,INDIRECT("Lookup_"&amp;$B268),IF(LEFT($B268,2)="BS",S$2,S$1),0)="","",VLOOKUP($H268,INDIRECT("Lookup_"&amp;$B268),IF(LEFT($B268,2)="BS",S$2,S$1),0))</f>
        <v/>
      </c>
      <c r="N268" t="str">
        <f aca="1">IF(VLOOKUP($H268,INDIRECT("Lookup_"&amp;$B268),IF(LEFT($B268,2)="BS",S$2,S$1),0)="","",VLOOKUP($H268,INDIRECT("Lookup_"&amp;$B268),IF(LEFT($B268,2)="BS",S$2,S$1),0))</f>
        <v/>
      </c>
    </row>
    <row r="269" spans="1:14">
      <c r="A269" t="n">
        <v>277</v>
      </c>
      <c r="B269" t="str">
        <f>VLOOKUP($A269,Aop!$A$2:$P$453,2,0)</f>
        <v>BUb</v>
      </c>
      <c r="C269" t="n">
        <v>27</v>
      </c>
      <c r="D269" t="str">
        <f aca="1">Podatak_MB</f>
        <v>1062280</v>
      </c>
      <c r="E269" t="str">
        <f aca="1">Podatak_JIB</f>
        <v>4400471400001</v>
      </c>
      <c r="F269" t="b">
        <f aca="1">Konsolidovan_izvjestaj</f>
        <v>0</v>
      </c>
      <c r="G269" s="20">
        <f aca="1">Datum_Broj</f>
        <v>45382</v>
      </c>
      <c r="H269">
        <f>VLOOKUP($A269,Aop!$A$2:$P$453,4,0)</f>
        <v>414</v>
      </c>
      <c r="I269">
        <f aca="1">Godina</f>
        <v>2024</v>
      </c>
      <c r="J269" t="str">
        <f aca="1">IF(VLOOKUP($H269,INDIRECT("Lookup_"&amp;$B269),IF(LEFT($B269,2)="BS",R$2,R$1),0)="","",VLOOKUP($H269,INDIRECT("Lookup_"&amp;$B269),IF($B269="BSp",R$2,R$1),0))</f>
        <v/>
      </c>
      <c r="K269"/>
      <c r="L269"/>
      <c r="M269" t="str">
        <f aca="1">IF(VLOOKUP($H269,INDIRECT("Lookup_"&amp;$B269),IF(LEFT($B269,2)="BS",S$2,S$1),0)="","",VLOOKUP($H269,INDIRECT("Lookup_"&amp;$B269),IF(LEFT($B269,2)="BS",S$2,S$1),0))</f>
        <v/>
      </c>
      <c r="N269" t="str">
        <f aca="1">IF(VLOOKUP($H269,INDIRECT("Lookup_"&amp;$B269),IF(LEFT($B269,2)="BS",S$2,S$1),0)="","",VLOOKUP($H269,INDIRECT("Lookup_"&amp;$B269),IF(LEFT($B269,2)="BS",S$2,S$1),0))</f>
        <v/>
      </c>
    </row>
    <row r="270" spans="1:14">
      <c r="A270" t="n">
        <v>278</v>
      </c>
      <c r="B270" t="str">
        <f>VLOOKUP($A270,Aop!$A$2:$P$453,2,0)</f>
        <v>BUb</v>
      </c>
      <c r="C270" t="n">
        <v>27</v>
      </c>
      <c r="D270" t="str">
        <f aca="1">Podatak_MB</f>
        <v>1062280</v>
      </c>
      <c r="E270" t="str">
        <f aca="1">Podatak_JIB</f>
        <v>4400471400001</v>
      </c>
      <c r="F270" t="b">
        <f aca="1">Konsolidovan_izvjestaj</f>
        <v>0</v>
      </c>
      <c r="G270" s="20">
        <f aca="1">Datum_Broj</f>
        <v>45382</v>
      </c>
      <c r="H270">
        <f>VLOOKUP($A270,Aop!$A$2:$P$453,4,0)</f>
        <v>415</v>
      </c>
      <c r="I270">
        <f aca="1">Godina</f>
        <v>2024</v>
      </c>
      <c r="J270" t="str">
        <f aca="1">IF(VLOOKUP($H270,INDIRECT("Lookup_"&amp;$B270),IF(LEFT($B270,2)="BS",R$2,R$1),0)="","",VLOOKUP($H270,INDIRECT("Lookup_"&amp;$B270),IF($B270="BSp",R$2,R$1),0))</f>
        <v/>
      </c>
      <c r="K270"/>
      <c r="L270"/>
      <c r="M270" s="571">
        <f aca="1">IF(VLOOKUP($H270,INDIRECT("Lookup_"&amp;$B270),IF(LEFT($B270,2)="BS",S$2,S$1),0)="","",VLOOKUP($H270,INDIRECT("Lookup_"&amp;$B270),IF(LEFT($B270,2)="BS",S$2,S$1),0))</f>
        <v>2736</v>
      </c>
      <c r="N270" s="571">
        <f aca="1">IF(VLOOKUP($H270,INDIRECT("Lookup_"&amp;$B270),IF(LEFT($B270,2)="BS",S$2,S$1),0)="","",VLOOKUP($H270,INDIRECT("Lookup_"&amp;$B270),IF(LEFT($B270,2)="BS",S$2,S$1),0))</f>
        <v>2736</v>
      </c>
    </row>
    <row r="271" spans="1:14">
      <c r="A271" t="n">
        <v>279</v>
      </c>
      <c r="B271" t="str">
        <f>VLOOKUP($A271,Aop!$A$2:$P$453,2,0)</f>
        <v>BUb</v>
      </c>
      <c r="C271" t="n">
        <v>27</v>
      </c>
      <c r="D271" t="str">
        <f aca="1">Podatak_MB</f>
        <v>1062280</v>
      </c>
      <c r="E271" t="str">
        <f aca="1">Podatak_JIB</f>
        <v>4400471400001</v>
      </c>
      <c r="F271" t="b">
        <f aca="1">Konsolidovan_izvjestaj</f>
        <v>0</v>
      </c>
      <c r="G271" s="20">
        <f aca="1">Datum_Broj</f>
        <v>45382</v>
      </c>
      <c r="H271">
        <f>VLOOKUP($A271,Aop!$A$2:$P$453,4,0)</f>
        <v>0</v>
      </c>
      <c r="I271">
        <f aca="1">Godina</f>
        <v>2024</v>
      </c>
      <c r="J271" t="str">
        <f aca="1">IF(VLOOKUP($H271,INDIRECT("Lookup_"&amp;$B271),IF(LEFT($B271,2)="BS",R$2,R$1),0)="","",VLOOKUP($H271,INDIRECT("Lookup_"&amp;$B271),IF($B271="BSp",R$2,R$1),0))</f>
        <v/>
      </c>
      <c r="K271"/>
      <c r="L271"/>
      <c r="M271" t="str">
        <f aca="1">IF(VLOOKUP($H271,INDIRECT("Lookup_"&amp;$B271),IF(LEFT($B271,2)="BS",S$2,S$1),0)="","",VLOOKUP($H271,INDIRECT("Lookup_"&amp;$B271),IF(LEFT($B271,2)="BS",S$2,S$1),0))</f>
        <v/>
      </c>
      <c r="N271" t="str">
        <f aca="1">IF(VLOOKUP($H271,INDIRECT("Lookup_"&amp;$B271),IF(LEFT($B271,2)="BS",S$2,S$1),0)="","",VLOOKUP($H271,INDIRECT("Lookup_"&amp;$B271),IF(LEFT($B271,2)="BS",S$2,S$1),0))</f>
        <v/>
      </c>
    </row>
    <row r="272" spans="1:14">
      <c r="A272" t="n">
        <v>280</v>
      </c>
      <c r="B272" t="str">
        <f>VLOOKUP($A272,Aop!$A$2:$P$453,2,0)</f>
        <v>BUb</v>
      </c>
      <c r="C272" t="n">
        <v>27</v>
      </c>
      <c r="D272" t="str">
        <f aca="1">Podatak_MB</f>
        <v>1062280</v>
      </c>
      <c r="E272" t="str">
        <f aca="1">Podatak_JIB</f>
        <v>4400471400001</v>
      </c>
      <c r="F272" t="b">
        <f aca="1">Konsolidovan_izvjestaj</f>
        <v>0</v>
      </c>
      <c r="G272" s="20">
        <f aca="1">Datum_Broj</f>
        <v>45382</v>
      </c>
      <c r="H272">
        <f>VLOOKUP($A272,Aop!$A$2:$P$453,4,0)</f>
        <v>416</v>
      </c>
      <c r="I272">
        <f aca="1">Godina</f>
        <v>2024</v>
      </c>
      <c r="J272" t="str">
        <f aca="1">IF(VLOOKUP($H272,INDIRECT("Lookup_"&amp;$B272),IF(LEFT($B272,2)="BS",R$2,R$1),0)="","",VLOOKUP($H272,INDIRECT("Lookup_"&amp;$B272),IF($B272="BSp",R$2,R$1),0))</f>
        <v/>
      </c>
      <c r="K272"/>
      <c r="L272"/>
      <c r="M272" s="571">
        <f aca="1">IF(VLOOKUP($H272,INDIRECT("Lookup_"&amp;$B272),IF(LEFT($B272,2)="BS",S$2,S$1),0)="","",VLOOKUP($H272,INDIRECT("Lookup_"&amp;$B272),IF(LEFT($B272,2)="BS",S$2,S$1),0))</f>
        <v>3541</v>
      </c>
      <c r="N272" s="571">
        <f aca="1">IF(VLOOKUP($H272,INDIRECT("Lookup_"&amp;$B272),IF(LEFT($B272,2)="BS",S$2,S$1),0)="","",VLOOKUP($H272,INDIRECT("Lookup_"&amp;$B272),IF(LEFT($B272,2)="BS",S$2,S$1),0))</f>
        <v>3541</v>
      </c>
    </row>
    <row r="273" spans="1:14">
      <c r="A273" t="n">
        <v>281</v>
      </c>
      <c r="B273" t="str">
        <f>VLOOKUP($A273,Aop!$A$2:$P$453,2,0)</f>
        <v>BUb</v>
      </c>
      <c r="C273" t="n">
        <v>27</v>
      </c>
      <c r="D273" t="str">
        <f aca="1">Podatak_MB</f>
        <v>1062280</v>
      </c>
      <c r="E273" t="str">
        <f aca="1">Podatak_JIB</f>
        <v>4400471400001</v>
      </c>
      <c r="F273" t="b">
        <f aca="1">Konsolidovan_izvjestaj</f>
        <v>0</v>
      </c>
      <c r="G273" s="20">
        <f aca="1">Datum_Broj</f>
        <v>45382</v>
      </c>
      <c r="H273">
        <f>VLOOKUP($A273,Aop!$A$2:$P$453,4,0)</f>
        <v>0</v>
      </c>
      <c r="I273">
        <f aca="1">Godina</f>
        <v>2024</v>
      </c>
      <c r="J273" t="str">
        <f aca="1">IF(VLOOKUP($H273,INDIRECT("Lookup_"&amp;$B273),IF(LEFT($B273,2)="BS",R$2,R$1),0)="","",VLOOKUP($H273,INDIRECT("Lookup_"&amp;$B273),IF($B273="BSp",R$2,R$1),0))</f>
        <v/>
      </c>
      <c r="K273"/>
      <c r="L273"/>
      <c r="M273" t="str">
        <f aca="1">IF(VLOOKUP($H273,INDIRECT("Lookup_"&amp;$B273),IF(LEFT($B273,2)="BS",S$2,S$1),0)="","",VLOOKUP($H273,INDIRECT("Lookup_"&amp;$B273),IF(LEFT($B273,2)="BS",S$2,S$1),0))</f>
        <v/>
      </c>
      <c r="N273" t="str">
        <f aca="1">IF(VLOOKUP($H273,INDIRECT("Lookup_"&amp;$B273),IF(LEFT($B273,2)="BS",S$2,S$1),0)="","",VLOOKUP($H273,INDIRECT("Lookup_"&amp;$B273),IF(LEFT($B273,2)="BS",S$2,S$1),0))</f>
        <v/>
      </c>
    </row>
    <row r="274" spans="1:14">
      <c r="A274" t="n">
        <v>282</v>
      </c>
      <c r="B274" t="str">
        <f>VLOOKUP($A274,Aop!$A$2:$P$453,2,0)</f>
        <v>BUb</v>
      </c>
      <c r="C274" t="n">
        <v>27</v>
      </c>
      <c r="D274" t="str">
        <f aca="1">Podatak_MB</f>
        <v>1062280</v>
      </c>
      <c r="E274" t="str">
        <f aca="1">Podatak_JIB</f>
        <v>4400471400001</v>
      </c>
      <c r="F274" t="b">
        <f aca="1">Konsolidovan_izvjestaj</f>
        <v>0</v>
      </c>
      <c r="G274" s="20">
        <f aca="1">Datum_Broj</f>
        <v>45382</v>
      </c>
      <c r="H274">
        <f>VLOOKUP($A274,Aop!$A$2:$P$453,4,0)</f>
        <v>417</v>
      </c>
      <c r="I274">
        <f aca="1">Godina</f>
        <v>2024</v>
      </c>
      <c r="J274" t="str">
        <f aca="1">IF(VLOOKUP($H274,INDIRECT("Lookup_"&amp;$B274),IF(LEFT($B274,2)="BS",R$2,R$1),0)="","",VLOOKUP($H274,INDIRECT("Lookup_"&amp;$B274),IF($B274="BSp",R$2,R$1),0))</f>
        <v/>
      </c>
      <c r="K274"/>
      <c r="L274"/>
      <c r="M274" t="str">
        <f aca="1">IF(VLOOKUP($H274,INDIRECT("Lookup_"&amp;$B274),IF(LEFT($B274,2)="BS",S$2,S$1),0)="","",VLOOKUP($H274,INDIRECT("Lookup_"&amp;$B274),IF(LEFT($B274,2)="BS",S$2,S$1),0))</f>
        <v/>
      </c>
      <c r="N274" t="str">
        <f aca="1">IF(VLOOKUP($H274,INDIRECT("Lookup_"&amp;$B274),IF(LEFT($B274,2)="BS",S$2,S$1),0)="","",VLOOKUP($H274,INDIRECT("Lookup_"&amp;$B274),IF(LEFT($B274,2)="BS",S$2,S$1),0))</f>
        <v/>
      </c>
    </row>
    <row r="275" spans="1:14">
      <c r="A275" t="n">
        <v>283</v>
      </c>
      <c r="B275" t="str">
        <f>VLOOKUP($A275,Aop!$A$2:$P$453,2,0)</f>
        <v>BUb</v>
      </c>
      <c r="C275" t="n">
        <v>27</v>
      </c>
      <c r="D275" t="str">
        <f aca="1">Podatak_MB</f>
        <v>1062280</v>
      </c>
      <c r="E275" t="str">
        <f aca="1">Podatak_JIB</f>
        <v>4400471400001</v>
      </c>
      <c r="F275" t="b">
        <f aca="1">Konsolidovan_izvjestaj</f>
        <v>0</v>
      </c>
      <c r="G275" s="20">
        <f aca="1">Datum_Broj</f>
        <v>45382</v>
      </c>
      <c r="H275">
        <f>VLOOKUP($A275,Aop!$A$2:$P$453,4,0)</f>
        <v>418</v>
      </c>
      <c r="I275">
        <f aca="1">Godina</f>
        <v>2024</v>
      </c>
      <c r="J275" t="str">
        <f aca="1">IF(VLOOKUP($H275,INDIRECT("Lookup_"&amp;$B275),IF(LEFT($B275,2)="BS",R$2,R$1),0)="","",VLOOKUP($H275,INDIRECT("Lookup_"&amp;$B275),IF($B275="BSp",R$2,R$1),0))</f>
        <v/>
      </c>
      <c r="K275"/>
      <c r="L275"/>
      <c r="M275" t="str">
        <f aca="1">IF(VLOOKUP($H275,INDIRECT("Lookup_"&amp;$B275),IF(LEFT($B275,2)="BS",S$2,S$1),0)="","",VLOOKUP($H275,INDIRECT("Lookup_"&amp;$B275),IF(LEFT($B275,2)="BS",S$2,S$1),0))</f>
        <v/>
      </c>
      <c r="N275" t="str">
        <f aca="1">IF(VLOOKUP($H275,INDIRECT("Lookup_"&amp;$B275),IF(LEFT($B275,2)="BS",S$2,S$1),0)="","",VLOOKUP($H275,INDIRECT("Lookup_"&amp;$B275),IF(LEFT($B275,2)="BS",S$2,S$1),0))</f>
        <v/>
      </c>
    </row>
    <row r="276" spans="1:14">
      <c r="A276" t="n">
        <v>285</v>
      </c>
      <c r="B276" t="str">
        <f>VLOOKUP($A276,Aop!$A$2:$P$453,2,0)</f>
        <v>BTG</v>
      </c>
      <c r="C276" t="n">
        <v>29</v>
      </c>
      <c r="D276" t="str">
        <f aca="1">Podatak_MB</f>
        <v>1062280</v>
      </c>
      <c r="E276" t="str">
        <f aca="1">Podatak_JIB</f>
        <v>4400471400001</v>
      </c>
      <c r="F276" t="b">
        <f aca="1">Konsolidovan_izvjestaj</f>
        <v>0</v>
      </c>
      <c r="G276" s="20">
        <f aca="1">Datum_Broj</f>
        <v>45382</v>
      </c>
      <c r="H276">
        <f>VLOOKUP($A276,Aop!$A$2:$P$453,4,0)</f>
        <v>502</v>
      </c>
      <c r="I276">
        <f aca="1">Godina</f>
        <v>2024</v>
      </c>
      <c r="J276" t="str">
        <f aca="1">IF(VLOOKUP($H276,INDIRECT("Lookup_"&amp;$B276),IF(LEFT($B276,2)="BS",R$2,R$1),0)="","",VLOOKUP($H276,INDIRECT("Lookup_"&amp;$B276),IF($B276="BSp",R$2,R$1),0))</f>
        <v/>
      </c>
      <c r="K276"/>
      <c r="L276"/>
      <c r="M276" s="571">
        <f aca="1">IF(VLOOKUP($H276,INDIRECT("Lookup_"&amp;$B276),IF(LEFT($B276,2)="BS",S$2,S$1),0)="","",VLOOKUP($H276,INDIRECT("Lookup_"&amp;$B276),IF(LEFT($B276,2)="BS",S$2,S$1),0))</f>
        <v>396004</v>
      </c>
      <c r="N276" s="571">
        <f aca="1">IF(VLOOKUP($H276,INDIRECT("Lookup_"&amp;$B276),IF(LEFT($B276,2)="BS",S$2,S$1),0)="","",VLOOKUP($H276,INDIRECT("Lookup_"&amp;$B276),IF(LEFT($B276,2)="BS",S$2,S$1),0))</f>
        <v>396004</v>
      </c>
    </row>
    <row r="277" spans="1:14">
      <c r="A277" t="n">
        <v>286</v>
      </c>
      <c r="B277" t="str">
        <f>VLOOKUP($A277,Aop!$A$2:$P$453,2,0)</f>
        <v>BTG</v>
      </c>
      <c r="C277" t="n">
        <v>29</v>
      </c>
      <c r="D277" t="str">
        <f aca="1">Podatak_MB</f>
        <v>1062280</v>
      </c>
      <c r="E277" t="str">
        <f aca="1">Podatak_JIB</f>
        <v>4400471400001</v>
      </c>
      <c r="F277" t="b">
        <f aca="1">Konsolidovan_izvjestaj</f>
        <v>0</v>
      </c>
      <c r="G277" s="20">
        <f aca="1">Datum_Broj</f>
        <v>45382</v>
      </c>
      <c r="H277">
        <f>VLOOKUP($A277,Aop!$A$2:$P$453,4,0)</f>
        <v>503</v>
      </c>
      <c r="I277">
        <f aca="1">Godina</f>
        <v>2024</v>
      </c>
      <c r="J277" t="str">
        <f aca="1">IF(VLOOKUP($H277,INDIRECT("Lookup_"&amp;$B277),IF(LEFT($B277,2)="BS",R$2,R$1),0)="","",VLOOKUP($H277,INDIRECT("Lookup_"&amp;$B277),IF($B277="BSp",R$2,R$1),0))</f>
        <v/>
      </c>
      <c r="K277"/>
      <c r="L277"/>
      <c r="M277" t="str">
        <f aca="1">IF(VLOOKUP($H277,INDIRECT("Lookup_"&amp;$B277),IF(LEFT($B277,2)="BS",S$2,S$1),0)="","",VLOOKUP($H277,INDIRECT("Lookup_"&amp;$B277),IF(LEFT($B277,2)="BS",S$2,S$1),0))</f>
        <v/>
      </c>
      <c r="N277" t="str">
        <f aca="1">IF(VLOOKUP($H277,INDIRECT("Lookup_"&amp;$B277),IF(LEFT($B277,2)="BS",S$2,S$1),0)="","",VLOOKUP($H277,INDIRECT("Lookup_"&amp;$B277),IF(LEFT($B277,2)="BS",S$2,S$1),0))</f>
        <v/>
      </c>
    </row>
    <row r="278" spans="1:14">
      <c r="A278" t="n">
        <v>287</v>
      </c>
      <c r="B278" t="str">
        <f>VLOOKUP($A278,Aop!$A$2:$P$453,2,0)</f>
        <v>BTG</v>
      </c>
      <c r="C278" t="n">
        <v>29</v>
      </c>
      <c r="D278" t="str">
        <f aca="1">Podatak_MB</f>
        <v>1062280</v>
      </c>
      <c r="E278" t="str">
        <f aca="1">Podatak_JIB</f>
        <v>4400471400001</v>
      </c>
      <c r="F278" t="b">
        <f aca="1">Konsolidovan_izvjestaj</f>
        <v>0</v>
      </c>
      <c r="G278" s="20">
        <f aca="1">Datum_Broj</f>
        <v>45382</v>
      </c>
      <c r="H278">
        <f>VLOOKUP($A278,Aop!$A$2:$P$453,4,0)</f>
        <v>504</v>
      </c>
      <c r="I278">
        <f aca="1">Godina</f>
        <v>2024</v>
      </c>
      <c r="J278" t="str">
        <f aca="1">IF(VLOOKUP($H278,INDIRECT("Lookup_"&amp;$B278),IF(LEFT($B278,2)="BS",R$2,R$1),0)="","",VLOOKUP($H278,INDIRECT("Lookup_"&amp;$B278),IF($B278="BSp",R$2,R$1),0))</f>
        <v/>
      </c>
      <c r="K278"/>
      <c r="L278"/>
      <c r="M278" t="str">
        <f aca="1">IF(VLOOKUP($H278,INDIRECT("Lookup_"&amp;$B278),IF(LEFT($B278,2)="BS",S$2,S$1),0)="","",VLOOKUP($H278,INDIRECT("Lookup_"&amp;$B278),IF(LEFT($B278,2)="BS",S$2,S$1),0))</f>
        <v/>
      </c>
      <c r="N278" t="str">
        <f aca="1">IF(VLOOKUP($H278,INDIRECT("Lookup_"&amp;$B278),IF(LEFT($B278,2)="BS",S$2,S$1),0)="","",VLOOKUP($H278,INDIRECT("Lookup_"&amp;$B278),IF(LEFT($B278,2)="BS",S$2,S$1),0))</f>
        <v/>
      </c>
    </row>
    <row r="279" spans="1:14">
      <c r="A279" t="n">
        <v>288</v>
      </c>
      <c r="B279" t="str">
        <f>VLOOKUP($A279,Aop!$A$2:$P$453,2,0)</f>
        <v>BTG</v>
      </c>
      <c r="C279" t="n">
        <v>29</v>
      </c>
      <c r="D279" t="str">
        <f aca="1">Podatak_MB</f>
        <v>1062280</v>
      </c>
      <c r="E279" t="str">
        <f aca="1">Podatak_JIB</f>
        <v>4400471400001</v>
      </c>
      <c r="F279" t="b">
        <f aca="1">Konsolidovan_izvjestaj</f>
        <v>0</v>
      </c>
      <c r="G279" s="20">
        <f aca="1">Datum_Broj</f>
        <v>45382</v>
      </c>
      <c r="H279">
        <f>VLOOKUP($A279,Aop!$A$2:$P$453,4,0)</f>
        <v>505</v>
      </c>
      <c r="I279">
        <f aca="1">Godina</f>
        <v>2024</v>
      </c>
      <c r="J279" t="str">
        <f aca="1">IF(VLOOKUP($H279,INDIRECT("Lookup_"&amp;$B279),IF(LEFT($B279,2)="BS",R$2,R$1),0)="","",VLOOKUP($H279,INDIRECT("Lookup_"&amp;$B279),IF($B279="BSp",R$2,R$1),0))</f>
        <v/>
      </c>
      <c r="K279"/>
      <c r="L279"/>
      <c r="M279" s="571">
        <f aca="1">IF(VLOOKUP($H279,INDIRECT("Lookup_"&amp;$B279),IF(LEFT($B279,2)="BS",S$2,S$1),0)="","",VLOOKUP($H279,INDIRECT("Lookup_"&amp;$B279),IF(LEFT($B279,2)="BS",S$2,S$1),0))</f>
        <v>5000</v>
      </c>
      <c r="N279" s="571">
        <f aca="1">IF(VLOOKUP($H279,INDIRECT("Lookup_"&amp;$B279),IF(LEFT($B279,2)="BS",S$2,S$1),0)="","",VLOOKUP($H279,INDIRECT("Lookup_"&amp;$B279),IF(LEFT($B279,2)="BS",S$2,S$1),0))</f>
        <v>5000</v>
      </c>
    </row>
    <row r="280" spans="1:14">
      <c r="A280" t="n">
        <v>289</v>
      </c>
      <c r="B280" t="str">
        <f>VLOOKUP($A280,Aop!$A$2:$P$453,2,0)</f>
        <v>BTG</v>
      </c>
      <c r="C280" t="n">
        <v>29</v>
      </c>
      <c r="D280" t="str">
        <f aca="1">Podatak_MB</f>
        <v>1062280</v>
      </c>
      <c r="E280" t="str">
        <f aca="1">Podatak_JIB</f>
        <v>4400471400001</v>
      </c>
      <c r="F280" t="b">
        <f aca="1">Konsolidovan_izvjestaj</f>
        <v>0</v>
      </c>
      <c r="G280" s="20">
        <f aca="1">Datum_Broj</f>
        <v>45382</v>
      </c>
      <c r="H280">
        <f>VLOOKUP($A280,Aop!$A$2:$P$453,4,0)</f>
        <v>506</v>
      </c>
      <c r="I280">
        <f aca="1">Godina</f>
        <v>2024</v>
      </c>
      <c r="J280" t="str">
        <f aca="1">IF(VLOOKUP($H280,INDIRECT("Lookup_"&amp;$B280),IF(LEFT($B280,2)="BS",R$2,R$1),0)="","",VLOOKUP($H280,INDIRECT("Lookup_"&amp;$B280),IF($B280="BSp",R$2,R$1),0))</f>
        <v/>
      </c>
      <c r="K280"/>
      <c r="L280"/>
      <c r="M280" s="571">
        <f aca="1">IF(VLOOKUP($H280,INDIRECT("Lookup_"&amp;$B280),IF(LEFT($B280,2)="BS",S$2,S$1),0)="","",VLOOKUP($H280,INDIRECT("Lookup_"&amp;$B280),IF(LEFT($B280,2)="BS",S$2,S$1),0))</f>
        <v>330768</v>
      </c>
      <c r="N280" s="571">
        <f aca="1">IF(VLOOKUP($H280,INDIRECT("Lookup_"&amp;$B280),IF(LEFT($B280,2)="BS",S$2,S$1),0)="","",VLOOKUP($H280,INDIRECT("Lookup_"&amp;$B280),IF(LEFT($B280,2)="BS",S$2,S$1),0))</f>
        <v>330768</v>
      </c>
    </row>
    <row r="281" spans="1:14">
      <c r="A281" t="n">
        <v>290</v>
      </c>
      <c r="B281" t="str">
        <f>VLOOKUP($A281,Aop!$A$2:$P$453,2,0)</f>
        <v>BTG</v>
      </c>
      <c r="C281" t="n">
        <v>29</v>
      </c>
      <c r="D281" t="str">
        <f aca="1">Podatak_MB</f>
        <v>1062280</v>
      </c>
      <c r="E281" t="str">
        <f aca="1">Podatak_JIB</f>
        <v>4400471400001</v>
      </c>
      <c r="F281" t="b">
        <f aca="1">Konsolidovan_izvjestaj</f>
        <v>0</v>
      </c>
      <c r="G281" s="20">
        <f aca="1">Datum_Broj</f>
        <v>45382</v>
      </c>
      <c r="H281">
        <f>VLOOKUP($A281,Aop!$A$2:$P$453,4,0)</f>
        <v>507</v>
      </c>
      <c r="I281">
        <f aca="1">Godina</f>
        <v>2024</v>
      </c>
      <c r="J281" t="str">
        <f aca="1">IF(VLOOKUP($H281,INDIRECT("Lookup_"&amp;$B281),IF(LEFT($B281,2)="BS",R$2,R$1),0)="","",VLOOKUP($H281,INDIRECT("Lookup_"&amp;$B281),IF($B281="BSp",R$2,R$1),0))</f>
        <v/>
      </c>
      <c r="K281"/>
      <c r="L281"/>
      <c r="M281" s="571">
        <f aca="1">IF(VLOOKUP($H281,INDIRECT("Lookup_"&amp;$B281),IF(LEFT($B281,2)="BS",S$2,S$1),0)="","",VLOOKUP($H281,INDIRECT("Lookup_"&amp;$B281),IF(LEFT($B281,2)="BS",S$2,S$1),0))</f>
        <v>122286</v>
      </c>
      <c r="N281" s="571">
        <f aca="1">IF(VLOOKUP($H281,INDIRECT("Lookup_"&amp;$B281),IF(LEFT($B281,2)="BS",S$2,S$1),0)="","",VLOOKUP($H281,INDIRECT("Lookup_"&amp;$B281),IF(LEFT($B281,2)="BS",S$2,S$1),0))</f>
        <v>122286</v>
      </c>
    </row>
    <row r="282" spans="1:14">
      <c r="A282" t="n">
        <v>291</v>
      </c>
      <c r="B282" t="str">
        <f>VLOOKUP($A282,Aop!$A$2:$P$453,2,0)</f>
        <v>BTG</v>
      </c>
      <c r="C282" t="n">
        <v>29</v>
      </c>
      <c r="D282" t="str">
        <f aca="1">Podatak_MB</f>
        <v>1062280</v>
      </c>
      <c r="E282" t="str">
        <f aca="1">Podatak_JIB</f>
        <v>4400471400001</v>
      </c>
      <c r="F282" t="b">
        <f aca="1">Konsolidovan_izvjestaj</f>
        <v>0</v>
      </c>
      <c r="G282" s="20">
        <f aca="1">Datum_Broj</f>
        <v>45382</v>
      </c>
      <c r="H282">
        <f>VLOOKUP($A282,Aop!$A$2:$P$453,4,0)</f>
        <v>508</v>
      </c>
      <c r="I282">
        <f aca="1">Godina</f>
        <v>2024</v>
      </c>
      <c r="J282" t="str">
        <f aca="1">IF(VLOOKUP($H282,INDIRECT("Lookup_"&amp;$B282),IF(LEFT($B282,2)="BS",R$2,R$1),0)="","",VLOOKUP($H282,INDIRECT("Lookup_"&amp;$B282),IF($B282="BSp",R$2,R$1),0))</f>
        <v/>
      </c>
      <c r="K282"/>
      <c r="L282"/>
      <c r="M282" t="str">
        <f aca="1">IF(VLOOKUP($H282,INDIRECT("Lookup_"&amp;$B282),IF(LEFT($B282,2)="BS",S$2,S$1),0)="","",VLOOKUP($H282,INDIRECT("Lookup_"&amp;$B282),IF(LEFT($B282,2)="BS",S$2,S$1),0))</f>
        <v/>
      </c>
      <c r="N282" t="str">
        <f aca="1">IF(VLOOKUP($H282,INDIRECT("Lookup_"&amp;$B282),IF(LEFT($B282,2)="BS",S$2,S$1),0)="","",VLOOKUP($H282,INDIRECT("Lookup_"&amp;$B282),IF(LEFT($B282,2)="BS",S$2,S$1),0))</f>
        <v/>
      </c>
    </row>
    <row r="283" spans="1:14">
      <c r="A283" t="n">
        <v>292</v>
      </c>
      <c r="B283" t="str">
        <f>VLOOKUP($A283,Aop!$A$2:$P$453,2,0)</f>
        <v>BTG</v>
      </c>
      <c r="C283" t="n">
        <v>29</v>
      </c>
      <c r="D283" t="str">
        <f aca="1">Podatak_MB</f>
        <v>1062280</v>
      </c>
      <c r="E283" t="str">
        <f aca="1">Podatak_JIB</f>
        <v>4400471400001</v>
      </c>
      <c r="F283" t="b">
        <f aca="1">Konsolidovan_izvjestaj</f>
        <v>0</v>
      </c>
      <c r="G283" s="20">
        <f aca="1">Datum_Broj</f>
        <v>45382</v>
      </c>
      <c r="H283">
        <f>VLOOKUP($A283,Aop!$A$2:$P$453,4,0)</f>
        <v>509</v>
      </c>
      <c r="I283">
        <f aca="1">Godina</f>
        <v>2024</v>
      </c>
      <c r="J283" t="str">
        <f aca="1">IF(VLOOKUP($H283,INDIRECT("Lookup_"&amp;$B283),IF(LEFT($B283,2)="BS",R$2,R$1),0)="","",VLOOKUP($H283,INDIRECT("Lookup_"&amp;$B283),IF($B283="BSp",R$2,R$1),0))</f>
        <v/>
      </c>
      <c r="K283"/>
      <c r="L283"/>
      <c r="M283" s="571">
        <f aca="1">IF(VLOOKUP($H283,INDIRECT("Lookup_"&amp;$B283),IF(LEFT($B283,2)="BS",S$2,S$1),0)="","",VLOOKUP($H283,INDIRECT("Lookup_"&amp;$B283),IF(LEFT($B283,2)="BS",S$2,S$1),0))</f>
        <v>13462</v>
      </c>
      <c r="N283" s="571">
        <f aca="1">IF(VLOOKUP($H283,INDIRECT("Lookup_"&amp;$B283),IF(LEFT($B283,2)="BS",S$2,S$1),0)="","",VLOOKUP($H283,INDIRECT("Lookup_"&amp;$B283),IF(LEFT($B283,2)="BS",S$2,S$1),0))</f>
        <v>13462</v>
      </c>
    </row>
    <row r="284" spans="1:14">
      <c r="A284" t="n">
        <v>293</v>
      </c>
      <c r="B284" t="str">
        <f>VLOOKUP($A284,Aop!$A$2:$P$453,2,0)</f>
        <v>BTG</v>
      </c>
      <c r="C284" t="n">
        <v>29</v>
      </c>
      <c r="D284" t="str">
        <f aca="1">Podatak_MB</f>
        <v>1062280</v>
      </c>
      <c r="E284" t="str">
        <f aca="1">Podatak_JIB</f>
        <v>4400471400001</v>
      </c>
      <c r="F284" t="b">
        <f aca="1">Konsolidovan_izvjestaj</f>
        <v>0</v>
      </c>
      <c r="G284" s="20">
        <f aca="1">Datum_Broj</f>
        <v>45382</v>
      </c>
      <c r="H284">
        <f>VLOOKUP($A284,Aop!$A$2:$P$453,4,0)</f>
        <v>510</v>
      </c>
      <c r="I284">
        <f aca="1">Godina</f>
        <v>2024</v>
      </c>
      <c r="J284" t="str">
        <f aca="1">IF(VLOOKUP($H284,INDIRECT("Lookup_"&amp;$B284),IF(LEFT($B284,2)="BS",R$2,R$1),0)="","",VLOOKUP($H284,INDIRECT("Lookup_"&amp;$B284),IF($B284="BSp",R$2,R$1),0))</f>
        <v/>
      </c>
      <c r="K284"/>
      <c r="L284"/>
      <c r="M284" s="571">
        <f aca="1">IF(VLOOKUP($H284,INDIRECT("Lookup_"&amp;$B284),IF(LEFT($B284,2)="BS",S$2,S$1),0)="","",VLOOKUP($H284,INDIRECT("Lookup_"&amp;$B284),IF(LEFT($B284,2)="BS",S$2,S$1),0))</f>
        <v>96117</v>
      </c>
      <c r="N284" s="571">
        <f aca="1">IF(VLOOKUP($H284,INDIRECT("Lookup_"&amp;$B284),IF(LEFT($B284,2)="BS",S$2,S$1),0)="","",VLOOKUP($H284,INDIRECT("Lookup_"&amp;$B284),IF(LEFT($B284,2)="BS",S$2,S$1),0))</f>
        <v>96117</v>
      </c>
    </row>
    <row r="285" spans="1:14">
      <c r="A285" t="n">
        <v>294</v>
      </c>
      <c r="B285" t="str">
        <f>VLOOKUP($A285,Aop!$A$2:$P$453,2,0)</f>
        <v>BTG</v>
      </c>
      <c r="C285" t="n">
        <v>29</v>
      </c>
      <c r="D285" t="str">
        <f aca="1">Podatak_MB</f>
        <v>1062280</v>
      </c>
      <c r="E285" t="str">
        <f aca="1">Podatak_JIB</f>
        <v>4400471400001</v>
      </c>
      <c r="F285" t="b">
        <f aca="1">Konsolidovan_izvjestaj</f>
        <v>0</v>
      </c>
      <c r="G285" s="20">
        <f aca="1">Datum_Broj</f>
        <v>45382</v>
      </c>
      <c r="H285">
        <f>VLOOKUP($A285,Aop!$A$2:$P$453,4,0)</f>
        <v>511</v>
      </c>
      <c r="I285">
        <f aca="1">Godina</f>
        <v>2024</v>
      </c>
      <c r="J285" t="str">
        <f aca="1">IF(VLOOKUP($H285,INDIRECT("Lookup_"&amp;$B285),IF(LEFT($B285,2)="BS",R$2,R$1),0)="","",VLOOKUP($H285,INDIRECT("Lookup_"&amp;$B285),IF($B285="BSp",R$2,R$1),0))</f>
        <v/>
      </c>
      <c r="K285"/>
      <c r="L285"/>
      <c r="M285" t="str">
        <f aca="1">IF(VLOOKUP($H285,INDIRECT("Lookup_"&amp;$B285),IF(LEFT($B285,2)="BS",S$2,S$1),0)="","",VLOOKUP($H285,INDIRECT("Lookup_"&amp;$B285),IF(LEFT($B285,2)="BS",S$2,S$1),0))</f>
        <v/>
      </c>
      <c r="N285" t="str">
        <f aca="1">IF(VLOOKUP($H285,INDIRECT("Lookup_"&amp;$B285),IF(LEFT($B285,2)="BS",S$2,S$1),0)="","",VLOOKUP($H285,INDIRECT("Lookup_"&amp;$B285),IF(LEFT($B285,2)="BS",S$2,S$1),0))</f>
        <v/>
      </c>
    </row>
    <row r="286" spans="1:14">
      <c r="A286" t="n">
        <v>295</v>
      </c>
      <c r="B286" t="str">
        <f>VLOOKUP($A286,Aop!$A$2:$P$453,2,0)</f>
        <v>BTG</v>
      </c>
      <c r="C286" t="n">
        <v>29</v>
      </c>
      <c r="D286" t="str">
        <f aca="1">Podatak_MB</f>
        <v>1062280</v>
      </c>
      <c r="E286" t="str">
        <f aca="1">Podatak_JIB</f>
        <v>4400471400001</v>
      </c>
      <c r="F286" t="b">
        <f aca="1">Konsolidovan_izvjestaj</f>
        <v>0</v>
      </c>
      <c r="G286" s="20">
        <f aca="1">Datum_Broj</f>
        <v>45382</v>
      </c>
      <c r="H286">
        <f>VLOOKUP($A286,Aop!$A$2:$P$453,4,0)</f>
        <v>512</v>
      </c>
      <c r="I286">
        <f aca="1">Godina</f>
        <v>2024</v>
      </c>
      <c r="J286" t="str">
        <f aca="1">IF(VLOOKUP($H286,INDIRECT("Lookup_"&amp;$B286),IF(LEFT($B286,2)="BS",R$2,R$1),0)="","",VLOOKUP($H286,INDIRECT("Lookup_"&amp;$B286),IF($B286="BSp",R$2,R$1),0))</f>
        <v/>
      </c>
      <c r="K286"/>
      <c r="L286"/>
      <c r="M286" s="571">
        <f aca="1">IF(VLOOKUP($H286,INDIRECT("Lookup_"&amp;$B286),IF(LEFT($B286,2)="BS",S$2,S$1),0)="","",VLOOKUP($H286,INDIRECT("Lookup_"&amp;$B286),IF(LEFT($B286,2)="BS",S$2,S$1),0))</f>
        <v>98903</v>
      </c>
      <c r="N286" s="571">
        <f aca="1">IF(VLOOKUP($H286,INDIRECT("Lookup_"&amp;$B286),IF(LEFT($B286,2)="BS",S$2,S$1),0)="","",VLOOKUP($H286,INDIRECT("Lookup_"&amp;$B286),IF(LEFT($B286,2)="BS",S$2,S$1),0))</f>
        <v>98903</v>
      </c>
    </row>
    <row r="287" spans="1:14">
      <c r="A287" t="n">
        <v>296</v>
      </c>
      <c r="B287" t="str">
        <f>VLOOKUP($A287,Aop!$A$2:$P$453,2,0)</f>
        <v>BTG</v>
      </c>
      <c r="C287" t="n">
        <v>29</v>
      </c>
      <c r="D287" t="str">
        <f aca="1">Podatak_MB</f>
        <v>1062280</v>
      </c>
      <c r="E287" t="str">
        <f aca="1">Podatak_JIB</f>
        <v>4400471400001</v>
      </c>
      <c r="F287" t="b">
        <f aca="1">Konsolidovan_izvjestaj</f>
        <v>0</v>
      </c>
      <c r="G287" s="20">
        <f aca="1">Datum_Broj</f>
        <v>45382</v>
      </c>
      <c r="H287">
        <f>VLOOKUP($A287,Aop!$A$2:$P$453,4,0)</f>
        <v>513</v>
      </c>
      <c r="I287">
        <f aca="1">Godina</f>
        <v>2024</v>
      </c>
      <c r="J287" t="str">
        <f aca="1">IF(VLOOKUP($H287,INDIRECT("Lookup_"&amp;$B287),IF(LEFT($B287,2)="BS",R$2,R$1),0)="","",VLOOKUP($H287,INDIRECT("Lookup_"&amp;$B287),IF($B287="BSp",R$2,R$1),0))</f>
        <v/>
      </c>
      <c r="K287"/>
      <c r="L287"/>
      <c r="M287" s="571">
        <f aca="1">IF(VLOOKUP($H287,INDIRECT("Lookup_"&amp;$B287),IF(LEFT($B287,2)="BS",S$2,S$1),0)="","",VLOOKUP($H287,INDIRECT("Lookup_"&amp;$B287),IF(LEFT($B287,2)="BS",S$2,S$1),0))</f>
        <v>70236</v>
      </c>
      <c r="N287" s="571">
        <f aca="1">IF(VLOOKUP($H287,INDIRECT("Lookup_"&amp;$B287),IF(LEFT($B287,2)="BS",S$2,S$1),0)="","",VLOOKUP($H287,INDIRECT("Lookup_"&amp;$B287),IF(LEFT($B287,2)="BS",S$2,S$1),0))</f>
        <v>70236</v>
      </c>
    </row>
    <row r="288" spans="1:14">
      <c r="A288" t="n">
        <v>297</v>
      </c>
      <c r="B288" t="str">
        <f>VLOOKUP($A288,Aop!$A$2:$P$453,2,0)</f>
        <v>BTG</v>
      </c>
      <c r="C288" t="n">
        <v>29</v>
      </c>
      <c r="D288" t="str">
        <f aca="1">Podatak_MB</f>
        <v>1062280</v>
      </c>
      <c r="E288" t="str">
        <f aca="1">Podatak_JIB</f>
        <v>4400471400001</v>
      </c>
      <c r="F288" t="b">
        <f aca="1">Konsolidovan_izvjestaj</f>
        <v>0</v>
      </c>
      <c r="G288" s="20">
        <f aca="1">Datum_Broj</f>
        <v>45382</v>
      </c>
      <c r="H288">
        <f>VLOOKUP($A288,Aop!$A$2:$P$453,4,0)</f>
        <v>514</v>
      </c>
      <c r="I288">
        <f aca="1">Godina</f>
        <v>2024</v>
      </c>
      <c r="J288" t="str">
        <f aca="1">IF(VLOOKUP($H288,INDIRECT("Lookup_"&amp;$B288),IF(LEFT($B288,2)="BS",R$2,R$1),0)="","",VLOOKUP($H288,INDIRECT("Lookup_"&amp;$B288),IF($B288="BSp",R$2,R$1),0))</f>
        <v/>
      </c>
      <c r="K288"/>
      <c r="L288"/>
      <c r="M288" s="571">
        <f aca="1">IF(VLOOKUP($H288,INDIRECT("Lookup_"&amp;$B288),IF(LEFT($B288,2)="BS",S$2,S$1),0)="","",VLOOKUP($H288,INDIRECT("Lookup_"&amp;$B288),IF(LEFT($B288,2)="BS",S$2,S$1),0))</f>
        <v>0</v>
      </c>
      <c r="N288" s="571">
        <f aca="1">IF(VLOOKUP($H288,INDIRECT("Lookup_"&amp;$B288),IF(LEFT($B288,2)="BS",S$2,S$1),0)="","",VLOOKUP($H288,INDIRECT("Lookup_"&amp;$B288),IF(LEFT($B288,2)="BS",S$2,S$1),0))</f>
        <v>0</v>
      </c>
    </row>
    <row r="289" spans="1:14">
      <c r="A289" t="n">
        <v>298</v>
      </c>
      <c r="B289" t="str">
        <f>VLOOKUP($A289,Aop!$A$2:$P$453,2,0)</f>
        <v>BTG</v>
      </c>
      <c r="C289" t="n">
        <v>29</v>
      </c>
      <c r="D289" t="str">
        <f aca="1">Podatak_MB</f>
        <v>1062280</v>
      </c>
      <c r="E289" t="str">
        <f aca="1">Podatak_JIB</f>
        <v>4400471400001</v>
      </c>
      <c r="F289" t="b">
        <f aca="1">Konsolidovan_izvjestaj</f>
        <v>0</v>
      </c>
      <c r="G289" s="20">
        <f aca="1">Datum_Broj</f>
        <v>45382</v>
      </c>
      <c r="H289">
        <f>VLOOKUP($A289,Aop!$A$2:$P$453,4,0)</f>
        <v>515</v>
      </c>
      <c r="I289">
        <f aca="1">Godina</f>
        <v>2024</v>
      </c>
      <c r="J289" t="str">
        <f aca="1">IF(VLOOKUP($H289,INDIRECT("Lookup_"&amp;$B289),IF(LEFT($B289,2)="BS",R$2,R$1),0)="","",VLOOKUP($H289,INDIRECT("Lookup_"&amp;$B289),IF($B289="BSp",R$2,R$1),0))</f>
        <v/>
      </c>
      <c r="K289"/>
      <c r="L289"/>
      <c r="M289" s="571">
        <f aca="1">IF(VLOOKUP($H289,INDIRECT("Lookup_"&amp;$B289),IF(LEFT($B289,2)="BS",S$2,S$1),0)="","",VLOOKUP($H289,INDIRECT("Lookup_"&amp;$B289),IF(LEFT($B289,2)="BS",S$2,S$1),0))</f>
        <v>0</v>
      </c>
      <c r="N289" s="571">
        <f aca="1">IF(VLOOKUP($H289,INDIRECT("Lookup_"&amp;$B289),IF(LEFT($B289,2)="BS",S$2,S$1),0)="","",VLOOKUP($H289,INDIRECT("Lookup_"&amp;$B289),IF(LEFT($B289,2)="BS",S$2,S$1),0))</f>
        <v>0</v>
      </c>
    </row>
    <row r="290" spans="1:14">
      <c r="A290" t="n">
        <v>300</v>
      </c>
      <c r="B290" t="str">
        <f>VLOOKUP($A290,Aop!$A$2:$P$453,2,0)</f>
        <v>BTG</v>
      </c>
      <c r="C290" t="n">
        <v>29</v>
      </c>
      <c r="D290" t="str">
        <f aca="1">Podatak_MB</f>
        <v>1062280</v>
      </c>
      <c r="E290" t="str">
        <f aca="1">Podatak_JIB</f>
        <v>4400471400001</v>
      </c>
      <c r="F290" t="b">
        <f aca="1">Konsolidovan_izvjestaj</f>
        <v>0</v>
      </c>
      <c r="G290" s="20">
        <f aca="1">Datum_Broj</f>
        <v>45382</v>
      </c>
      <c r="H290">
        <f>VLOOKUP($A290,Aop!$A$2:$P$453,4,0)</f>
        <v>517</v>
      </c>
      <c r="I290">
        <f aca="1">Godina</f>
        <v>2024</v>
      </c>
      <c r="J290" t="str">
        <f aca="1">IF(VLOOKUP($H290,INDIRECT("Lookup_"&amp;$B290),IF(LEFT($B290,2)="BS",R$2,R$1),0)="","",VLOOKUP($H290,INDIRECT("Lookup_"&amp;$B290),IF($B290="BSp",R$2,R$1),0))</f>
        <v/>
      </c>
      <c r="K290"/>
      <c r="L290"/>
      <c r="M290" t="str">
        <f aca="1">IF(VLOOKUP($H290,INDIRECT("Lookup_"&amp;$B290),IF(LEFT($B290,2)="BS",S$2,S$1),0)="","",VLOOKUP($H290,INDIRECT("Lookup_"&amp;$B290),IF(LEFT($B290,2)="BS",S$2,S$1),0))</f>
        <v/>
      </c>
      <c r="N290" t="str">
        <f aca="1">IF(VLOOKUP($H290,INDIRECT("Lookup_"&amp;$B290),IF(LEFT($B290,2)="BS",S$2,S$1),0)="","",VLOOKUP($H290,INDIRECT("Lookup_"&amp;$B290),IF(LEFT($B290,2)="BS",S$2,S$1),0))</f>
        <v/>
      </c>
    </row>
    <row r="291" spans="1:14">
      <c r="A291" t="n">
        <v>301</v>
      </c>
      <c r="B291" t="str">
        <f>VLOOKUP($A291,Aop!$A$2:$P$453,2,0)</f>
        <v>BTG</v>
      </c>
      <c r="C291" t="n">
        <v>29</v>
      </c>
      <c r="D291" t="str">
        <f aca="1">Podatak_MB</f>
        <v>1062280</v>
      </c>
      <c r="E291" t="str">
        <f aca="1">Podatak_JIB</f>
        <v>4400471400001</v>
      </c>
      <c r="F291" t="b">
        <f aca="1">Konsolidovan_izvjestaj</f>
        <v>0</v>
      </c>
      <c r="G291" s="20">
        <f aca="1">Datum_Broj</f>
        <v>45382</v>
      </c>
      <c r="H291">
        <f>VLOOKUP($A291,Aop!$A$2:$P$453,4,0)</f>
        <v>518</v>
      </c>
      <c r="I291">
        <f aca="1">Godina</f>
        <v>2024</v>
      </c>
      <c r="J291" t="str">
        <f aca="1">IF(VLOOKUP($H291,INDIRECT("Lookup_"&amp;$B291),IF(LEFT($B291,2)="BS",R$2,R$1),0)="","",VLOOKUP($H291,INDIRECT("Lookup_"&amp;$B291),IF($B291="BSp",R$2,R$1),0))</f>
        <v/>
      </c>
      <c r="K291"/>
      <c r="L291"/>
      <c r="M291" t="str">
        <f aca="1">IF(VLOOKUP($H291,INDIRECT("Lookup_"&amp;$B291),IF(LEFT($B291,2)="BS",S$2,S$1),0)="","",VLOOKUP($H291,INDIRECT("Lookup_"&amp;$B291),IF(LEFT($B291,2)="BS",S$2,S$1),0))</f>
        <v/>
      </c>
      <c r="N291" t="str">
        <f aca="1">IF(VLOOKUP($H291,INDIRECT("Lookup_"&amp;$B291),IF(LEFT($B291,2)="BS",S$2,S$1),0)="","",VLOOKUP($H291,INDIRECT("Lookup_"&amp;$B291),IF(LEFT($B291,2)="BS",S$2,S$1),0))</f>
        <v/>
      </c>
    </row>
    <row r="292" spans="1:14">
      <c r="A292" t="n">
        <v>302</v>
      </c>
      <c r="B292" t="str">
        <f>VLOOKUP($A292,Aop!$A$2:$P$453,2,0)</f>
        <v>BTG</v>
      </c>
      <c r="C292" t="n">
        <v>29</v>
      </c>
      <c r="D292" t="str">
        <f aca="1">Podatak_MB</f>
        <v>1062280</v>
      </c>
      <c r="E292" t="str">
        <f aca="1">Podatak_JIB</f>
        <v>4400471400001</v>
      </c>
      <c r="F292" t="b">
        <f aca="1">Konsolidovan_izvjestaj</f>
        <v>0</v>
      </c>
      <c r="G292" s="20">
        <f aca="1">Datum_Broj</f>
        <v>45382</v>
      </c>
      <c r="H292">
        <f>VLOOKUP($A292,Aop!$A$2:$P$453,4,0)</f>
        <v>519</v>
      </c>
      <c r="I292">
        <f aca="1">Godina</f>
        <v>2024</v>
      </c>
      <c r="J292" t="str">
        <f aca="1">IF(VLOOKUP($H292,INDIRECT("Lookup_"&amp;$B292),IF(LEFT($B292,2)="BS",R$2,R$1),0)="","",VLOOKUP($H292,INDIRECT("Lookup_"&amp;$B292),IF($B292="BSp",R$2,R$1),0))</f>
        <v/>
      </c>
      <c r="K292"/>
      <c r="L292"/>
      <c r="M292" t="str">
        <f aca="1">IF(VLOOKUP($H292,INDIRECT("Lookup_"&amp;$B292),IF(LEFT($B292,2)="BS",S$2,S$1),0)="","",VLOOKUP($H292,INDIRECT("Lookup_"&amp;$B292),IF(LEFT($B292,2)="BS",S$2,S$1),0))</f>
        <v/>
      </c>
      <c r="N292" t="str">
        <f aca="1">IF(VLOOKUP($H292,INDIRECT("Lookup_"&amp;$B292),IF(LEFT($B292,2)="BS",S$2,S$1),0)="","",VLOOKUP($H292,INDIRECT("Lookup_"&amp;$B292),IF(LEFT($B292,2)="BS",S$2,S$1),0))</f>
        <v/>
      </c>
    </row>
    <row r="293" spans="1:14">
      <c r="A293" t="n">
        <v>303</v>
      </c>
      <c r="B293" t="str">
        <f>VLOOKUP($A293,Aop!$A$2:$P$453,2,0)</f>
        <v>BTG</v>
      </c>
      <c r="C293" t="n">
        <v>29</v>
      </c>
      <c r="D293" t="str">
        <f aca="1">Podatak_MB</f>
        <v>1062280</v>
      </c>
      <c r="E293" t="str">
        <f aca="1">Podatak_JIB</f>
        <v>4400471400001</v>
      </c>
      <c r="F293" t="b">
        <f aca="1">Konsolidovan_izvjestaj</f>
        <v>0</v>
      </c>
      <c r="G293" s="20">
        <f aca="1">Datum_Broj</f>
        <v>45382</v>
      </c>
      <c r="H293">
        <f>VLOOKUP($A293,Aop!$A$2:$P$453,4,0)</f>
        <v>520</v>
      </c>
      <c r="I293">
        <f aca="1">Godina</f>
        <v>2024</v>
      </c>
      <c r="J293" t="str">
        <f aca="1">IF(VLOOKUP($H293,INDIRECT("Lookup_"&amp;$B293),IF(LEFT($B293,2)="BS",R$2,R$1),0)="","",VLOOKUP($H293,INDIRECT("Lookup_"&amp;$B293),IF($B293="BSp",R$2,R$1),0))</f>
        <v/>
      </c>
      <c r="K293"/>
      <c r="L293"/>
      <c r="M293" t="str">
        <f aca="1">IF(VLOOKUP($H293,INDIRECT("Lookup_"&amp;$B293),IF(LEFT($B293,2)="BS",S$2,S$1),0)="","",VLOOKUP($H293,INDIRECT("Lookup_"&amp;$B293),IF(LEFT($B293,2)="BS",S$2,S$1),0))</f>
        <v/>
      </c>
      <c r="N293" t="str">
        <f aca="1">IF(VLOOKUP($H293,INDIRECT("Lookup_"&amp;$B293),IF(LEFT($B293,2)="BS",S$2,S$1),0)="","",VLOOKUP($H293,INDIRECT("Lookup_"&amp;$B293),IF(LEFT($B293,2)="BS",S$2,S$1),0))</f>
        <v/>
      </c>
    </row>
    <row r="294" spans="1:14">
      <c r="A294" t="n">
        <v>304</v>
      </c>
      <c r="B294" t="str">
        <f>VLOOKUP($A294,Aop!$A$2:$P$453,2,0)</f>
        <v>BTG</v>
      </c>
      <c r="C294" t="n">
        <v>29</v>
      </c>
      <c r="D294" t="str">
        <f aca="1">Podatak_MB</f>
        <v>1062280</v>
      </c>
      <c r="E294" t="str">
        <f aca="1">Podatak_JIB</f>
        <v>4400471400001</v>
      </c>
      <c r="F294" t="b">
        <f aca="1">Konsolidovan_izvjestaj</f>
        <v>0</v>
      </c>
      <c r="G294" s="20">
        <f aca="1">Datum_Broj</f>
        <v>45382</v>
      </c>
      <c r="H294">
        <f>VLOOKUP($A294,Aop!$A$2:$P$453,4,0)</f>
        <v>521</v>
      </c>
      <c r="I294">
        <f aca="1">Godina</f>
        <v>2024</v>
      </c>
      <c r="J294" t="str">
        <f aca="1">IF(VLOOKUP($H294,INDIRECT("Lookup_"&amp;$B294),IF(LEFT($B294,2)="BS",R$2,R$1),0)="","",VLOOKUP($H294,INDIRECT("Lookup_"&amp;$B294),IF($B294="BSp",R$2,R$1),0))</f>
        <v/>
      </c>
      <c r="K294"/>
      <c r="L294"/>
      <c r="M294" t="str">
        <f aca="1">IF(VLOOKUP($H294,INDIRECT("Lookup_"&amp;$B294),IF(LEFT($B294,2)="BS",S$2,S$1),0)="","",VLOOKUP($H294,INDIRECT("Lookup_"&amp;$B294),IF(LEFT($B294,2)="BS",S$2,S$1),0))</f>
        <v/>
      </c>
      <c r="N294" t="str">
        <f aca="1">IF(VLOOKUP($H294,INDIRECT("Lookup_"&amp;$B294),IF(LEFT($B294,2)="BS",S$2,S$1),0)="","",VLOOKUP($H294,INDIRECT("Lookup_"&amp;$B294),IF(LEFT($B294,2)="BS",S$2,S$1),0))</f>
        <v/>
      </c>
    </row>
    <row r="295" spans="1:14">
      <c r="A295" t="n">
        <v>305</v>
      </c>
      <c r="B295" t="str">
        <f>VLOOKUP($A295,Aop!$A$2:$P$453,2,0)</f>
        <v>BTG</v>
      </c>
      <c r="C295" t="n">
        <v>29</v>
      </c>
      <c r="D295" t="str">
        <f aca="1">Podatak_MB</f>
        <v>1062280</v>
      </c>
      <c r="E295" t="str">
        <f aca="1">Podatak_JIB</f>
        <v>4400471400001</v>
      </c>
      <c r="F295" t="b">
        <f aca="1">Konsolidovan_izvjestaj</f>
        <v>0</v>
      </c>
      <c r="G295" s="20">
        <f aca="1">Datum_Broj</f>
        <v>45382</v>
      </c>
      <c r="H295">
        <f>VLOOKUP($A295,Aop!$A$2:$P$453,4,0)</f>
        <v>522</v>
      </c>
      <c r="I295">
        <f aca="1">Godina</f>
        <v>2024</v>
      </c>
      <c r="J295" t="str">
        <f aca="1">IF(VLOOKUP($H295,INDIRECT("Lookup_"&amp;$B295),IF(LEFT($B295,2)="BS",R$2,R$1),0)="","",VLOOKUP($H295,INDIRECT("Lookup_"&amp;$B295),IF($B295="BSp",R$2,R$1),0))</f>
        <v/>
      </c>
      <c r="K295"/>
      <c r="L295"/>
      <c r="M295" t="str">
        <f aca="1">IF(VLOOKUP($H295,INDIRECT("Lookup_"&amp;$B295),IF(LEFT($B295,2)="BS",S$2,S$1),0)="","",VLOOKUP($H295,INDIRECT("Lookup_"&amp;$B295),IF(LEFT($B295,2)="BS",S$2,S$1),0))</f>
        <v/>
      </c>
      <c r="N295" t="str">
        <f aca="1">IF(VLOOKUP($H295,INDIRECT("Lookup_"&amp;$B295),IF(LEFT($B295,2)="BS",S$2,S$1),0)="","",VLOOKUP($H295,INDIRECT("Lookup_"&amp;$B295),IF(LEFT($B295,2)="BS",S$2,S$1),0))</f>
        <v/>
      </c>
    </row>
    <row r="296" spans="1:14">
      <c r="A296" t="n">
        <v>306</v>
      </c>
      <c r="B296" t="str">
        <f>VLOOKUP($A296,Aop!$A$2:$P$453,2,0)</f>
        <v>BTG</v>
      </c>
      <c r="C296" t="n">
        <v>29</v>
      </c>
      <c r="D296" t="str">
        <f aca="1">Podatak_MB</f>
        <v>1062280</v>
      </c>
      <c r="E296" t="str">
        <f aca="1">Podatak_JIB</f>
        <v>4400471400001</v>
      </c>
      <c r="F296" t="b">
        <f aca="1">Konsolidovan_izvjestaj</f>
        <v>0</v>
      </c>
      <c r="G296" s="20">
        <f aca="1">Datum_Broj</f>
        <v>45382</v>
      </c>
      <c r="H296">
        <f>VLOOKUP($A296,Aop!$A$2:$P$453,4,0)</f>
        <v>523</v>
      </c>
      <c r="I296">
        <f aca="1">Godina</f>
        <v>2024</v>
      </c>
      <c r="J296" t="str">
        <f aca="1">IF(VLOOKUP($H296,INDIRECT("Lookup_"&amp;$B296),IF(LEFT($B296,2)="BS",R$2,R$1),0)="","",VLOOKUP($H296,INDIRECT("Lookup_"&amp;$B296),IF($B296="BSp",R$2,R$1),0))</f>
        <v/>
      </c>
      <c r="K296"/>
      <c r="L296"/>
      <c r="M296" t="str">
        <f aca="1">IF(VLOOKUP($H296,INDIRECT("Lookup_"&amp;$B296),IF(LEFT($B296,2)="BS",S$2,S$1),0)="","",VLOOKUP($H296,INDIRECT("Lookup_"&amp;$B296),IF(LEFT($B296,2)="BS",S$2,S$1),0))</f>
        <v/>
      </c>
      <c r="N296" t="str">
        <f aca="1">IF(VLOOKUP($H296,INDIRECT("Lookup_"&amp;$B296),IF(LEFT($B296,2)="BS",S$2,S$1),0)="","",VLOOKUP($H296,INDIRECT("Lookup_"&amp;$B296),IF(LEFT($B296,2)="BS",S$2,S$1),0))</f>
        <v/>
      </c>
    </row>
    <row r="297" spans="1:14">
      <c r="A297" t="n">
        <v>307</v>
      </c>
      <c r="B297" t="str">
        <f>VLOOKUP($A297,Aop!$A$2:$P$453,2,0)</f>
        <v>BTG</v>
      </c>
      <c r="C297" t="n">
        <v>29</v>
      </c>
      <c r="D297" t="str">
        <f aca="1">Podatak_MB</f>
        <v>1062280</v>
      </c>
      <c r="E297" t="str">
        <f aca="1">Podatak_JIB</f>
        <v>4400471400001</v>
      </c>
      <c r="F297" t="b">
        <f aca="1">Konsolidovan_izvjestaj</f>
        <v>0</v>
      </c>
      <c r="G297" s="20">
        <f aca="1">Datum_Broj</f>
        <v>45382</v>
      </c>
      <c r="H297">
        <f>VLOOKUP($A297,Aop!$A$2:$P$453,4,0)</f>
        <v>524</v>
      </c>
      <c r="I297">
        <f aca="1">Godina</f>
        <v>2024</v>
      </c>
      <c r="J297" t="str">
        <f aca="1">IF(VLOOKUP($H297,INDIRECT("Lookup_"&amp;$B297),IF(LEFT($B297,2)="BS",R$2,R$1),0)="","",VLOOKUP($H297,INDIRECT("Lookup_"&amp;$B297),IF($B297="BSp",R$2,R$1),0))</f>
        <v/>
      </c>
      <c r="K297"/>
      <c r="L297"/>
      <c r="M297" t="str">
        <f aca="1">IF(VLOOKUP($H297,INDIRECT("Lookup_"&amp;$B297),IF(LEFT($B297,2)="BS",S$2,S$1),0)="","",VLOOKUP($H297,INDIRECT("Lookup_"&amp;$B297),IF(LEFT($B297,2)="BS",S$2,S$1),0))</f>
        <v/>
      </c>
      <c r="N297" t="str">
        <f aca="1">IF(VLOOKUP($H297,INDIRECT("Lookup_"&amp;$B297),IF(LEFT($B297,2)="BS",S$2,S$1),0)="","",VLOOKUP($H297,INDIRECT("Lookup_"&amp;$B297),IF(LEFT($B297,2)="BS",S$2,S$1),0))</f>
        <v/>
      </c>
    </row>
    <row r="298" spans="1:14">
      <c r="A298" t="n">
        <v>308</v>
      </c>
      <c r="B298" t="str">
        <f>VLOOKUP($A298,Aop!$A$2:$P$453,2,0)</f>
        <v>BTG</v>
      </c>
      <c r="C298" t="n">
        <v>29</v>
      </c>
      <c r="D298" t="str">
        <f aca="1">Podatak_MB</f>
        <v>1062280</v>
      </c>
      <c r="E298" t="str">
        <f aca="1">Podatak_JIB</f>
        <v>4400471400001</v>
      </c>
      <c r="F298" t="b">
        <f aca="1">Konsolidovan_izvjestaj</f>
        <v>0</v>
      </c>
      <c r="G298" s="20">
        <f aca="1">Datum_Broj</f>
        <v>45382</v>
      </c>
      <c r="H298">
        <f>VLOOKUP($A298,Aop!$A$2:$P$453,4,0)</f>
        <v>525</v>
      </c>
      <c r="I298">
        <f aca="1">Godina</f>
        <v>2024</v>
      </c>
      <c r="J298" t="str">
        <f aca="1">IF(VLOOKUP($H298,INDIRECT("Lookup_"&amp;$B298),IF(LEFT($B298,2)="BS",R$2,R$1),0)="","",VLOOKUP($H298,INDIRECT("Lookup_"&amp;$B298),IF($B298="BSp",R$2,R$1),0))</f>
        <v/>
      </c>
      <c r="K298"/>
      <c r="L298"/>
      <c r="M298" t="str">
        <f aca="1">IF(VLOOKUP($H298,INDIRECT("Lookup_"&amp;$B298),IF(LEFT($B298,2)="BS",S$2,S$1),0)="","",VLOOKUP($H298,INDIRECT("Lookup_"&amp;$B298),IF(LEFT($B298,2)="BS",S$2,S$1),0))</f>
        <v/>
      </c>
      <c r="N298" t="str">
        <f aca="1">IF(VLOOKUP($H298,INDIRECT("Lookup_"&amp;$B298),IF(LEFT($B298,2)="BS",S$2,S$1),0)="","",VLOOKUP($H298,INDIRECT("Lookup_"&amp;$B298),IF(LEFT($B298,2)="BS",S$2,S$1),0))</f>
        <v/>
      </c>
    </row>
    <row r="299" spans="1:14">
      <c r="A299" t="n">
        <v>309</v>
      </c>
      <c r="B299" t="str">
        <f>VLOOKUP($A299,Aop!$A$2:$P$453,2,0)</f>
        <v>BTG</v>
      </c>
      <c r="C299" t="n">
        <v>29</v>
      </c>
      <c r="D299" t="str">
        <f aca="1">Podatak_MB</f>
        <v>1062280</v>
      </c>
      <c r="E299" t="str">
        <f aca="1">Podatak_JIB</f>
        <v>4400471400001</v>
      </c>
      <c r="F299" t="b">
        <f aca="1">Konsolidovan_izvjestaj</f>
        <v>0</v>
      </c>
      <c r="G299" s="20">
        <f aca="1">Datum_Broj</f>
        <v>45382</v>
      </c>
      <c r="H299">
        <f>VLOOKUP($A299,Aop!$A$2:$P$453,4,0)</f>
        <v>526</v>
      </c>
      <c r="I299">
        <f aca="1">Godina</f>
        <v>2024</v>
      </c>
      <c r="J299" t="str">
        <f aca="1">IF(VLOOKUP($H299,INDIRECT("Lookup_"&amp;$B299),IF(LEFT($B299,2)="BS",R$2,R$1),0)="","",VLOOKUP($H299,INDIRECT("Lookup_"&amp;$B299),IF($B299="BSp",R$2,R$1),0))</f>
        <v/>
      </c>
      <c r="K299"/>
      <c r="L299"/>
      <c r="M299" t="str">
        <f aca="1">IF(VLOOKUP($H299,INDIRECT("Lookup_"&amp;$B299),IF(LEFT($B299,2)="BS",S$2,S$1),0)="","",VLOOKUP($H299,INDIRECT("Lookup_"&amp;$B299),IF(LEFT($B299,2)="BS",S$2,S$1),0))</f>
        <v/>
      </c>
      <c r="N299" t="str">
        <f aca="1">IF(VLOOKUP($H299,INDIRECT("Lookup_"&amp;$B299),IF(LEFT($B299,2)="BS",S$2,S$1),0)="","",VLOOKUP($H299,INDIRECT("Lookup_"&amp;$B299),IF(LEFT($B299,2)="BS",S$2,S$1),0))</f>
        <v/>
      </c>
    </row>
    <row r="300" spans="1:14">
      <c r="A300" t="n">
        <v>310</v>
      </c>
      <c r="B300" t="str">
        <f>VLOOKUP($A300,Aop!$A$2:$P$453,2,0)</f>
        <v>BTG</v>
      </c>
      <c r="C300" t="n">
        <v>29</v>
      </c>
      <c r="D300" t="str">
        <f aca="1">Podatak_MB</f>
        <v>1062280</v>
      </c>
      <c r="E300" t="str">
        <f aca="1">Podatak_JIB</f>
        <v>4400471400001</v>
      </c>
      <c r="F300" t="b">
        <f aca="1">Konsolidovan_izvjestaj</f>
        <v>0</v>
      </c>
      <c r="G300" s="20">
        <f aca="1">Datum_Broj</f>
        <v>45382</v>
      </c>
      <c r="H300">
        <f>VLOOKUP($A300,Aop!$A$2:$P$453,4,0)</f>
        <v>527</v>
      </c>
      <c r="I300">
        <f aca="1">Godina</f>
        <v>2024</v>
      </c>
      <c r="J300" t="str">
        <f aca="1">IF(VLOOKUP($H300,INDIRECT("Lookup_"&amp;$B300),IF(LEFT($B300,2)="BS",R$2,R$1),0)="","",VLOOKUP($H300,INDIRECT("Lookup_"&amp;$B300),IF($B300="BSp",R$2,R$1),0))</f>
        <v/>
      </c>
      <c r="K300"/>
      <c r="L300"/>
      <c r="M300" t="str">
        <f aca="1">IF(VLOOKUP($H300,INDIRECT("Lookup_"&amp;$B300),IF(LEFT($B300,2)="BS",S$2,S$1),0)="","",VLOOKUP($H300,INDIRECT("Lookup_"&amp;$B300),IF(LEFT($B300,2)="BS",S$2,S$1),0))</f>
        <v/>
      </c>
      <c r="N300" t="str">
        <f aca="1">IF(VLOOKUP($H300,INDIRECT("Lookup_"&amp;$B300),IF(LEFT($B300,2)="BS",S$2,S$1),0)="","",VLOOKUP($H300,INDIRECT("Lookup_"&amp;$B300),IF(LEFT($B300,2)="BS",S$2,S$1),0))</f>
        <v/>
      </c>
    </row>
    <row r="301" spans="1:14">
      <c r="A301" t="n">
        <v>311</v>
      </c>
      <c r="B301" t="str">
        <f>VLOOKUP($A301,Aop!$A$2:$P$453,2,0)</f>
        <v>BTG</v>
      </c>
      <c r="C301" t="n">
        <v>29</v>
      </c>
      <c r="D301" t="str">
        <f aca="1">Podatak_MB</f>
        <v>1062280</v>
      </c>
      <c r="E301" t="str">
        <f aca="1">Podatak_JIB</f>
        <v>4400471400001</v>
      </c>
      <c r="F301" t="b">
        <f aca="1">Konsolidovan_izvjestaj</f>
        <v>0</v>
      </c>
      <c r="G301" s="20">
        <f aca="1">Datum_Broj</f>
        <v>45382</v>
      </c>
      <c r="H301">
        <f>VLOOKUP($A301,Aop!$A$2:$P$453,4,0)</f>
        <v>528</v>
      </c>
      <c r="I301">
        <f aca="1">Godina</f>
        <v>2024</v>
      </c>
      <c r="J301" t="str">
        <f aca="1">IF(VLOOKUP($H301,INDIRECT("Lookup_"&amp;$B301),IF(LEFT($B301,2)="BS",R$2,R$1),0)="","",VLOOKUP($H301,INDIRECT("Lookup_"&amp;$B301),IF($B301="BSp",R$2,R$1),0))</f>
        <v/>
      </c>
      <c r="K301"/>
      <c r="L301"/>
      <c r="M301" t="str">
        <f aca="1">IF(VLOOKUP($H301,INDIRECT("Lookup_"&amp;$B301),IF(LEFT($B301,2)="BS",S$2,S$1),0)="","",VLOOKUP($H301,INDIRECT("Lookup_"&amp;$B301),IF(LEFT($B301,2)="BS",S$2,S$1),0))</f>
        <v/>
      </c>
      <c r="N301" t="str">
        <f aca="1">IF(VLOOKUP($H301,INDIRECT("Lookup_"&amp;$B301),IF(LEFT($B301,2)="BS",S$2,S$1),0)="","",VLOOKUP($H301,INDIRECT("Lookup_"&amp;$B301),IF(LEFT($B301,2)="BS",S$2,S$1),0))</f>
        <v/>
      </c>
    </row>
    <row r="302" spans="1:14">
      <c r="A302" t="n">
        <v>312</v>
      </c>
      <c r="B302" t="str">
        <f>VLOOKUP($A302,Aop!$A$2:$P$453,2,0)</f>
        <v>BTG</v>
      </c>
      <c r="C302" t="n">
        <v>29</v>
      </c>
      <c r="D302" t="str">
        <f aca="1">Podatak_MB</f>
        <v>1062280</v>
      </c>
      <c r="E302" t="str">
        <f aca="1">Podatak_JIB</f>
        <v>4400471400001</v>
      </c>
      <c r="F302" t="b">
        <f aca="1">Konsolidovan_izvjestaj</f>
        <v>0</v>
      </c>
      <c r="G302" s="20">
        <f aca="1">Datum_Broj</f>
        <v>45382</v>
      </c>
      <c r="H302">
        <f>VLOOKUP($A302,Aop!$A$2:$P$453,4,0)</f>
        <v>529</v>
      </c>
      <c r="I302">
        <f aca="1">Godina</f>
        <v>2024</v>
      </c>
      <c r="J302" t="str">
        <f aca="1">IF(VLOOKUP($H302,INDIRECT("Lookup_"&amp;$B302),IF(LEFT($B302,2)="BS",R$2,R$1),0)="","",VLOOKUP($H302,INDIRECT("Lookup_"&amp;$B302),IF($B302="BSp",R$2,R$1),0))</f>
        <v/>
      </c>
      <c r="K302"/>
      <c r="L302"/>
      <c r="M302" t="str">
        <f aca="1">IF(VLOOKUP($H302,INDIRECT("Lookup_"&amp;$B302),IF(LEFT($B302,2)="BS",S$2,S$1),0)="","",VLOOKUP($H302,INDIRECT("Lookup_"&amp;$B302),IF(LEFT($B302,2)="BS",S$2,S$1),0))</f>
        <v/>
      </c>
      <c r="N302" t="str">
        <f aca="1">IF(VLOOKUP($H302,INDIRECT("Lookup_"&amp;$B302),IF(LEFT($B302,2)="BS",S$2,S$1),0)="","",VLOOKUP($H302,INDIRECT("Lookup_"&amp;$B302),IF(LEFT($B302,2)="BS",S$2,S$1),0))</f>
        <v/>
      </c>
    </row>
    <row r="303" spans="1:14">
      <c r="A303" t="n">
        <v>313</v>
      </c>
      <c r="B303" t="str">
        <f>VLOOKUP($A303,Aop!$A$2:$P$453,2,0)</f>
        <v>BTG</v>
      </c>
      <c r="C303" t="n">
        <v>29</v>
      </c>
      <c r="D303" t="str">
        <f aca="1">Podatak_MB</f>
        <v>1062280</v>
      </c>
      <c r="E303" t="str">
        <f aca="1">Podatak_JIB</f>
        <v>4400471400001</v>
      </c>
      <c r="F303" t="b">
        <f aca="1">Konsolidovan_izvjestaj</f>
        <v>0</v>
      </c>
      <c r="G303" s="20">
        <f aca="1">Datum_Broj</f>
        <v>45382</v>
      </c>
      <c r="H303">
        <f>VLOOKUP($A303,Aop!$A$2:$P$453,4,0)</f>
        <v>530</v>
      </c>
      <c r="I303">
        <f aca="1">Godina</f>
        <v>2024</v>
      </c>
      <c r="J303" t="str">
        <f aca="1">IF(VLOOKUP($H303,INDIRECT("Lookup_"&amp;$B303),IF(LEFT($B303,2)="BS",R$2,R$1),0)="","",VLOOKUP($H303,INDIRECT("Lookup_"&amp;$B303),IF($B303="BSp",R$2,R$1),0))</f>
        <v/>
      </c>
      <c r="K303"/>
      <c r="L303"/>
      <c r="M303" t="str">
        <f aca="1">IF(VLOOKUP($H303,INDIRECT("Lookup_"&amp;$B303),IF(LEFT($B303,2)="BS",S$2,S$1),0)="","",VLOOKUP($H303,INDIRECT("Lookup_"&amp;$B303),IF(LEFT($B303,2)="BS",S$2,S$1),0))</f>
        <v/>
      </c>
      <c r="N303" t="str">
        <f aca="1">IF(VLOOKUP($H303,INDIRECT("Lookup_"&amp;$B303),IF(LEFT($B303,2)="BS",S$2,S$1),0)="","",VLOOKUP($H303,INDIRECT("Lookup_"&amp;$B303),IF(LEFT($B303,2)="BS",S$2,S$1),0))</f>
        <v/>
      </c>
    </row>
    <row r="304" spans="1:14">
      <c r="A304" t="n">
        <v>314</v>
      </c>
      <c r="B304" t="str">
        <f>VLOOKUP($A304,Aop!$A$2:$P$453,2,0)</f>
        <v>BTG</v>
      </c>
      <c r="C304" t="n">
        <v>29</v>
      </c>
      <c r="D304" t="str">
        <f aca="1">Podatak_MB</f>
        <v>1062280</v>
      </c>
      <c r="E304" t="str">
        <f aca="1">Podatak_JIB</f>
        <v>4400471400001</v>
      </c>
      <c r="F304" t="b">
        <f aca="1">Konsolidovan_izvjestaj</f>
        <v>0</v>
      </c>
      <c r="G304" s="20">
        <f aca="1">Datum_Broj</f>
        <v>45382</v>
      </c>
      <c r="H304">
        <f>VLOOKUP($A304,Aop!$A$2:$P$453,4,0)</f>
        <v>531</v>
      </c>
      <c r="I304">
        <f aca="1">Godina</f>
        <v>2024</v>
      </c>
      <c r="J304" t="str">
        <f aca="1">IF(VLOOKUP($H304,INDIRECT("Lookup_"&amp;$B304),IF(LEFT($B304,2)="BS",R$2,R$1),0)="","",VLOOKUP($H304,INDIRECT("Lookup_"&amp;$B304),IF($B304="BSp",R$2,R$1),0))</f>
        <v/>
      </c>
      <c r="K304"/>
      <c r="L304"/>
      <c r="M304" s="571">
        <f aca="1">IF(VLOOKUP($H304,INDIRECT("Lookup_"&amp;$B304),IF(LEFT($B304,2)="BS",S$2,S$1),0)="","",VLOOKUP($H304,INDIRECT("Lookup_"&amp;$B304),IF(LEFT($B304,2)="BS",S$2,S$1),0))</f>
        <v>0</v>
      </c>
      <c r="N304" s="571">
        <f aca="1">IF(VLOOKUP($H304,INDIRECT("Lookup_"&amp;$B304),IF(LEFT($B304,2)="BS",S$2,S$1),0)="","",VLOOKUP($H304,INDIRECT("Lookup_"&amp;$B304),IF(LEFT($B304,2)="BS",S$2,S$1),0))</f>
        <v>0</v>
      </c>
    </row>
    <row r="305" spans="1:14">
      <c r="A305" t="n">
        <v>315</v>
      </c>
      <c r="B305" t="str">
        <f>VLOOKUP($A305,Aop!$A$2:$P$453,2,0)</f>
        <v>BTG</v>
      </c>
      <c r="C305" t="n">
        <v>29</v>
      </c>
      <c r="D305" t="str">
        <f aca="1">Podatak_MB</f>
        <v>1062280</v>
      </c>
      <c r="E305" t="str">
        <f aca="1">Podatak_JIB</f>
        <v>4400471400001</v>
      </c>
      <c r="F305" t="b">
        <f aca="1">Konsolidovan_izvjestaj</f>
        <v>0</v>
      </c>
      <c r="G305" s="20">
        <f aca="1">Datum_Broj</f>
        <v>45382</v>
      </c>
      <c r="H305">
        <f>VLOOKUP($A305,Aop!$A$2:$P$453,4,0)</f>
        <v>532</v>
      </c>
      <c r="I305">
        <f aca="1">Godina</f>
        <v>2024</v>
      </c>
      <c r="J305" t="str">
        <f aca="1">IF(VLOOKUP($H305,INDIRECT("Lookup_"&amp;$B305),IF(LEFT($B305,2)="BS",R$2,R$1),0)="","",VLOOKUP($H305,INDIRECT("Lookup_"&amp;$B305),IF($B305="BSp",R$2,R$1),0))</f>
        <v/>
      </c>
      <c r="K305"/>
      <c r="L305"/>
      <c r="M305" t="str">
        <f aca="1">IF(VLOOKUP($H305,INDIRECT("Lookup_"&amp;$B305),IF(LEFT($B305,2)="BS",S$2,S$1),0)="","",VLOOKUP($H305,INDIRECT("Lookup_"&amp;$B305),IF(LEFT($B305,2)="BS",S$2,S$1),0))</f>
        <v/>
      </c>
      <c r="N305" t="str">
        <f aca="1">IF(VLOOKUP($H305,INDIRECT("Lookup_"&amp;$B305),IF(LEFT($B305,2)="BS",S$2,S$1),0)="","",VLOOKUP($H305,INDIRECT("Lookup_"&amp;$B305),IF(LEFT($B305,2)="BS",S$2,S$1),0))</f>
        <v/>
      </c>
    </row>
    <row r="306" spans="1:14">
      <c r="A306" t="n">
        <v>316</v>
      </c>
      <c r="B306" t="str">
        <f>VLOOKUP($A306,Aop!$A$2:$P$453,2,0)</f>
        <v>BTG</v>
      </c>
      <c r="C306" t="n">
        <v>29</v>
      </c>
      <c r="D306" t="str">
        <f aca="1">Podatak_MB</f>
        <v>1062280</v>
      </c>
      <c r="E306" t="str">
        <f aca="1">Podatak_JIB</f>
        <v>4400471400001</v>
      </c>
      <c r="F306" t="b">
        <f aca="1">Konsolidovan_izvjestaj</f>
        <v>0</v>
      </c>
      <c r="G306" s="20">
        <f aca="1">Datum_Broj</f>
        <v>45382</v>
      </c>
      <c r="H306">
        <f>VLOOKUP($A306,Aop!$A$2:$P$453,4,0)</f>
        <v>533</v>
      </c>
      <c r="I306">
        <f aca="1">Godina</f>
        <v>2024</v>
      </c>
      <c r="J306" t="str">
        <f aca="1">IF(VLOOKUP($H306,INDIRECT("Lookup_"&amp;$B306),IF(LEFT($B306,2)="BS",R$2,R$1),0)="","",VLOOKUP($H306,INDIRECT("Lookup_"&amp;$B306),IF($B306="BSp",R$2,R$1),0))</f>
        <v/>
      </c>
      <c r="K306"/>
      <c r="L306"/>
      <c r="M306" t="str">
        <f aca="1">IF(VLOOKUP($H306,INDIRECT("Lookup_"&amp;$B306),IF(LEFT($B306,2)="BS",S$2,S$1),0)="","",VLOOKUP($H306,INDIRECT("Lookup_"&amp;$B306),IF(LEFT($B306,2)="BS",S$2,S$1),0))</f>
        <v/>
      </c>
      <c r="N306" t="str">
        <f aca="1">IF(VLOOKUP($H306,INDIRECT("Lookup_"&amp;$B306),IF(LEFT($B306,2)="BS",S$2,S$1),0)="","",VLOOKUP($H306,INDIRECT("Lookup_"&amp;$B306),IF(LEFT($B306,2)="BS",S$2,S$1),0))</f>
        <v/>
      </c>
    </row>
    <row r="307" spans="1:14">
      <c r="A307" t="n">
        <v>317</v>
      </c>
      <c r="B307" t="str">
        <f>VLOOKUP($A307,Aop!$A$2:$P$453,2,0)</f>
        <v>BTG</v>
      </c>
      <c r="C307" t="n">
        <v>29</v>
      </c>
      <c r="D307" t="str">
        <f aca="1">Podatak_MB</f>
        <v>1062280</v>
      </c>
      <c r="E307" t="str">
        <f aca="1">Podatak_JIB</f>
        <v>4400471400001</v>
      </c>
      <c r="F307" t="b">
        <f aca="1">Konsolidovan_izvjestaj</f>
        <v>0</v>
      </c>
      <c r="G307" s="20">
        <f aca="1">Datum_Broj</f>
        <v>45382</v>
      </c>
      <c r="H307">
        <f>VLOOKUP($A307,Aop!$A$2:$P$453,4,0)</f>
        <v>534</v>
      </c>
      <c r="I307">
        <f aca="1">Godina</f>
        <v>2024</v>
      </c>
      <c r="J307" t="str">
        <f aca="1">IF(VLOOKUP($H307,INDIRECT("Lookup_"&amp;$B307),IF(LEFT($B307,2)="BS",R$2,R$1),0)="","",VLOOKUP($H307,INDIRECT("Lookup_"&amp;$B307),IF($B307="BSp",R$2,R$1),0))</f>
        <v/>
      </c>
      <c r="K307"/>
      <c r="L307"/>
      <c r="M307" t="str">
        <f aca="1">IF(VLOOKUP($H307,INDIRECT("Lookup_"&amp;$B307),IF(LEFT($B307,2)="BS",S$2,S$1),0)="","",VLOOKUP($H307,INDIRECT("Lookup_"&amp;$B307),IF(LEFT($B307,2)="BS",S$2,S$1),0))</f>
        <v/>
      </c>
      <c r="N307" t="str">
        <f aca="1">IF(VLOOKUP($H307,INDIRECT("Lookup_"&amp;$B307),IF(LEFT($B307,2)="BS",S$2,S$1),0)="","",VLOOKUP($H307,INDIRECT("Lookup_"&amp;$B307),IF(LEFT($B307,2)="BS",S$2,S$1),0))</f>
        <v/>
      </c>
    </row>
    <row r="308" spans="1:14">
      <c r="A308" t="n">
        <v>318</v>
      </c>
      <c r="B308" t="str">
        <f>VLOOKUP($A308,Aop!$A$2:$P$453,2,0)</f>
        <v>BTG</v>
      </c>
      <c r="C308" t="n">
        <v>29</v>
      </c>
      <c r="D308" t="str">
        <f aca="1">Podatak_MB</f>
        <v>1062280</v>
      </c>
      <c r="E308" t="str">
        <f aca="1">Podatak_JIB</f>
        <v>4400471400001</v>
      </c>
      <c r="F308" t="b">
        <f aca="1">Konsolidovan_izvjestaj</f>
        <v>0</v>
      </c>
      <c r="G308" s="20">
        <f aca="1">Datum_Broj</f>
        <v>45382</v>
      </c>
      <c r="H308">
        <f>VLOOKUP($A308,Aop!$A$2:$P$453,4,0)</f>
        <v>535</v>
      </c>
      <c r="I308">
        <f aca="1">Godina</f>
        <v>2024</v>
      </c>
      <c r="J308" t="str">
        <f aca="1">IF(VLOOKUP($H308,INDIRECT("Lookup_"&amp;$B308),IF(LEFT($B308,2)="BS",R$2,R$1),0)="","",VLOOKUP($H308,INDIRECT("Lookup_"&amp;$B308),IF($B308="BSp",R$2,R$1),0))</f>
        <v/>
      </c>
      <c r="K308"/>
      <c r="L308"/>
      <c r="M308" t="str">
        <f aca="1">IF(VLOOKUP($H308,INDIRECT("Lookup_"&amp;$B308),IF(LEFT($B308,2)="BS",S$2,S$1),0)="","",VLOOKUP($H308,INDIRECT("Lookup_"&amp;$B308),IF(LEFT($B308,2)="BS",S$2,S$1),0))</f>
        <v/>
      </c>
      <c r="N308" t="str">
        <f aca="1">IF(VLOOKUP($H308,INDIRECT("Lookup_"&amp;$B308),IF(LEFT($B308,2)="BS",S$2,S$1),0)="","",VLOOKUP($H308,INDIRECT("Lookup_"&amp;$B308),IF(LEFT($B308,2)="BS",S$2,S$1),0))</f>
        <v/>
      </c>
    </row>
    <row r="309" spans="1:14">
      <c r="A309" t="n">
        <v>319</v>
      </c>
      <c r="B309" t="str">
        <f>VLOOKUP($A309,Aop!$A$2:$P$453,2,0)</f>
        <v>BTG</v>
      </c>
      <c r="C309" t="n">
        <v>29</v>
      </c>
      <c r="D309" t="str">
        <f aca="1">Podatak_MB</f>
        <v>1062280</v>
      </c>
      <c r="E309" t="str">
        <f aca="1">Podatak_JIB</f>
        <v>4400471400001</v>
      </c>
      <c r="F309" t="b">
        <f aca="1">Konsolidovan_izvjestaj</f>
        <v>0</v>
      </c>
      <c r="G309" s="20">
        <f aca="1">Datum_Broj</f>
        <v>45382</v>
      </c>
      <c r="H309">
        <f>VLOOKUP($A309,Aop!$A$2:$P$453,4,0)</f>
        <v>536</v>
      </c>
      <c r="I309">
        <f aca="1">Godina</f>
        <v>2024</v>
      </c>
      <c r="J309" t="str">
        <f aca="1">IF(VLOOKUP($H309,INDIRECT("Lookup_"&amp;$B309),IF(LEFT($B309,2)="BS",R$2,R$1),0)="","",VLOOKUP($H309,INDIRECT("Lookup_"&amp;$B309),IF($B309="BSp",R$2,R$1),0))</f>
        <v/>
      </c>
      <c r="K309"/>
      <c r="L309"/>
      <c r="M309" t="str">
        <f aca="1">IF(VLOOKUP($H309,INDIRECT("Lookup_"&amp;$B309),IF(LEFT($B309,2)="BS",S$2,S$1),0)="","",VLOOKUP($H309,INDIRECT("Lookup_"&amp;$B309),IF(LEFT($B309,2)="BS",S$2,S$1),0))</f>
        <v/>
      </c>
      <c r="N309" t="str">
        <f aca="1">IF(VLOOKUP($H309,INDIRECT("Lookup_"&amp;$B309),IF(LEFT($B309,2)="BS",S$2,S$1),0)="","",VLOOKUP($H309,INDIRECT("Lookup_"&amp;$B309),IF(LEFT($B309,2)="BS",S$2,S$1),0))</f>
        <v/>
      </c>
    </row>
    <row r="310" spans="1:14">
      <c r="A310" t="n">
        <v>320</v>
      </c>
      <c r="B310" t="str">
        <f>VLOOKUP($A310,Aop!$A$2:$P$453,2,0)</f>
        <v>BTG</v>
      </c>
      <c r="C310" t="n">
        <v>29</v>
      </c>
      <c r="D310" t="str">
        <f aca="1">Podatak_MB</f>
        <v>1062280</v>
      </c>
      <c r="E310" t="str">
        <f aca="1">Podatak_JIB</f>
        <v>4400471400001</v>
      </c>
      <c r="F310" t="b">
        <f aca="1">Konsolidovan_izvjestaj</f>
        <v>0</v>
      </c>
      <c r="G310" s="20">
        <f aca="1">Datum_Broj</f>
        <v>45382</v>
      </c>
      <c r="H310">
        <f>VLOOKUP($A310,Aop!$A$2:$P$453,4,0)</f>
        <v>537</v>
      </c>
      <c r="I310">
        <f aca="1">Godina</f>
        <v>2024</v>
      </c>
      <c r="J310" t="str">
        <f aca="1">IF(VLOOKUP($H310,INDIRECT("Lookup_"&amp;$B310),IF(LEFT($B310,2)="BS",R$2,R$1),0)="","",VLOOKUP($H310,INDIRECT("Lookup_"&amp;$B310),IF($B310="BSp",R$2,R$1),0))</f>
        <v/>
      </c>
      <c r="K310"/>
      <c r="L310"/>
      <c r="M310" t="str">
        <f aca="1">IF(VLOOKUP($H310,INDIRECT("Lookup_"&amp;$B310),IF(LEFT($B310,2)="BS",S$2,S$1),0)="","",VLOOKUP($H310,INDIRECT("Lookup_"&amp;$B310),IF(LEFT($B310,2)="BS",S$2,S$1),0))</f>
        <v/>
      </c>
      <c r="N310" t="str">
        <f aca="1">IF(VLOOKUP($H310,INDIRECT("Lookup_"&amp;$B310),IF(LEFT($B310,2)="BS",S$2,S$1),0)="","",VLOOKUP($H310,INDIRECT("Lookup_"&amp;$B310),IF(LEFT($B310,2)="BS",S$2,S$1),0))</f>
        <v/>
      </c>
    </row>
    <row r="311" spans="1:14">
      <c r="A311" t="n">
        <v>321</v>
      </c>
      <c r="B311" t="str">
        <f>VLOOKUP($A311,Aop!$A$2:$P$453,2,0)</f>
        <v>BTG</v>
      </c>
      <c r="C311" t="n">
        <v>29</v>
      </c>
      <c r="D311" t="str">
        <f aca="1">Podatak_MB</f>
        <v>1062280</v>
      </c>
      <c r="E311" t="str">
        <f aca="1">Podatak_JIB</f>
        <v>4400471400001</v>
      </c>
      <c r="F311" t="b">
        <f aca="1">Konsolidovan_izvjestaj</f>
        <v>0</v>
      </c>
      <c r="G311" s="20">
        <f aca="1">Datum_Broj</f>
        <v>45382</v>
      </c>
      <c r="H311">
        <f>VLOOKUP($A311,Aop!$A$2:$P$453,4,0)</f>
        <v>538</v>
      </c>
      <c r="I311">
        <f aca="1">Godina</f>
        <v>2024</v>
      </c>
      <c r="J311" t="str">
        <f aca="1">IF(VLOOKUP($H311,INDIRECT("Lookup_"&amp;$B311),IF(LEFT($B311,2)="BS",R$2,R$1),0)="","",VLOOKUP($H311,INDIRECT("Lookup_"&amp;$B311),IF($B311="BSp",R$2,R$1),0))</f>
        <v/>
      </c>
      <c r="K311"/>
      <c r="L311"/>
      <c r="M311" t="str">
        <f aca="1">IF(VLOOKUP($H311,INDIRECT("Lookup_"&amp;$B311),IF(LEFT($B311,2)="BS",S$2,S$1),0)="","",VLOOKUP($H311,INDIRECT("Lookup_"&amp;$B311),IF(LEFT($B311,2)="BS",S$2,S$1),0))</f>
        <v/>
      </c>
      <c r="N311" t="str">
        <f aca="1">IF(VLOOKUP($H311,INDIRECT("Lookup_"&amp;$B311),IF(LEFT($B311,2)="BS",S$2,S$1),0)="","",VLOOKUP($H311,INDIRECT("Lookup_"&amp;$B311),IF(LEFT($B311,2)="BS",S$2,S$1),0))</f>
        <v/>
      </c>
    </row>
    <row r="312" spans="1:14">
      <c r="A312" t="n">
        <v>322</v>
      </c>
      <c r="B312" t="str">
        <f>VLOOKUP($A312,Aop!$A$2:$P$453,2,0)</f>
        <v>BTG</v>
      </c>
      <c r="C312" t="n">
        <v>29</v>
      </c>
      <c r="D312" t="str">
        <f aca="1">Podatak_MB</f>
        <v>1062280</v>
      </c>
      <c r="E312" t="str">
        <f aca="1">Podatak_JIB</f>
        <v>4400471400001</v>
      </c>
      <c r="F312" t="b">
        <f aca="1">Konsolidovan_izvjestaj</f>
        <v>0</v>
      </c>
      <c r="G312" s="20">
        <f aca="1">Datum_Broj</f>
        <v>45382</v>
      </c>
      <c r="H312">
        <f>VLOOKUP($A312,Aop!$A$2:$P$453,4,0)</f>
        <v>539</v>
      </c>
      <c r="I312">
        <f aca="1">Godina</f>
        <v>2024</v>
      </c>
      <c r="J312" t="str">
        <f aca="1">IF(VLOOKUP($H312,INDIRECT("Lookup_"&amp;$B312),IF(LEFT($B312,2)="BS",R$2,R$1),0)="","",VLOOKUP($H312,INDIRECT("Lookup_"&amp;$B312),IF($B312="BSp",R$2,R$1),0))</f>
        <v/>
      </c>
      <c r="K312"/>
      <c r="L312"/>
      <c r="M312" t="str">
        <f aca="1">IF(VLOOKUP($H312,INDIRECT("Lookup_"&amp;$B312),IF(LEFT($B312,2)="BS",S$2,S$1),0)="","",VLOOKUP($H312,INDIRECT("Lookup_"&amp;$B312),IF(LEFT($B312,2)="BS",S$2,S$1),0))</f>
        <v/>
      </c>
      <c r="N312" t="str">
        <f aca="1">IF(VLOOKUP($H312,INDIRECT("Lookup_"&amp;$B312),IF(LEFT($B312,2)="BS",S$2,S$1),0)="","",VLOOKUP($H312,INDIRECT("Lookup_"&amp;$B312),IF(LEFT($B312,2)="BS",S$2,S$1),0))</f>
        <v/>
      </c>
    </row>
    <row r="313" spans="1:14">
      <c r="A313" t="n">
        <v>323</v>
      </c>
      <c r="B313" t="str">
        <f>VLOOKUP($A313,Aop!$A$2:$P$453,2,0)</f>
        <v>BTG</v>
      </c>
      <c r="C313" t="n">
        <v>29</v>
      </c>
      <c r="D313" t="str">
        <f aca="1">Podatak_MB</f>
        <v>1062280</v>
      </c>
      <c r="E313" t="str">
        <f aca="1">Podatak_JIB</f>
        <v>4400471400001</v>
      </c>
      <c r="F313" t="b">
        <f aca="1">Konsolidovan_izvjestaj</f>
        <v>0</v>
      </c>
      <c r="G313" s="20">
        <f aca="1">Datum_Broj</f>
        <v>45382</v>
      </c>
      <c r="H313">
        <f>VLOOKUP($A313,Aop!$A$2:$P$453,4,0)</f>
        <v>540</v>
      </c>
      <c r="I313">
        <f aca="1">Godina</f>
        <v>2024</v>
      </c>
      <c r="J313" t="str">
        <f aca="1">IF(VLOOKUP($H313,INDIRECT("Lookup_"&amp;$B313),IF(LEFT($B313,2)="BS",R$2,R$1),0)="","",VLOOKUP($H313,INDIRECT("Lookup_"&amp;$B313),IF($B313="BSp",R$2,R$1),0))</f>
        <v/>
      </c>
      <c r="K313"/>
      <c r="L313"/>
      <c r="M313" t="str">
        <f aca="1">IF(VLOOKUP($H313,INDIRECT("Lookup_"&amp;$B313),IF(LEFT($B313,2)="BS",S$2,S$1),0)="","",VLOOKUP($H313,INDIRECT("Lookup_"&amp;$B313),IF(LEFT($B313,2)="BS",S$2,S$1),0))</f>
        <v/>
      </c>
      <c r="N313" t="str">
        <f aca="1">IF(VLOOKUP($H313,INDIRECT("Lookup_"&amp;$B313),IF(LEFT($B313,2)="BS",S$2,S$1),0)="","",VLOOKUP($H313,INDIRECT("Lookup_"&amp;$B313),IF(LEFT($B313,2)="BS",S$2,S$1),0))</f>
        <v/>
      </c>
    </row>
    <row r="314" spans="1:14">
      <c r="A314" t="n">
        <v>324</v>
      </c>
      <c r="B314" t="str">
        <f>VLOOKUP($A314,Aop!$A$2:$P$453,2,0)</f>
        <v>BTG</v>
      </c>
      <c r="C314" t="n">
        <v>29</v>
      </c>
      <c r="D314" t="str">
        <f aca="1">Podatak_MB</f>
        <v>1062280</v>
      </c>
      <c r="E314" t="str">
        <f aca="1">Podatak_JIB</f>
        <v>4400471400001</v>
      </c>
      <c r="F314" t="b">
        <f aca="1">Konsolidovan_izvjestaj</f>
        <v>0</v>
      </c>
      <c r="G314" s="20">
        <f aca="1">Datum_Broj</f>
        <v>45382</v>
      </c>
      <c r="H314">
        <f>VLOOKUP($A314,Aop!$A$2:$P$453,4,0)</f>
        <v>541</v>
      </c>
      <c r="I314">
        <f aca="1">Godina</f>
        <v>2024</v>
      </c>
      <c r="J314" t="str">
        <f aca="1">IF(VLOOKUP($H314,INDIRECT("Lookup_"&amp;$B314),IF(LEFT($B314,2)="BS",R$2,R$1),0)="","",VLOOKUP($H314,INDIRECT("Lookup_"&amp;$B314),IF($B314="BSp",R$2,R$1),0))</f>
        <v/>
      </c>
      <c r="K314"/>
      <c r="L314"/>
      <c r="M314" t="str">
        <f aca="1">IF(VLOOKUP($H314,INDIRECT("Lookup_"&amp;$B314),IF(LEFT($B314,2)="BS",S$2,S$1),0)="","",VLOOKUP($H314,INDIRECT("Lookup_"&amp;$B314),IF(LEFT($B314,2)="BS",S$2,S$1),0))</f>
        <v/>
      </c>
      <c r="N314" t="str">
        <f aca="1">IF(VLOOKUP($H314,INDIRECT("Lookup_"&amp;$B314),IF(LEFT($B314,2)="BS",S$2,S$1),0)="","",VLOOKUP($H314,INDIRECT("Lookup_"&amp;$B314),IF(LEFT($B314,2)="BS",S$2,S$1),0))</f>
        <v/>
      </c>
    </row>
    <row r="315" spans="1:14">
      <c r="A315" t="n">
        <v>325</v>
      </c>
      <c r="B315" t="str">
        <f>VLOOKUP($A315,Aop!$A$2:$P$453,2,0)</f>
        <v>BTG</v>
      </c>
      <c r="C315" t="n">
        <v>29</v>
      </c>
      <c r="D315" t="str">
        <f aca="1">Podatak_MB</f>
        <v>1062280</v>
      </c>
      <c r="E315" t="str">
        <f aca="1">Podatak_JIB</f>
        <v>4400471400001</v>
      </c>
      <c r="F315" t="b">
        <f aca="1">Konsolidovan_izvjestaj</f>
        <v>0</v>
      </c>
      <c r="G315" s="20">
        <f aca="1">Datum_Broj</f>
        <v>45382</v>
      </c>
      <c r="H315">
        <f>VLOOKUP($A315,Aop!$A$2:$P$453,4,0)</f>
        <v>542</v>
      </c>
      <c r="I315">
        <f aca="1">Godina</f>
        <v>2024</v>
      </c>
      <c r="J315" t="str">
        <f aca="1">IF(VLOOKUP($H315,INDIRECT("Lookup_"&amp;$B315),IF(LEFT($B315,2)="BS",R$2,R$1),0)="","",VLOOKUP($H315,INDIRECT("Lookup_"&amp;$B315),IF($B315="BSp",R$2,R$1),0))</f>
        <v/>
      </c>
      <c r="K315"/>
      <c r="L315"/>
      <c r="M315" s="571">
        <f aca="1">IF(VLOOKUP($H315,INDIRECT("Lookup_"&amp;$B315),IF(LEFT($B315,2)="BS",S$2,S$1),0)="","",VLOOKUP($H315,INDIRECT("Lookup_"&amp;$B315),IF(LEFT($B315,2)="BS",S$2,S$1),0))</f>
        <v>0</v>
      </c>
      <c r="N315" s="571">
        <f aca="1">IF(VLOOKUP($H315,INDIRECT("Lookup_"&amp;$B315),IF(LEFT($B315,2)="BS",S$2,S$1),0)="","",VLOOKUP($H315,INDIRECT("Lookup_"&amp;$B315),IF(LEFT($B315,2)="BS",S$2,S$1),0))</f>
        <v>0</v>
      </c>
    </row>
    <row r="316" spans="1:14">
      <c r="A316" t="n">
        <v>326</v>
      </c>
      <c r="B316" t="str">
        <f>VLOOKUP($A316,Aop!$A$2:$P$453,2,0)</f>
        <v>BTG</v>
      </c>
      <c r="C316" t="n">
        <v>29</v>
      </c>
      <c r="D316" t="str">
        <f aca="1">Podatak_MB</f>
        <v>1062280</v>
      </c>
      <c r="E316" t="str">
        <f aca="1">Podatak_JIB</f>
        <v>4400471400001</v>
      </c>
      <c r="F316" t="b">
        <f aca="1">Konsolidovan_izvjestaj</f>
        <v>0</v>
      </c>
      <c r="G316" s="20">
        <f aca="1">Datum_Broj</f>
        <v>45382</v>
      </c>
      <c r="H316">
        <f>VLOOKUP($A316,Aop!$A$2:$P$453,4,0)</f>
        <v>543</v>
      </c>
      <c r="I316">
        <f aca="1">Godina</f>
        <v>2024</v>
      </c>
      <c r="J316" t="str">
        <f aca="1">IF(VLOOKUP($H316,INDIRECT("Lookup_"&amp;$B316),IF(LEFT($B316,2)="BS",R$2,R$1),0)="","",VLOOKUP($H316,INDIRECT("Lookup_"&amp;$B316),IF($B316="BSp",R$2,R$1),0))</f>
        <v/>
      </c>
      <c r="K316"/>
      <c r="L316"/>
      <c r="M316" s="571">
        <f aca="1">IF(VLOOKUP($H316,INDIRECT("Lookup_"&amp;$B316),IF(LEFT($B316,2)="BS",S$2,S$1),0)="","",VLOOKUP($H316,INDIRECT("Lookup_"&amp;$B316),IF(LEFT($B316,2)="BS",S$2,S$1),0))</f>
        <v>0</v>
      </c>
      <c r="N316" s="571">
        <f aca="1">IF(VLOOKUP($H316,INDIRECT("Lookup_"&amp;$B316),IF(LEFT($B316,2)="BS",S$2,S$1),0)="","",VLOOKUP($H316,INDIRECT("Lookup_"&amp;$B316),IF(LEFT($B316,2)="BS",S$2,S$1),0))</f>
        <v>0</v>
      </c>
    </row>
    <row r="317" spans="1:14">
      <c r="A317" t="n">
        <v>327</v>
      </c>
      <c r="B317" t="str">
        <f>VLOOKUP($A317,Aop!$A$2:$P$453,2,0)</f>
        <v>BTG</v>
      </c>
      <c r="C317" t="n">
        <v>29</v>
      </c>
      <c r="D317" t="str">
        <f aca="1">Podatak_MB</f>
        <v>1062280</v>
      </c>
      <c r="E317" t="str">
        <f aca="1">Podatak_JIB</f>
        <v>4400471400001</v>
      </c>
      <c r="F317" t="b">
        <f aca="1">Konsolidovan_izvjestaj</f>
        <v>0</v>
      </c>
      <c r="G317" s="20">
        <f aca="1">Datum_Broj</f>
        <v>45382</v>
      </c>
      <c r="H317">
        <f>VLOOKUP($A317,Aop!$A$2:$P$453,4,0)</f>
        <v>544</v>
      </c>
      <c r="I317">
        <f aca="1">Godina</f>
        <v>2024</v>
      </c>
      <c r="J317" t="str">
        <f aca="1">IF(VLOOKUP($H317,INDIRECT("Lookup_"&amp;$B317),IF(LEFT($B317,2)="BS",R$2,R$1),0)="","",VLOOKUP($H317,INDIRECT("Lookup_"&amp;$B317),IF($B317="BSp",R$2,R$1),0))</f>
        <v/>
      </c>
      <c r="K317"/>
      <c r="L317"/>
      <c r="M317" s="571">
        <f aca="1">IF(VLOOKUP($H317,INDIRECT("Lookup_"&amp;$B317),IF(LEFT($B317,2)="BS",S$2,S$1),0)="","",VLOOKUP($H317,INDIRECT("Lookup_"&amp;$B317),IF(LEFT($B317,2)="BS",S$2,S$1),0))</f>
        <v>0</v>
      </c>
      <c r="N317" s="571">
        <f aca="1">IF(VLOOKUP($H317,INDIRECT("Lookup_"&amp;$B317),IF(LEFT($B317,2)="BS",S$2,S$1),0)="","",VLOOKUP($H317,INDIRECT("Lookup_"&amp;$B317),IF(LEFT($B317,2)="BS",S$2,S$1),0))</f>
        <v>0</v>
      </c>
    </row>
    <row r="318" spans="1:14">
      <c r="A318" t="n">
        <v>328</v>
      </c>
      <c r="B318" t="str">
        <f>VLOOKUP($A318,Aop!$A$2:$P$453,2,0)</f>
        <v>BTG</v>
      </c>
      <c r="C318" t="n">
        <v>29</v>
      </c>
      <c r="D318" t="str">
        <f aca="1">Podatak_MB</f>
        <v>1062280</v>
      </c>
      <c r="E318" t="str">
        <f aca="1">Podatak_JIB</f>
        <v>4400471400001</v>
      </c>
      <c r="F318" t="b">
        <f aca="1">Konsolidovan_izvjestaj</f>
        <v>0</v>
      </c>
      <c r="G318" s="20">
        <f aca="1">Datum_Broj</f>
        <v>45382</v>
      </c>
      <c r="H318">
        <f>VLOOKUP($A318,Aop!$A$2:$P$453,4,0)</f>
        <v>545</v>
      </c>
      <c r="I318">
        <f aca="1">Godina</f>
        <v>2024</v>
      </c>
      <c r="J318" t="str">
        <f aca="1">IF(VLOOKUP($H318,INDIRECT("Lookup_"&amp;$B318),IF(LEFT($B318,2)="BS",R$2,R$1),0)="","",VLOOKUP($H318,INDIRECT("Lookup_"&amp;$B318),IF($B318="BSp",R$2,R$1),0))</f>
        <v/>
      </c>
      <c r="K318"/>
      <c r="L318"/>
      <c r="M318" t="str">
        <f aca="1">IF(VLOOKUP($H318,INDIRECT("Lookup_"&amp;$B318),IF(LEFT($B318,2)="BS",S$2,S$1),0)="","",VLOOKUP($H318,INDIRECT("Lookup_"&amp;$B318),IF(LEFT($B318,2)="BS",S$2,S$1),0))</f>
        <v/>
      </c>
      <c r="N318" t="str">
        <f aca="1">IF(VLOOKUP($H318,INDIRECT("Lookup_"&amp;$B318),IF(LEFT($B318,2)="BS",S$2,S$1),0)="","",VLOOKUP($H318,INDIRECT("Lookup_"&amp;$B318),IF(LEFT($B318,2)="BS",S$2,S$1),0))</f>
        <v/>
      </c>
    </row>
    <row r="319" spans="1:14">
      <c r="A319" t="n">
        <v>329</v>
      </c>
      <c r="B319" t="str">
        <f>VLOOKUP($A319,Aop!$A$2:$P$453,2,0)</f>
        <v>BTG</v>
      </c>
      <c r="C319" t="n">
        <v>29</v>
      </c>
      <c r="D319" t="str">
        <f aca="1">Podatak_MB</f>
        <v>1062280</v>
      </c>
      <c r="E319" t="str">
        <f aca="1">Podatak_JIB</f>
        <v>4400471400001</v>
      </c>
      <c r="F319" t="b">
        <f aca="1">Konsolidovan_izvjestaj</f>
        <v>0</v>
      </c>
      <c r="G319" s="20">
        <f aca="1">Datum_Broj</f>
        <v>45382</v>
      </c>
      <c r="H319">
        <f>VLOOKUP($A319,Aop!$A$2:$P$453,4,0)</f>
        <v>546</v>
      </c>
      <c r="I319">
        <f aca="1">Godina</f>
        <v>2024</v>
      </c>
      <c r="J319" t="str">
        <f aca="1">IF(VLOOKUP($H319,INDIRECT("Lookup_"&amp;$B319),IF(LEFT($B319,2)="BS",R$2,R$1),0)="","",VLOOKUP($H319,INDIRECT("Lookup_"&amp;$B319),IF($B319="BSp",R$2,R$1),0))</f>
        <v/>
      </c>
      <c r="K319"/>
      <c r="L319"/>
      <c r="M319" t="str">
        <f aca="1">IF(VLOOKUP($H319,INDIRECT("Lookup_"&amp;$B319),IF(LEFT($B319,2)="BS",S$2,S$1),0)="","",VLOOKUP($H319,INDIRECT("Lookup_"&amp;$B319),IF(LEFT($B319,2)="BS",S$2,S$1),0))</f>
        <v/>
      </c>
      <c r="N319" t="str">
        <f aca="1">IF(VLOOKUP($H319,INDIRECT("Lookup_"&amp;$B319),IF(LEFT($B319,2)="BS",S$2,S$1),0)="","",VLOOKUP($H319,INDIRECT("Lookup_"&amp;$B319),IF(LEFT($B319,2)="BS",S$2,S$1),0))</f>
        <v/>
      </c>
    </row>
    <row r="320" spans="1:14">
      <c r="A320" t="n">
        <v>330</v>
      </c>
      <c r="B320" t="str">
        <f>VLOOKUP($A320,Aop!$A$2:$P$453,2,0)</f>
        <v>BTG</v>
      </c>
      <c r="C320" t="n">
        <v>29</v>
      </c>
      <c r="D320" t="str">
        <f aca="1">Podatak_MB</f>
        <v>1062280</v>
      </c>
      <c r="E320" t="str">
        <f aca="1">Podatak_JIB</f>
        <v>4400471400001</v>
      </c>
      <c r="F320" t="b">
        <f aca="1">Konsolidovan_izvjestaj</f>
        <v>0</v>
      </c>
      <c r="G320" s="20">
        <f aca="1">Datum_Broj</f>
        <v>45382</v>
      </c>
      <c r="H320">
        <f>VLOOKUP($A320,Aop!$A$2:$P$453,4,0)</f>
        <v>547</v>
      </c>
      <c r="I320">
        <f aca="1">Godina</f>
        <v>2024</v>
      </c>
      <c r="J320" t="str">
        <f aca="1">IF(VLOOKUP($H320,INDIRECT("Lookup_"&amp;$B320),IF(LEFT($B320,2)="BS",R$2,R$1),0)="","",VLOOKUP($H320,INDIRECT("Lookup_"&amp;$B320),IF($B320="BSp",R$2,R$1),0))</f>
        <v/>
      </c>
      <c r="K320"/>
      <c r="L320"/>
      <c r="M320" t="str">
        <f aca="1">IF(VLOOKUP($H320,INDIRECT("Lookup_"&amp;$B320),IF(LEFT($B320,2)="BS",S$2,S$1),0)="","",VLOOKUP($H320,INDIRECT("Lookup_"&amp;$B320),IF(LEFT($B320,2)="BS",S$2,S$1),0))</f>
        <v/>
      </c>
      <c r="N320" t="str">
        <f aca="1">IF(VLOOKUP($H320,INDIRECT("Lookup_"&amp;$B320),IF(LEFT($B320,2)="BS",S$2,S$1),0)="","",VLOOKUP($H320,INDIRECT("Lookup_"&amp;$B320),IF(LEFT($B320,2)="BS",S$2,S$1),0))</f>
        <v/>
      </c>
    </row>
    <row r="321" spans="1:14">
      <c r="A321" t="n">
        <v>331</v>
      </c>
      <c r="B321" t="str">
        <f>VLOOKUP($A321,Aop!$A$2:$P$453,2,0)</f>
        <v>BTG</v>
      </c>
      <c r="C321" t="n">
        <v>29</v>
      </c>
      <c r="D321" t="str">
        <f aca="1">Podatak_MB</f>
        <v>1062280</v>
      </c>
      <c r="E321" t="str">
        <f aca="1">Podatak_JIB</f>
        <v>4400471400001</v>
      </c>
      <c r="F321" t="b">
        <f aca="1">Konsolidovan_izvjestaj</f>
        <v>0</v>
      </c>
      <c r="G321" s="20">
        <f aca="1">Datum_Broj</f>
        <v>45382</v>
      </c>
      <c r="H321">
        <f>VLOOKUP($A321,Aop!$A$2:$P$453,4,0)</f>
        <v>548</v>
      </c>
      <c r="I321">
        <f aca="1">Godina</f>
        <v>2024</v>
      </c>
      <c r="J321" t="str">
        <f aca="1">IF(VLOOKUP($H321,INDIRECT("Lookup_"&amp;$B321),IF(LEFT($B321,2)="BS",R$2,R$1),0)="","",VLOOKUP($H321,INDIRECT("Lookup_"&amp;$B321),IF($B321="BSp",R$2,R$1),0))</f>
        <v/>
      </c>
      <c r="K321"/>
      <c r="L321"/>
      <c r="M321" t="str">
        <f aca="1">IF(VLOOKUP($H321,INDIRECT("Lookup_"&amp;$B321),IF(LEFT($B321,2)="BS",S$2,S$1),0)="","",VLOOKUP($H321,INDIRECT("Lookup_"&amp;$B321),IF(LEFT($B321,2)="BS",S$2,S$1),0))</f>
        <v/>
      </c>
      <c r="N321" t="str">
        <f aca="1">IF(VLOOKUP($H321,INDIRECT("Lookup_"&amp;$B321),IF(LEFT($B321,2)="BS",S$2,S$1),0)="","",VLOOKUP($H321,INDIRECT("Lookup_"&amp;$B321),IF(LEFT($B321,2)="BS",S$2,S$1),0))</f>
        <v/>
      </c>
    </row>
    <row r="322" spans="1:14">
      <c r="A322" t="n">
        <v>332</v>
      </c>
      <c r="B322" t="str">
        <f>VLOOKUP($A322,Aop!$A$2:$P$453,2,0)</f>
        <v>BTG</v>
      </c>
      <c r="C322" t="n">
        <v>29</v>
      </c>
      <c r="D322" t="str">
        <f aca="1">Podatak_MB</f>
        <v>1062280</v>
      </c>
      <c r="E322" t="str">
        <f aca="1">Podatak_JIB</f>
        <v>4400471400001</v>
      </c>
      <c r="F322" t="b">
        <f aca="1">Konsolidovan_izvjestaj</f>
        <v>0</v>
      </c>
      <c r="G322" s="20">
        <f aca="1">Datum_Broj</f>
        <v>45382</v>
      </c>
      <c r="H322">
        <f>VLOOKUP($A322,Aop!$A$2:$P$453,4,0)</f>
        <v>549</v>
      </c>
      <c r="I322">
        <f aca="1">Godina</f>
        <v>2024</v>
      </c>
      <c r="J322" t="str">
        <f aca="1">IF(VLOOKUP($H322,INDIRECT("Lookup_"&amp;$B322),IF(LEFT($B322,2)="BS",R$2,R$1),0)="","",VLOOKUP($H322,INDIRECT("Lookup_"&amp;$B322),IF($B322="BSp",R$2,R$1),0))</f>
        <v/>
      </c>
      <c r="K322"/>
      <c r="L322"/>
      <c r="M322" t="str">
        <f aca="1">IF(VLOOKUP($H322,INDIRECT("Lookup_"&amp;$B322),IF(LEFT($B322,2)="BS",S$2,S$1),0)="","",VLOOKUP($H322,INDIRECT("Lookup_"&amp;$B322),IF(LEFT($B322,2)="BS",S$2,S$1),0))</f>
        <v/>
      </c>
      <c r="N322" t="str">
        <f aca="1">IF(VLOOKUP($H322,INDIRECT("Lookup_"&amp;$B322),IF(LEFT($B322,2)="BS",S$2,S$1),0)="","",VLOOKUP($H322,INDIRECT("Lookup_"&amp;$B322),IF(LEFT($B322,2)="BS",S$2,S$1),0))</f>
        <v/>
      </c>
    </row>
    <row r="323" spans="1:14">
      <c r="A323" t="n">
        <v>333</v>
      </c>
      <c r="B323" t="str">
        <f>VLOOKUP($A323,Aop!$A$2:$P$453,2,0)</f>
        <v>BTG</v>
      </c>
      <c r="C323" t="n">
        <v>29</v>
      </c>
      <c r="D323" t="str">
        <f aca="1">Podatak_MB</f>
        <v>1062280</v>
      </c>
      <c r="E323" t="str">
        <f aca="1">Podatak_JIB</f>
        <v>4400471400001</v>
      </c>
      <c r="F323" t="b">
        <f aca="1">Konsolidovan_izvjestaj</f>
        <v>0</v>
      </c>
      <c r="G323" s="20">
        <f aca="1">Datum_Broj</f>
        <v>45382</v>
      </c>
      <c r="H323">
        <f>VLOOKUP($A323,Aop!$A$2:$P$453,4,0)</f>
        <v>550</v>
      </c>
      <c r="I323">
        <f aca="1">Godina</f>
        <v>2024</v>
      </c>
      <c r="J323" t="str">
        <f aca="1">IF(VLOOKUP($H323,INDIRECT("Lookup_"&amp;$B323),IF(LEFT($B323,2)="BS",R$2,R$1),0)="","",VLOOKUP($H323,INDIRECT("Lookup_"&amp;$B323),IF($B323="BSp",R$2,R$1),0))</f>
        <v/>
      </c>
      <c r="K323"/>
      <c r="L323"/>
      <c r="M323" t="str">
        <f aca="1">IF(VLOOKUP($H323,INDIRECT("Lookup_"&amp;$B323),IF(LEFT($B323,2)="BS",S$2,S$1),0)="","",VLOOKUP($H323,INDIRECT("Lookup_"&amp;$B323),IF(LEFT($B323,2)="BS",S$2,S$1),0))</f>
        <v/>
      </c>
      <c r="N323" t="str">
        <f aca="1">IF(VLOOKUP($H323,INDIRECT("Lookup_"&amp;$B323),IF(LEFT($B323,2)="BS",S$2,S$1),0)="","",VLOOKUP($H323,INDIRECT("Lookup_"&amp;$B323),IF(LEFT($B323,2)="BS",S$2,S$1),0))</f>
        <v/>
      </c>
    </row>
    <row r="324" spans="1:14">
      <c r="A324" t="n">
        <v>334</v>
      </c>
      <c r="B324" t="str">
        <f>VLOOKUP($A324,Aop!$A$2:$P$453,2,0)</f>
        <v>BTG</v>
      </c>
      <c r="C324" t="n">
        <v>29</v>
      </c>
      <c r="D324" t="str">
        <f aca="1">Podatak_MB</f>
        <v>1062280</v>
      </c>
      <c r="E324" t="str">
        <f aca="1">Podatak_JIB</f>
        <v>4400471400001</v>
      </c>
      <c r="F324" t="b">
        <f aca="1">Konsolidovan_izvjestaj</f>
        <v>0</v>
      </c>
      <c r="G324" s="20">
        <f aca="1">Datum_Broj</f>
        <v>45382</v>
      </c>
      <c r="H324">
        <f>VLOOKUP($A324,Aop!$A$2:$P$453,4,0)</f>
        <v>551</v>
      </c>
      <c r="I324">
        <f aca="1">Godina</f>
        <v>2024</v>
      </c>
      <c r="J324" t="str">
        <f aca="1">IF(VLOOKUP($H324,INDIRECT("Lookup_"&amp;$B324),IF(LEFT($B324,2)="BS",R$2,R$1),0)="","",VLOOKUP($H324,INDIRECT("Lookup_"&amp;$B324),IF($B324="BSp",R$2,R$1),0))</f>
        <v/>
      </c>
      <c r="K324"/>
      <c r="L324"/>
      <c r="M324" s="571">
        <f aca="1">IF(VLOOKUP($H324,INDIRECT("Lookup_"&amp;$B324),IF(LEFT($B324,2)="BS",S$2,S$1),0)="","",VLOOKUP($H324,INDIRECT("Lookup_"&amp;$B324),IF(LEFT($B324,2)="BS",S$2,S$1),0))</f>
        <v>84356</v>
      </c>
      <c r="N324" s="571">
        <f aca="1">IF(VLOOKUP($H324,INDIRECT("Lookup_"&amp;$B324),IF(LEFT($B324,2)="BS",S$2,S$1),0)="","",VLOOKUP($H324,INDIRECT("Lookup_"&amp;$B324),IF(LEFT($B324,2)="BS",S$2,S$1),0))</f>
        <v>84356</v>
      </c>
    </row>
    <row r="325" spans="1:14">
      <c r="A325" t="n">
        <v>335</v>
      </c>
      <c r="B325" t="str">
        <f>VLOOKUP($A325,Aop!$A$2:$P$453,2,0)</f>
        <v>BTG</v>
      </c>
      <c r="C325" t="n">
        <v>29</v>
      </c>
      <c r="D325" t="str">
        <f aca="1">Podatak_MB</f>
        <v>1062280</v>
      </c>
      <c r="E325" t="str">
        <f aca="1">Podatak_JIB</f>
        <v>4400471400001</v>
      </c>
      <c r="F325" t="b">
        <f aca="1">Konsolidovan_izvjestaj</f>
        <v>0</v>
      </c>
      <c r="G325" s="20">
        <f aca="1">Datum_Broj</f>
        <v>45382</v>
      </c>
      <c r="H325">
        <f>VLOOKUP($A325,Aop!$A$2:$P$453,4,0)</f>
        <v>552</v>
      </c>
      <c r="I325">
        <f aca="1">Godina</f>
        <v>2024</v>
      </c>
      <c r="J325" t="str">
        <f aca="1">IF(VLOOKUP($H325,INDIRECT("Lookup_"&amp;$B325),IF(LEFT($B325,2)="BS",R$2,R$1),0)="","",VLOOKUP($H325,INDIRECT("Lookup_"&amp;$B325),IF($B325="BSp",R$2,R$1),0))</f>
        <v/>
      </c>
      <c r="K325"/>
      <c r="L325"/>
      <c r="M325" t="str">
        <f aca="1">IF(VLOOKUP($H325,INDIRECT("Lookup_"&amp;$B325),IF(LEFT($B325,2)="BS",S$2,S$1),0)="","",VLOOKUP($H325,INDIRECT("Lookup_"&amp;$B325),IF(LEFT($B325,2)="BS",S$2,S$1),0))</f>
        <v/>
      </c>
      <c r="N325" t="str">
        <f aca="1">IF(VLOOKUP($H325,INDIRECT("Lookup_"&amp;$B325),IF(LEFT($B325,2)="BS",S$2,S$1),0)="","",VLOOKUP($H325,INDIRECT("Lookup_"&amp;$B325),IF(LEFT($B325,2)="BS",S$2,S$1),0))</f>
        <v/>
      </c>
    </row>
    <row r="326" spans="1:14">
      <c r="A326" t="n">
        <v>336</v>
      </c>
      <c r="B326" t="str">
        <f>VLOOKUP($A326,Aop!$A$2:$P$453,2,0)</f>
        <v>BTG</v>
      </c>
      <c r="C326" t="n">
        <v>29</v>
      </c>
      <c r="D326" t="str">
        <f aca="1">Podatak_MB</f>
        <v>1062280</v>
      </c>
      <c r="E326" t="str">
        <f aca="1">Podatak_JIB</f>
        <v>4400471400001</v>
      </c>
      <c r="F326" t="b">
        <f aca="1">Konsolidovan_izvjestaj</f>
        <v>0</v>
      </c>
      <c r="G326" s="20">
        <f aca="1">Datum_Broj</f>
        <v>45382</v>
      </c>
      <c r="H326">
        <f>VLOOKUP($A326,Aop!$A$2:$P$453,4,0)</f>
        <v>553</v>
      </c>
      <c r="I326">
        <f aca="1">Godina</f>
        <v>2024</v>
      </c>
      <c r="J326" t="str">
        <f aca="1">IF(VLOOKUP($H326,INDIRECT("Lookup_"&amp;$B326),IF(LEFT($B326,2)="BS",R$2,R$1),0)="","",VLOOKUP($H326,INDIRECT("Lookup_"&amp;$B326),IF($B326="BSp",R$2,R$1),0))</f>
        <v/>
      </c>
      <c r="K326"/>
      <c r="L326"/>
      <c r="M326" s="571">
        <f aca="1">IF(VLOOKUP($H326,INDIRECT("Lookup_"&amp;$B326),IF(LEFT($B326,2)="BS",S$2,S$1),0)="","",VLOOKUP($H326,INDIRECT("Lookup_"&amp;$B326),IF(LEFT($B326,2)="BS",S$2,S$1),0))</f>
        <v>84356</v>
      </c>
      <c r="N326" s="571">
        <f aca="1">IF(VLOOKUP($H326,INDIRECT("Lookup_"&amp;$B326),IF(LEFT($B326,2)="BS",S$2,S$1),0)="","",VLOOKUP($H326,INDIRECT("Lookup_"&amp;$B326),IF(LEFT($B326,2)="BS",S$2,S$1),0))</f>
        <v>84356</v>
      </c>
    </row>
    <row r="327" spans="1:14">
      <c r="A327" t="n">
        <v>337</v>
      </c>
      <c r="B327" t="str">
        <f>VLOOKUP($A327,Aop!$A$2:$P$453,2,0)</f>
        <v>BTG</v>
      </c>
      <c r="C327" t="n">
        <v>29</v>
      </c>
      <c r="D327" t="str">
        <f aca="1">Podatak_MB</f>
        <v>1062280</v>
      </c>
      <c r="E327" t="str">
        <f aca="1">Podatak_JIB</f>
        <v>4400471400001</v>
      </c>
      <c r="F327" t="b">
        <f aca="1">Konsolidovan_izvjestaj</f>
        <v>0</v>
      </c>
      <c r="G327" s="20">
        <f aca="1">Datum_Broj</f>
        <v>45382</v>
      </c>
      <c r="H327">
        <f>VLOOKUP($A327,Aop!$A$2:$P$453,4,0)</f>
        <v>554</v>
      </c>
      <c r="I327">
        <f aca="1">Godina</f>
        <v>2024</v>
      </c>
      <c r="J327" t="str">
        <f aca="1">IF(VLOOKUP($H327,INDIRECT("Lookup_"&amp;$B327),IF(LEFT($B327,2)="BS",R$2,R$1),0)="","",VLOOKUP($H327,INDIRECT("Lookup_"&amp;$B327),IF($B327="BSp",R$2,R$1),0))</f>
        <v/>
      </c>
      <c r="K327"/>
      <c r="L327"/>
      <c r="M327" t="str">
        <f aca="1">IF(VLOOKUP($H327,INDIRECT("Lookup_"&amp;$B327),IF(LEFT($B327,2)="BS",S$2,S$1),0)="","",VLOOKUP($H327,INDIRECT("Lookup_"&amp;$B327),IF(LEFT($B327,2)="BS",S$2,S$1),0))</f>
        <v/>
      </c>
      <c r="N327" t="str">
        <f aca="1">IF(VLOOKUP($H327,INDIRECT("Lookup_"&amp;$B327),IF(LEFT($B327,2)="BS",S$2,S$1),0)="","",VLOOKUP($H327,INDIRECT("Lookup_"&amp;$B327),IF(LEFT($B327,2)="BS",S$2,S$1),0))</f>
        <v/>
      </c>
    </row>
    <row r="328" spans="1:14">
      <c r="A328" t="n">
        <v>338</v>
      </c>
      <c r="B328" t="str">
        <f>VLOOKUP($A328,Aop!$A$2:$P$453,2,0)</f>
        <v>BTG</v>
      </c>
      <c r="C328" t="n">
        <v>29</v>
      </c>
      <c r="D328" t="str">
        <f aca="1">Podatak_MB</f>
        <v>1062280</v>
      </c>
      <c r="E328" t="str">
        <f aca="1">Podatak_JIB</f>
        <v>4400471400001</v>
      </c>
      <c r="F328" t="b">
        <f aca="1">Konsolidovan_izvjestaj</f>
        <v>0</v>
      </c>
      <c r="G328" s="20">
        <f aca="1">Datum_Broj</f>
        <v>45382</v>
      </c>
      <c r="H328">
        <f>VLOOKUP($A328,Aop!$A$2:$P$453,4,0)</f>
        <v>555</v>
      </c>
      <c r="I328">
        <f aca="1">Godina</f>
        <v>2024</v>
      </c>
      <c r="J328" t="str">
        <f aca="1">IF(VLOOKUP($H328,INDIRECT("Lookup_"&amp;$B328),IF(LEFT($B328,2)="BS",R$2,R$1),0)="","",VLOOKUP($H328,INDIRECT("Lookup_"&amp;$B328),IF($B328="BSp",R$2,R$1),0))</f>
        <v/>
      </c>
      <c r="K328"/>
      <c r="L328"/>
      <c r="M328" t="str">
        <f aca="1">IF(VLOOKUP($H328,INDIRECT("Lookup_"&amp;$B328),IF(LEFT($B328,2)="BS",S$2,S$1),0)="","",VLOOKUP($H328,INDIRECT("Lookup_"&amp;$B328),IF(LEFT($B328,2)="BS",S$2,S$1),0))</f>
        <v/>
      </c>
      <c r="N328" t="str">
        <f aca="1">IF(VLOOKUP($H328,INDIRECT("Lookup_"&amp;$B328),IF(LEFT($B328,2)="BS",S$2,S$1),0)="","",VLOOKUP($H328,INDIRECT("Lookup_"&amp;$B328),IF(LEFT($B328,2)="BS",S$2,S$1),0))</f>
        <v/>
      </c>
    </row>
    <row r="329" spans="1:14">
      <c r="A329" t="n">
        <v>339</v>
      </c>
      <c r="B329" t="str">
        <f>VLOOKUP($A329,Aop!$A$2:$P$453,2,0)</f>
        <v>BTG</v>
      </c>
      <c r="C329" t="n">
        <v>29</v>
      </c>
      <c r="D329" t="str">
        <f aca="1">Podatak_MB</f>
        <v>1062280</v>
      </c>
      <c r="E329" t="str">
        <f aca="1">Podatak_JIB</f>
        <v>4400471400001</v>
      </c>
      <c r="F329" t="b">
        <f aca="1">Konsolidovan_izvjestaj</f>
        <v>0</v>
      </c>
      <c r="G329" s="20">
        <f aca="1">Datum_Broj</f>
        <v>45382</v>
      </c>
      <c r="H329">
        <f>VLOOKUP($A329,Aop!$A$2:$P$453,4,0)</f>
        <v>556</v>
      </c>
      <c r="I329">
        <f aca="1">Godina</f>
        <v>2024</v>
      </c>
      <c r="J329" t="str">
        <f aca="1">IF(VLOOKUP($H329,INDIRECT("Lookup_"&amp;$B329),IF(LEFT($B329,2)="BS",R$2,R$1),0)="","",VLOOKUP($H329,INDIRECT("Lookup_"&amp;$B329),IF($B329="BSp",R$2,R$1),0))</f>
        <v/>
      </c>
      <c r="K329"/>
      <c r="L329"/>
      <c r="M329" t="str">
        <f aca="1">IF(VLOOKUP($H329,INDIRECT("Lookup_"&amp;$B329),IF(LEFT($B329,2)="BS",S$2,S$1),0)="","",VLOOKUP($H329,INDIRECT("Lookup_"&amp;$B329),IF(LEFT($B329,2)="BS",S$2,S$1),0))</f>
        <v/>
      </c>
      <c r="N329" t="str">
        <f aca="1">IF(VLOOKUP($H329,INDIRECT("Lookup_"&amp;$B329),IF(LEFT($B329,2)="BS",S$2,S$1),0)="","",VLOOKUP($H329,INDIRECT("Lookup_"&amp;$B329),IF(LEFT($B329,2)="BS",S$2,S$1),0))</f>
        <v/>
      </c>
    </row>
    <row r="330" spans="1:14">
      <c r="A330" t="n">
        <v>340</v>
      </c>
      <c r="B330" t="str">
        <f>VLOOKUP($A330,Aop!$A$2:$P$453,2,0)</f>
        <v>BTG</v>
      </c>
      <c r="C330" t="n">
        <v>29</v>
      </c>
      <c r="D330" t="str">
        <f aca="1">Podatak_MB</f>
        <v>1062280</v>
      </c>
      <c r="E330" t="str">
        <f aca="1">Podatak_JIB</f>
        <v>4400471400001</v>
      </c>
      <c r="F330" t="b">
        <f aca="1">Konsolidovan_izvjestaj</f>
        <v>0</v>
      </c>
      <c r="G330" s="20">
        <f aca="1">Datum_Broj</f>
        <v>45382</v>
      </c>
      <c r="H330">
        <f>VLOOKUP($A330,Aop!$A$2:$P$453,4,0)</f>
        <v>557</v>
      </c>
      <c r="I330">
        <f aca="1">Godina</f>
        <v>2024</v>
      </c>
      <c r="J330" t="str">
        <f aca="1">IF(VLOOKUP($H330,INDIRECT("Lookup_"&amp;$B330),IF(LEFT($B330,2)="BS",R$2,R$1),0)="","",VLOOKUP($H330,INDIRECT("Lookup_"&amp;$B330),IF($B330="BSp",R$2,R$1),0))</f>
        <v/>
      </c>
      <c r="K330"/>
      <c r="L330"/>
      <c r="M330" t="str">
        <f aca="1">IF(VLOOKUP($H330,INDIRECT("Lookup_"&amp;$B330),IF(LEFT($B330,2)="BS",S$2,S$1),0)="","",VLOOKUP($H330,INDIRECT("Lookup_"&amp;$B330),IF(LEFT($B330,2)="BS",S$2,S$1),0))</f>
        <v/>
      </c>
      <c r="N330" t="str">
        <f aca="1">IF(VLOOKUP($H330,INDIRECT("Lookup_"&amp;$B330),IF(LEFT($B330,2)="BS",S$2,S$1),0)="","",VLOOKUP($H330,INDIRECT("Lookup_"&amp;$B330),IF(LEFT($B330,2)="BS",S$2,S$1),0))</f>
        <v/>
      </c>
    </row>
    <row r="331" spans="1:14">
      <c r="A331" t="n">
        <v>341</v>
      </c>
      <c r="B331" t="str">
        <f>VLOOKUP($A331,Aop!$A$2:$P$453,2,0)</f>
        <v>BTG</v>
      </c>
      <c r="C331" t="n">
        <v>29</v>
      </c>
      <c r="D331" t="str">
        <f aca="1">Podatak_MB</f>
        <v>1062280</v>
      </c>
      <c r="E331" t="str">
        <f aca="1">Podatak_JIB</f>
        <v>4400471400001</v>
      </c>
      <c r="F331" t="b">
        <f aca="1">Konsolidovan_izvjestaj</f>
        <v>0</v>
      </c>
      <c r="G331" s="20">
        <f aca="1">Datum_Broj</f>
        <v>45382</v>
      </c>
      <c r="H331">
        <f>VLOOKUP($A331,Aop!$A$2:$P$453,4,0)</f>
        <v>558</v>
      </c>
      <c r="I331">
        <f aca="1">Godina</f>
        <v>2024</v>
      </c>
      <c r="J331" t="str">
        <f aca="1">IF(VLOOKUP($H331,INDIRECT("Lookup_"&amp;$B331),IF(LEFT($B331,2)="BS",R$2,R$1),0)="","",VLOOKUP($H331,INDIRECT("Lookup_"&amp;$B331),IF($B331="BSp",R$2,R$1),0))</f>
        <v/>
      </c>
      <c r="K331"/>
      <c r="L331"/>
      <c r="M331" t="str">
        <f aca="1">IF(VLOOKUP($H331,INDIRECT("Lookup_"&amp;$B331),IF(LEFT($B331,2)="BS",S$2,S$1),0)="","",VLOOKUP($H331,INDIRECT("Lookup_"&amp;$B331),IF(LEFT($B331,2)="BS",S$2,S$1),0))</f>
        <v/>
      </c>
      <c r="N331" t="str">
        <f aca="1">IF(VLOOKUP($H331,INDIRECT("Lookup_"&amp;$B331),IF(LEFT($B331,2)="BS",S$2,S$1),0)="","",VLOOKUP($H331,INDIRECT("Lookup_"&amp;$B331),IF(LEFT($B331,2)="BS",S$2,S$1),0))</f>
        <v/>
      </c>
    </row>
    <row r="332" spans="1:14">
      <c r="A332" t="n">
        <v>342</v>
      </c>
      <c r="B332" t="str">
        <f>VLOOKUP($A332,Aop!$A$2:$P$453,2,0)</f>
        <v>BTG</v>
      </c>
      <c r="C332" t="n">
        <v>29</v>
      </c>
      <c r="D332" t="str">
        <f aca="1">Podatak_MB</f>
        <v>1062280</v>
      </c>
      <c r="E332" t="str">
        <f aca="1">Podatak_JIB</f>
        <v>4400471400001</v>
      </c>
      <c r="F332" t="b">
        <f aca="1">Konsolidovan_izvjestaj</f>
        <v>0</v>
      </c>
      <c r="G332" s="20">
        <f aca="1">Datum_Broj</f>
        <v>45382</v>
      </c>
      <c r="H332">
        <f>VLOOKUP($A332,Aop!$A$2:$P$453,4,0)</f>
        <v>559</v>
      </c>
      <c r="I332">
        <f aca="1">Godina</f>
        <v>2024</v>
      </c>
      <c r="J332" t="str">
        <f aca="1">IF(VLOOKUP($H332,INDIRECT("Lookup_"&amp;$B332),IF(LEFT($B332,2)="BS",R$2,R$1),0)="","",VLOOKUP($H332,INDIRECT("Lookup_"&amp;$B332),IF($B332="BSp",R$2,R$1),0))</f>
        <v/>
      </c>
      <c r="K332"/>
      <c r="L332"/>
      <c r="M332" s="571">
        <f aca="1">IF(VLOOKUP($H332,INDIRECT("Lookup_"&amp;$B332),IF(LEFT($B332,2)="BS",S$2,S$1),0)="","",VLOOKUP($H332,INDIRECT("Lookup_"&amp;$B332),IF(LEFT($B332,2)="BS",S$2,S$1),0))</f>
        <v>0</v>
      </c>
      <c r="N332" s="571">
        <f aca="1">IF(VLOOKUP($H332,INDIRECT("Lookup_"&amp;$B332),IF(LEFT($B332,2)="BS",S$2,S$1),0)="","",VLOOKUP($H332,INDIRECT("Lookup_"&amp;$B332),IF(LEFT($B332,2)="BS",S$2,S$1),0))</f>
        <v>0</v>
      </c>
    </row>
    <row r="333" spans="1:14">
      <c r="A333" t="n">
        <v>343</v>
      </c>
      <c r="B333" t="str">
        <f>VLOOKUP($A333,Aop!$A$2:$P$453,2,0)</f>
        <v>BTG</v>
      </c>
      <c r="C333" t="n">
        <v>29</v>
      </c>
      <c r="D333" t="str">
        <f aca="1">Podatak_MB</f>
        <v>1062280</v>
      </c>
      <c r="E333" t="str">
        <f aca="1">Podatak_JIB</f>
        <v>4400471400001</v>
      </c>
      <c r="F333" t="b">
        <f aca="1">Konsolidovan_izvjestaj</f>
        <v>0</v>
      </c>
      <c r="G333" s="20">
        <f aca="1">Datum_Broj</f>
        <v>45382</v>
      </c>
      <c r="H333">
        <f>VLOOKUP($A333,Aop!$A$2:$P$453,4,0)</f>
        <v>560</v>
      </c>
      <c r="I333">
        <f aca="1">Godina</f>
        <v>2024</v>
      </c>
      <c r="J333" t="str">
        <f aca="1">IF(VLOOKUP($H333,INDIRECT("Lookup_"&amp;$B333),IF(LEFT($B333,2)="BS",R$2,R$1),0)="","",VLOOKUP($H333,INDIRECT("Lookup_"&amp;$B333),IF($B333="BSp",R$2,R$1),0))</f>
        <v/>
      </c>
      <c r="K333"/>
      <c r="L333"/>
      <c r="M333" s="571">
        <f aca="1">IF(VLOOKUP($H333,INDIRECT("Lookup_"&amp;$B333),IF(LEFT($B333,2)="BS",S$2,S$1),0)="","",VLOOKUP($H333,INDIRECT("Lookup_"&amp;$B333),IF(LEFT($B333,2)="BS",S$2,S$1),0))</f>
        <v>84356</v>
      </c>
      <c r="N333" s="571">
        <f aca="1">IF(VLOOKUP($H333,INDIRECT("Lookup_"&amp;$B333),IF(LEFT($B333,2)="BS",S$2,S$1),0)="","",VLOOKUP($H333,INDIRECT("Lookup_"&amp;$B333),IF(LEFT($B333,2)="BS",S$2,S$1),0))</f>
        <v>84356</v>
      </c>
    </row>
    <row r="334" spans="1:14">
      <c r="A334" t="n">
        <v>344</v>
      </c>
      <c r="B334" t="str">
        <f>VLOOKUP($A334,Aop!$A$2:$P$453,2,0)</f>
        <v>BTG</v>
      </c>
      <c r="C334" t="n">
        <v>29</v>
      </c>
      <c r="D334" t="str">
        <f aca="1">Podatak_MB</f>
        <v>1062280</v>
      </c>
      <c r="E334" t="str">
        <f aca="1">Podatak_JIB</f>
        <v>4400471400001</v>
      </c>
      <c r="F334" t="b">
        <f aca="1">Konsolidovan_izvjestaj</f>
        <v>0</v>
      </c>
      <c r="G334" s="20">
        <f aca="1">Datum_Broj</f>
        <v>45382</v>
      </c>
      <c r="H334">
        <f>VLOOKUP($A334,Aop!$A$2:$P$453,4,0)</f>
        <v>561</v>
      </c>
      <c r="I334">
        <f aca="1">Godina</f>
        <v>2024</v>
      </c>
      <c r="J334" t="str">
        <f aca="1">IF(VLOOKUP($H334,INDIRECT("Lookup_"&amp;$B334),IF(LEFT($B334,2)="BS",R$2,R$1),0)="","",VLOOKUP($H334,INDIRECT("Lookup_"&amp;$B334),IF($B334="BSp",R$2,R$1),0))</f>
        <v/>
      </c>
      <c r="K334"/>
      <c r="L334"/>
      <c r="M334" s="571">
        <f aca="1">IF(VLOOKUP($H334,INDIRECT("Lookup_"&amp;$B334),IF(LEFT($B334,2)="BS",S$2,S$1),0)="","",VLOOKUP($H334,INDIRECT("Lookup_"&amp;$B334),IF(LEFT($B334,2)="BS",S$2,S$1),0))</f>
        <v>401004</v>
      </c>
      <c r="N334" s="571">
        <f aca="1">IF(VLOOKUP($H334,INDIRECT("Lookup_"&amp;$B334),IF(LEFT($B334,2)="BS",S$2,S$1),0)="","",VLOOKUP($H334,INDIRECT("Lookup_"&amp;$B334),IF(LEFT($B334,2)="BS",S$2,S$1),0))</f>
        <v>401004</v>
      </c>
    </row>
    <row r="335" spans="1:14">
      <c r="A335" t="n">
        <v>345</v>
      </c>
      <c r="B335" t="str">
        <f>VLOOKUP($A335,Aop!$A$2:$P$453,2,0)</f>
        <v>BTG</v>
      </c>
      <c r="C335" t="n">
        <v>29</v>
      </c>
      <c r="D335" t="str">
        <f aca="1">Podatak_MB</f>
        <v>1062280</v>
      </c>
      <c r="E335" t="str">
        <f aca="1">Podatak_JIB</f>
        <v>4400471400001</v>
      </c>
      <c r="F335" t="b">
        <f aca="1">Konsolidovan_izvjestaj</f>
        <v>0</v>
      </c>
      <c r="G335" s="20">
        <f aca="1">Datum_Broj</f>
        <v>45382</v>
      </c>
      <c r="H335">
        <f>VLOOKUP($A335,Aop!$A$2:$P$453,4,0)</f>
        <v>562</v>
      </c>
      <c r="I335">
        <f aca="1">Godina</f>
        <v>2024</v>
      </c>
      <c r="J335" t="str">
        <f aca="1">IF(VLOOKUP($H335,INDIRECT("Lookup_"&amp;$B335),IF(LEFT($B335,2)="BS",R$2,R$1),0)="","",VLOOKUP($H335,INDIRECT("Lookup_"&amp;$B335),IF($B335="BSp",R$2,R$1),0))</f>
        <v/>
      </c>
      <c r="K335"/>
      <c r="L335"/>
      <c r="M335" s="571">
        <f aca="1">IF(VLOOKUP($H335,INDIRECT("Lookup_"&amp;$B335),IF(LEFT($B335,2)="BS",S$2,S$1),0)="","",VLOOKUP($H335,INDIRECT("Lookup_"&amp;$B335),IF(LEFT($B335,2)="BS",S$2,S$1),0))</f>
        <v>415124</v>
      </c>
      <c r="N335" s="571">
        <f aca="1">IF(VLOOKUP($H335,INDIRECT("Lookup_"&amp;$B335),IF(LEFT($B335,2)="BS",S$2,S$1),0)="","",VLOOKUP($H335,INDIRECT("Lookup_"&amp;$B335),IF(LEFT($B335,2)="BS",S$2,S$1),0))</f>
        <v>415124</v>
      </c>
    </row>
    <row r="336" spans="1:14">
      <c r="A336" t="n">
        <v>346</v>
      </c>
      <c r="B336" t="str">
        <f>VLOOKUP($A336,Aop!$A$2:$P$453,2,0)</f>
        <v>BTG</v>
      </c>
      <c r="C336" t="n">
        <v>29</v>
      </c>
      <c r="D336" t="str">
        <f aca="1">Podatak_MB</f>
        <v>1062280</v>
      </c>
      <c r="E336" t="str">
        <f aca="1">Podatak_JIB</f>
        <v>4400471400001</v>
      </c>
      <c r="F336" t="b">
        <f aca="1">Konsolidovan_izvjestaj</f>
        <v>0</v>
      </c>
      <c r="G336" s="20">
        <f aca="1">Datum_Broj</f>
        <v>45382</v>
      </c>
      <c r="H336">
        <f>VLOOKUP($A336,Aop!$A$2:$P$453,4,0)</f>
        <v>563</v>
      </c>
      <c r="I336">
        <f aca="1">Godina</f>
        <v>2024</v>
      </c>
      <c r="J336" t="str">
        <f aca="1">IF(VLOOKUP($H336,INDIRECT("Lookup_"&amp;$B336),IF(LEFT($B336,2)="BS",R$2,R$1),0)="","",VLOOKUP($H336,INDIRECT("Lookup_"&amp;$B336),IF($B336="BSp",R$2,R$1),0))</f>
        <v/>
      </c>
      <c r="K336"/>
      <c r="L336"/>
      <c r="M336" s="571">
        <f aca="1">IF(VLOOKUP($H336,INDIRECT("Lookup_"&amp;$B336),IF(LEFT($B336,2)="BS",S$2,S$1),0)="","",VLOOKUP($H336,INDIRECT("Lookup_"&amp;$B336),IF(LEFT($B336,2)="BS",S$2,S$1),0))</f>
        <v>0</v>
      </c>
      <c r="N336" s="571">
        <f aca="1">IF(VLOOKUP($H336,INDIRECT("Lookup_"&amp;$B336),IF(LEFT($B336,2)="BS",S$2,S$1),0)="","",VLOOKUP($H336,INDIRECT("Lookup_"&amp;$B336),IF(LEFT($B336,2)="BS",S$2,S$1),0))</f>
        <v>0</v>
      </c>
    </row>
    <row r="337" spans="1:14">
      <c r="A337" t="n">
        <v>347</v>
      </c>
      <c r="B337" t="str">
        <f>VLOOKUP($A337,Aop!$A$2:$P$453,2,0)</f>
        <v>BTG</v>
      </c>
      <c r="C337" t="n">
        <v>29</v>
      </c>
      <c r="D337" t="str">
        <f aca="1">Podatak_MB</f>
        <v>1062280</v>
      </c>
      <c r="E337" t="str">
        <f aca="1">Podatak_JIB</f>
        <v>4400471400001</v>
      </c>
      <c r="F337" t="b">
        <f aca="1">Konsolidovan_izvjestaj</f>
        <v>0</v>
      </c>
      <c r="G337" s="20">
        <f aca="1">Datum_Broj</f>
        <v>45382</v>
      </c>
      <c r="H337">
        <f>VLOOKUP($A337,Aop!$A$2:$P$453,4,0)</f>
        <v>564</v>
      </c>
      <c r="I337">
        <f aca="1">Godina</f>
        <v>2024</v>
      </c>
      <c r="J337" t="str">
        <f aca="1">IF(VLOOKUP($H337,INDIRECT("Lookup_"&amp;$B337),IF(LEFT($B337,2)="BS",R$2,R$1),0)="","",VLOOKUP($H337,INDIRECT("Lookup_"&amp;$B337),IF($B337="BSp",R$2,R$1),0))</f>
        <v/>
      </c>
      <c r="K337"/>
      <c r="L337"/>
      <c r="M337" s="571">
        <f aca="1">IF(VLOOKUP($H337,INDIRECT("Lookup_"&amp;$B337),IF(LEFT($B337,2)="BS",S$2,S$1),0)="","",VLOOKUP($H337,INDIRECT("Lookup_"&amp;$B337),IF(LEFT($B337,2)="BS",S$2,S$1),0))</f>
        <v>14120</v>
      </c>
      <c r="N337" s="571">
        <f aca="1">IF(VLOOKUP($H337,INDIRECT("Lookup_"&amp;$B337),IF(LEFT($B337,2)="BS",S$2,S$1),0)="","",VLOOKUP($H337,INDIRECT("Lookup_"&amp;$B337),IF(LEFT($B337,2)="BS",S$2,S$1),0))</f>
        <v>14120</v>
      </c>
    </row>
    <row r="338" spans="1:14">
      <c r="A338" t="n">
        <v>348</v>
      </c>
      <c r="B338" t="str">
        <f>VLOOKUP($A338,Aop!$A$2:$P$453,2,0)</f>
        <v>BTG</v>
      </c>
      <c r="C338" t="n">
        <v>29</v>
      </c>
      <c r="D338" t="str">
        <f aca="1">Podatak_MB</f>
        <v>1062280</v>
      </c>
      <c r="E338" t="str">
        <f aca="1">Podatak_JIB</f>
        <v>4400471400001</v>
      </c>
      <c r="F338" t="b">
        <f aca="1">Konsolidovan_izvjestaj</f>
        <v>0</v>
      </c>
      <c r="G338" s="20">
        <f aca="1">Datum_Broj</f>
        <v>45382</v>
      </c>
      <c r="H338">
        <f>VLOOKUP($A338,Aop!$A$2:$P$453,4,0)</f>
        <v>565</v>
      </c>
      <c r="I338">
        <f aca="1">Godina</f>
        <v>2024</v>
      </c>
      <c r="J338" t="str">
        <f aca="1">IF(VLOOKUP($H338,INDIRECT("Lookup_"&amp;$B338),IF(LEFT($B338,2)="BS",R$2,R$1),0)="","",VLOOKUP($H338,INDIRECT("Lookup_"&amp;$B338),IF($B338="BSp",R$2,R$1),0))</f>
        <v/>
      </c>
      <c r="K338"/>
      <c r="L338"/>
      <c r="M338" s="571">
        <f aca="1">IF(VLOOKUP($H338,INDIRECT("Lookup_"&amp;$B338),IF(LEFT($B338,2)="BS",S$2,S$1),0)="","",VLOOKUP($H338,INDIRECT("Lookup_"&amp;$B338),IF(LEFT($B338,2)="BS",S$2,S$1),0))</f>
        <v>23465</v>
      </c>
      <c r="N338" s="571">
        <f aca="1">IF(VLOOKUP($H338,INDIRECT("Lookup_"&amp;$B338),IF(LEFT($B338,2)="BS",S$2,S$1),0)="","",VLOOKUP($H338,INDIRECT("Lookup_"&amp;$B338),IF(LEFT($B338,2)="BS",S$2,S$1),0))</f>
        <v>23465</v>
      </c>
    </row>
    <row r="339" spans="1:14">
      <c r="A339" t="n">
        <v>349</v>
      </c>
      <c r="B339" t="str">
        <f>VLOOKUP($A339,Aop!$A$2:$P$453,2,0)</f>
        <v>BTG</v>
      </c>
      <c r="C339" t="n">
        <v>29</v>
      </c>
      <c r="D339" t="str">
        <f aca="1">Podatak_MB</f>
        <v>1062280</v>
      </c>
      <c r="E339" t="str">
        <f aca="1">Podatak_JIB</f>
        <v>4400471400001</v>
      </c>
      <c r="F339" t="b">
        <f aca="1">Konsolidovan_izvjestaj</f>
        <v>0</v>
      </c>
      <c r="G339" s="20">
        <f aca="1">Datum_Broj</f>
        <v>45382</v>
      </c>
      <c r="H339">
        <f>VLOOKUP($A339,Aop!$A$2:$P$453,4,0)</f>
        <v>566</v>
      </c>
      <c r="I339">
        <f aca="1">Godina</f>
        <v>2024</v>
      </c>
      <c r="J339" t="str">
        <f aca="1">IF(VLOOKUP($H339,INDIRECT("Lookup_"&amp;$B339),IF(LEFT($B339,2)="BS",R$2,R$1),0)="","",VLOOKUP($H339,INDIRECT("Lookup_"&amp;$B339),IF($B339="BSp",R$2,R$1),0))</f>
        <v/>
      </c>
      <c r="K339"/>
      <c r="L339"/>
      <c r="M339" t="str">
        <f aca="1">IF(VLOOKUP($H339,INDIRECT("Lookup_"&amp;$B339),IF(LEFT($B339,2)="BS",S$2,S$1),0)="","",VLOOKUP($H339,INDIRECT("Lookup_"&amp;$B339),IF(LEFT($B339,2)="BS",S$2,S$1),0))</f>
        <v/>
      </c>
      <c r="N339" t="str">
        <f aca="1">IF(VLOOKUP($H339,INDIRECT("Lookup_"&amp;$B339),IF(LEFT($B339,2)="BS",S$2,S$1),0)="","",VLOOKUP($H339,INDIRECT("Lookup_"&amp;$B339),IF(LEFT($B339,2)="BS",S$2,S$1),0))</f>
        <v/>
      </c>
    </row>
    <row r="340" spans="1:14">
      <c r="A340" t="n">
        <v>350</v>
      </c>
      <c r="B340" t="str">
        <f>VLOOKUP($A340,Aop!$A$2:$P$453,2,0)</f>
        <v>BTG</v>
      </c>
      <c r="C340" t="n">
        <v>29</v>
      </c>
      <c r="D340" t="str">
        <f aca="1">Podatak_MB</f>
        <v>1062280</v>
      </c>
      <c r="E340" t="str">
        <f aca="1">Podatak_JIB</f>
        <v>4400471400001</v>
      </c>
      <c r="F340" t="b">
        <f aca="1">Konsolidovan_izvjestaj</f>
        <v>0</v>
      </c>
      <c r="G340" s="20">
        <f aca="1">Datum_Broj</f>
        <v>45382</v>
      </c>
      <c r="H340">
        <f>VLOOKUP($A340,Aop!$A$2:$P$453,4,0)</f>
        <v>567</v>
      </c>
      <c r="I340">
        <f aca="1">Godina</f>
        <v>2024</v>
      </c>
      <c r="J340" t="str">
        <f aca="1">IF(VLOOKUP($H340,INDIRECT("Lookup_"&amp;$B340),IF(LEFT($B340,2)="BS",R$2,R$1),0)="","",VLOOKUP($H340,INDIRECT("Lookup_"&amp;$B340),IF($B340="BSp",R$2,R$1),0))</f>
        <v/>
      </c>
      <c r="K340"/>
      <c r="L340"/>
      <c r="M340" t="str">
        <f aca="1">IF(VLOOKUP($H340,INDIRECT("Lookup_"&amp;$B340),IF(LEFT($B340,2)="BS",S$2,S$1),0)="","",VLOOKUP($H340,INDIRECT("Lookup_"&amp;$B340),IF(LEFT($B340,2)="BS",S$2,S$1),0))</f>
        <v/>
      </c>
      <c r="N340" t="str">
        <f aca="1">IF(VLOOKUP($H340,INDIRECT("Lookup_"&amp;$B340),IF(LEFT($B340,2)="BS",S$2,S$1),0)="","",VLOOKUP($H340,INDIRECT("Lookup_"&amp;$B340),IF(LEFT($B340,2)="BS",S$2,S$1),0))</f>
        <v/>
      </c>
    </row>
    <row r="341" spans="1:14">
      <c r="A341" t="n">
        <v>351</v>
      </c>
      <c r="B341" t="str">
        <f>VLOOKUP($A341,Aop!$A$2:$P$453,2,0)</f>
        <v>BTG</v>
      </c>
      <c r="C341" t="n">
        <v>29</v>
      </c>
      <c r="D341" t="str">
        <f aca="1">Podatak_MB</f>
        <v>1062280</v>
      </c>
      <c r="E341" t="str">
        <f aca="1">Podatak_JIB</f>
        <v>4400471400001</v>
      </c>
      <c r="F341" t="b">
        <f aca="1">Konsolidovan_izvjestaj</f>
        <v>0</v>
      </c>
      <c r="G341" s="20">
        <f aca="1">Datum_Broj</f>
        <v>45382</v>
      </c>
      <c r="H341">
        <f>VLOOKUP($A341,Aop!$A$2:$P$453,4,0)</f>
        <v>568</v>
      </c>
      <c r="I341">
        <f aca="1">Godina</f>
        <v>2024</v>
      </c>
      <c r="J341" t="str">
        <f aca="1">IF(VLOOKUP($H341,INDIRECT("Lookup_"&amp;$B341),IF(LEFT($B341,2)="BS",R$2,R$1),0)="","",VLOOKUP($H341,INDIRECT("Lookup_"&amp;$B341),IF($B341="BSp",R$2,R$1),0))</f>
        <v/>
      </c>
      <c r="K341"/>
      <c r="L341"/>
      <c r="M341" s="571">
        <f aca="1">IF(VLOOKUP($H341,INDIRECT("Lookup_"&amp;$B341),IF(LEFT($B341,2)="BS",S$2,S$1),0)="","",VLOOKUP($H341,INDIRECT("Lookup_"&amp;$B341),IF(LEFT($B341,2)="BS",S$2,S$1),0))</f>
        <v>9345</v>
      </c>
      <c r="N341" s="571">
        <f aca="1">IF(VLOOKUP($H341,INDIRECT("Lookup_"&amp;$B341),IF(LEFT($B341,2)="BS",S$2,S$1),0)="","",VLOOKUP($H341,INDIRECT("Lookup_"&amp;$B341),IF(LEFT($B341,2)="BS",S$2,S$1),0))</f>
        <v>9345</v>
      </c>
    </row>
    <row r="342" spans="1:14">
      <c r="A342" t="n">
        <v>352</v>
      </c>
      <c r="B342" t="str">
        <f>VLOOKUP($A342,Aop!$A$2:$P$453,2,0)</f>
        <v>Aneks</v>
      </c>
      <c r="C342" t="n">
        <v>28</v>
      </c>
      <c r="D342" t="str">
        <f aca="1">Podatak_MB</f>
        <v>1062280</v>
      </c>
      <c r="E342" t="str">
        <f aca="1">Podatak_JIB</f>
        <v>4400471400001</v>
      </c>
      <c r="F342" t="b">
        <f aca="1">Konsolidovan_izvjestaj</f>
        <v>0</v>
      </c>
      <c r="G342" s="20">
        <f aca="1">Datum_Broj</f>
        <v>45382</v>
      </c>
      <c r="H342">
        <f>VLOOKUP($A342,Aop!$A$2:$P$453,4,0)</f>
        <v>601</v>
      </c>
      <c r="I342">
        <f aca="1">Godina</f>
        <v>2024</v>
      </c>
      <c r="J342"/>
      <c r="K342"/>
      <c r="L342"/>
      <c r="M342" t="str">
        <f aca="1">IF(VLOOKUP($H342,INDIRECT("Lookup_"&amp;$B342),IF(LEFT($B342,2)="BS",R$2,R$1),0)="","",VLOOKUP($H342,INDIRECT("Lookup_"&amp;$B342),IF(LEFT($B342,2)="BS",R$2,R$1),0))</f>
        <v/>
      </c>
      <c r="N342" t="str">
        <f aca="1">IF(VLOOKUP($H342,INDIRECT("Lookup_"&amp;$B342),IF(LEFT($B342,2)="BS",S$2,S$1),0)="","",VLOOKUP($H342,INDIRECT("Lookup_"&amp;$B342),IF(LEFT($B342,2)="BS",S$2,S$1),0))</f>
        <v/>
      </c>
    </row>
    <row r="343" spans="1:14">
      <c r="A343" t="n">
        <v>353</v>
      </c>
      <c r="B343" t="str">
        <f>VLOOKUP($A343,Aop!$A$2:$P$453,2,0)</f>
        <v>Aneks</v>
      </c>
      <c r="C343" t="n">
        <v>28</v>
      </c>
      <c r="D343" t="str">
        <f aca="1">Podatak_MB</f>
        <v>1062280</v>
      </c>
      <c r="E343" t="str">
        <f aca="1">Podatak_JIB</f>
        <v>4400471400001</v>
      </c>
      <c r="F343" t="b">
        <f aca="1">Konsolidovan_izvjestaj</f>
        <v>0</v>
      </c>
      <c r="G343" s="20">
        <f aca="1">Datum_Broj</f>
        <v>45382</v>
      </c>
      <c r="H343">
        <f>VLOOKUP($A343,Aop!$A$2:$P$453,4,0)</f>
        <v>602</v>
      </c>
      <c r="I343">
        <f aca="1">Godina</f>
        <v>2024</v>
      </c>
      <c r="J343"/>
      <c r="K343"/>
      <c r="L343"/>
      <c r="M343" s="575">
        <f aca="1">IF(VLOOKUP($H343,INDIRECT("Lookup_"&amp;$B343),IF(LEFT($B343,2)="BS",R$2,R$1),0)="","",VLOOKUP($H343,INDIRECT("Lookup_"&amp;$B343),IF(LEFT($B343,2)="BS",R$2,R$1),0))</f>
        <v>186380</v>
      </c>
      <c r="N343" s="571">
        <f aca="1">IF(VLOOKUP($H343,INDIRECT("Lookup_"&amp;$B343),IF(LEFT($B343,2)="BS",S$2,S$1),0)="","",VLOOKUP($H343,INDIRECT("Lookup_"&amp;$B343),IF(LEFT($B343,2)="BS",S$2,S$1),0))</f>
        <v>207667</v>
      </c>
    </row>
    <row r="344" spans="1:14">
      <c r="A344" t="n">
        <v>354</v>
      </c>
      <c r="B344" t="str">
        <f>VLOOKUP($A344,Aop!$A$2:$P$453,2,0)</f>
        <v>Aneks</v>
      </c>
      <c r="C344" t="n">
        <v>28</v>
      </c>
      <c r="D344" t="str">
        <f aca="1">Podatak_MB</f>
        <v>1062280</v>
      </c>
      <c r="E344" t="str">
        <f aca="1">Podatak_JIB</f>
        <v>4400471400001</v>
      </c>
      <c r="F344" t="b">
        <f aca="1">Konsolidovan_izvjestaj</f>
        <v>0</v>
      </c>
      <c r="G344" s="20">
        <f aca="1">Datum_Broj</f>
        <v>45382</v>
      </c>
      <c r="H344">
        <f>VLOOKUP($A344,Aop!$A$2:$P$453,4,0)</f>
        <v>603</v>
      </c>
      <c r="I344">
        <f aca="1">Godina</f>
        <v>2024</v>
      </c>
      <c r="J344"/>
      <c r="K344"/>
      <c r="L344"/>
      <c r="M344" s="575">
        <f aca="1">IF(VLOOKUP($H344,INDIRECT("Lookup_"&amp;$B344),IF(LEFT($B344,2)="BS",R$2,R$1),0)="","",VLOOKUP($H344,INDIRECT("Lookup_"&amp;$B344),IF(LEFT($B344,2)="BS",R$2,R$1),0))</f>
        <v>9495</v>
      </c>
      <c r="N344" s="571">
        <f aca="1">IF(VLOOKUP($H344,INDIRECT("Lookup_"&amp;$B344),IF(LEFT($B344,2)="BS",S$2,S$1),0)="","",VLOOKUP($H344,INDIRECT("Lookup_"&amp;$B344),IF(LEFT($B344,2)="BS",S$2,S$1),0))</f>
        <v>178003</v>
      </c>
    </row>
    <row r="345" spans="1:14">
      <c r="A345" t="n">
        <v>355</v>
      </c>
      <c r="B345" t="str">
        <f>VLOOKUP($A345,Aop!$A$2:$P$453,2,0)</f>
        <v>Aneks</v>
      </c>
      <c r="C345" t="n">
        <v>28</v>
      </c>
      <c r="D345" t="str">
        <f aca="1">Podatak_MB</f>
        <v>1062280</v>
      </c>
      <c r="E345" t="str">
        <f aca="1">Podatak_JIB</f>
        <v>4400471400001</v>
      </c>
      <c r="F345" t="b">
        <f aca="1">Konsolidovan_izvjestaj</f>
        <v>0</v>
      </c>
      <c r="G345" s="20">
        <f aca="1">Datum_Broj</f>
        <v>45382</v>
      </c>
      <c r="H345">
        <f>VLOOKUP($A345,Aop!$A$2:$P$453,4,0)</f>
        <v>604</v>
      </c>
      <c r="I345">
        <f aca="1">Godina</f>
        <v>2024</v>
      </c>
      <c r="J345"/>
      <c r="K345"/>
      <c r="L345"/>
      <c r="M345" s="575">
        <f aca="1">IF(VLOOKUP($H345,INDIRECT("Lookup_"&amp;$B345),IF(LEFT($B345,2)="BS",R$2,R$1),0)="","",VLOOKUP($H345,INDIRECT("Lookup_"&amp;$B345),IF(LEFT($B345,2)="BS",R$2,R$1),0))</f>
        <v>84293</v>
      </c>
      <c r="N345" s="571">
        <f aca="1">IF(VLOOKUP($H345,INDIRECT("Lookup_"&amp;$B345),IF(LEFT($B345,2)="BS",S$2,S$1),0)="","",VLOOKUP($H345,INDIRECT("Lookup_"&amp;$B345),IF(LEFT($B345,2)="BS",S$2,S$1),0))</f>
        <v>23804</v>
      </c>
    </row>
    <row r="346" spans="1:14">
      <c r="A346" t="n">
        <v>356</v>
      </c>
      <c r="B346" t="str">
        <f>VLOOKUP($A346,Aop!$A$2:$P$453,2,0)</f>
        <v>Aneks</v>
      </c>
      <c r="C346" t="n">
        <v>28</v>
      </c>
      <c r="D346" t="str">
        <f aca="1">Podatak_MB</f>
        <v>1062280</v>
      </c>
      <c r="E346" t="str">
        <f aca="1">Podatak_JIB</f>
        <v>4400471400001</v>
      </c>
      <c r="F346" t="b">
        <f aca="1">Konsolidovan_izvjestaj</f>
        <v>0</v>
      </c>
      <c r="G346" s="20">
        <f aca="1">Datum_Broj</f>
        <v>45382</v>
      </c>
      <c r="H346">
        <f>VLOOKUP($A346,Aop!$A$2:$P$453,4,0)</f>
        <v>605</v>
      </c>
      <c r="I346">
        <f aca="1">Godina</f>
        <v>2024</v>
      </c>
      <c r="J346"/>
      <c r="K346"/>
      <c r="L346"/>
      <c r="M346" s="575">
        <f aca="1">IF(VLOOKUP($H346,INDIRECT("Lookup_"&amp;$B346),IF(LEFT($B346,2)="BS",R$2,R$1),0)="","",VLOOKUP($H346,INDIRECT("Lookup_"&amp;$B346),IF(LEFT($B346,2)="BS",R$2,R$1),0))</f>
        <v>269871</v>
      </c>
      <c r="N346" s="571">
        <f aca="1">IF(VLOOKUP($H346,INDIRECT("Lookup_"&amp;$B346),IF(LEFT($B346,2)="BS",S$2,S$1),0)="","",VLOOKUP($H346,INDIRECT("Lookup_"&amp;$B346),IF(LEFT($B346,2)="BS",S$2,S$1),0))</f>
        <v>368544</v>
      </c>
    </row>
    <row r="347" spans="1:14">
      <c r="A347" t="n">
        <v>357</v>
      </c>
      <c r="B347" t="str">
        <f>VLOOKUP($A347,Aop!$A$2:$P$453,2,0)</f>
        <v>Aneks</v>
      </c>
      <c r="C347" t="n">
        <v>28</v>
      </c>
      <c r="D347" t="str">
        <f aca="1">Podatak_MB</f>
        <v>1062280</v>
      </c>
      <c r="E347" t="str">
        <f aca="1">Podatak_JIB</f>
        <v>4400471400001</v>
      </c>
      <c r="F347" t="b">
        <f aca="1">Konsolidovan_izvjestaj</f>
        <v>0</v>
      </c>
      <c r="G347" s="20">
        <f aca="1">Datum_Broj</f>
        <v>45382</v>
      </c>
      <c r="H347">
        <f>VLOOKUP($A347,Aop!$A$2:$P$453,4,0)</f>
        <v>606</v>
      </c>
      <c r="I347">
        <f aca="1">Godina</f>
        <v>2024</v>
      </c>
      <c r="J347"/>
      <c r="K347"/>
      <c r="L347"/>
      <c r="M347" s="575">
        <f aca="1">IF(VLOOKUP($H347,INDIRECT("Lookup_"&amp;$B347),IF(LEFT($B347,2)="BS",R$2,R$1),0)="","",VLOOKUP($H347,INDIRECT("Lookup_"&amp;$B347),IF(LEFT($B347,2)="BS",R$2,R$1),0))</f>
        <v>3319</v>
      </c>
      <c r="N347" s="571">
        <f aca="1">IF(VLOOKUP($H347,INDIRECT("Lookup_"&amp;$B347),IF(LEFT($B347,2)="BS",S$2,S$1),0)="","",VLOOKUP($H347,INDIRECT("Lookup_"&amp;$B347),IF(LEFT($B347,2)="BS",S$2,S$1),0))</f>
        <v>2676</v>
      </c>
    </row>
    <row r="348" spans="1:14">
      <c r="A348" t="n">
        <v>358</v>
      </c>
      <c r="B348" t="str">
        <f>VLOOKUP($A348,Aop!$A$2:$P$453,2,0)</f>
        <v>Aneks</v>
      </c>
      <c r="C348" t="n">
        <v>28</v>
      </c>
      <c r="D348" t="str">
        <f aca="1">Podatak_MB</f>
        <v>1062280</v>
      </c>
      <c r="E348" t="str">
        <f aca="1">Podatak_JIB</f>
        <v>4400471400001</v>
      </c>
      <c r="F348" t="b">
        <f aca="1">Konsolidovan_izvjestaj</f>
        <v>0</v>
      </c>
      <c r="G348" s="20">
        <f aca="1">Datum_Broj</f>
        <v>45382</v>
      </c>
      <c r="H348">
        <f>VLOOKUP($A348,Aop!$A$2:$P$453,4,0)</f>
        <v>607</v>
      </c>
      <c r="I348">
        <f aca="1">Godina</f>
        <v>2024</v>
      </c>
      <c r="J348"/>
      <c r="K348"/>
      <c r="L348"/>
      <c r="M348" s="575">
        <f aca="1">IF(VLOOKUP($H348,INDIRECT("Lookup_"&amp;$B348),IF(LEFT($B348,2)="BS",R$2,R$1),0)="","",VLOOKUP($H348,INDIRECT("Lookup_"&amp;$B348),IF(LEFT($B348,2)="BS",R$2,R$1),0))</f>
        <v>8296</v>
      </c>
      <c r="N348" s="571">
        <f aca="1">IF(VLOOKUP($H348,INDIRECT("Lookup_"&amp;$B348),IF(LEFT($B348,2)="BS",S$2,S$1),0)="","",VLOOKUP($H348,INDIRECT("Lookup_"&amp;$B348),IF(LEFT($B348,2)="BS",S$2,S$1),0))</f>
        <v>63176</v>
      </c>
    </row>
    <row r="349" spans="1:14">
      <c r="A349" t="n">
        <v>359</v>
      </c>
      <c r="B349" t="str">
        <f>VLOOKUP($A349,Aop!$A$2:$P$453,2,0)</f>
        <v>Aneks</v>
      </c>
      <c r="C349" t="n">
        <v>28</v>
      </c>
      <c r="D349" t="str">
        <f aca="1">Podatak_MB</f>
        <v>1062280</v>
      </c>
      <c r="E349" t="str">
        <f aca="1">Podatak_JIB</f>
        <v>4400471400001</v>
      </c>
      <c r="F349" t="b">
        <f aca="1">Konsolidovan_izvjestaj</f>
        <v>0</v>
      </c>
      <c r="G349" s="20">
        <f aca="1">Datum_Broj</f>
        <v>45382</v>
      </c>
      <c r="H349">
        <f>VLOOKUP($A349,Aop!$A$2:$P$453,4,0)</f>
        <v>608</v>
      </c>
      <c r="I349">
        <f aca="1">Godina</f>
        <v>2024</v>
      </c>
      <c r="J349"/>
      <c r="K349"/>
      <c r="L349"/>
      <c r="M349" t="str">
        <f aca="1">IF(VLOOKUP($H349,INDIRECT("Lookup_"&amp;$B349),IF(LEFT($B349,2)="BS",R$2,R$1),0)="","",VLOOKUP($H349,INDIRECT("Lookup_"&amp;$B349),IF(LEFT($B349,2)="BS",R$2,R$1),0))</f>
        <v/>
      </c>
      <c r="N349" t="str">
        <f aca="1">IF(VLOOKUP($H349,INDIRECT("Lookup_"&amp;$B349),IF(LEFT($B349,2)="BS",S$2,S$1),0)="","",VLOOKUP($H349,INDIRECT("Lookup_"&amp;$B349),IF(LEFT($B349,2)="BS",S$2,S$1),0))</f>
        <v/>
      </c>
    </row>
    <row r="350" spans="1:14">
      <c r="A350" t="n">
        <v>360</v>
      </c>
      <c r="B350" t="str">
        <f>VLOOKUP($A350,Aop!$A$2:$P$453,2,0)</f>
        <v>Aneks</v>
      </c>
      <c r="C350" t="n">
        <v>28</v>
      </c>
      <c r="D350" t="str">
        <f aca="1">Podatak_MB</f>
        <v>1062280</v>
      </c>
      <c r="E350" t="str">
        <f aca="1">Podatak_JIB</f>
        <v>4400471400001</v>
      </c>
      <c r="F350" t="b">
        <f aca="1">Konsolidovan_izvjestaj</f>
        <v>0</v>
      </c>
      <c r="G350" s="20">
        <f aca="1">Datum_Broj</f>
        <v>45382</v>
      </c>
      <c r="H350">
        <f>VLOOKUP($A350,Aop!$A$2:$P$453,4,0)</f>
        <v>609</v>
      </c>
      <c r="I350">
        <f aca="1">Godina</f>
        <v>2024</v>
      </c>
      <c r="J350"/>
      <c r="K350"/>
      <c r="L350"/>
      <c r="M350" t="str">
        <f aca="1">IF(VLOOKUP($H350,INDIRECT("Lookup_"&amp;$B350),IF(LEFT($B350,2)="BS",R$2,R$1),0)="","",VLOOKUP($H350,INDIRECT("Lookup_"&amp;$B350),IF(LEFT($B350,2)="BS",R$2,R$1),0))</f>
        <v/>
      </c>
      <c r="N350" t="str">
        <f aca="1">IF(VLOOKUP($H350,INDIRECT("Lookup_"&amp;$B350),IF(LEFT($B350,2)="BS",S$2,S$1),0)="","",VLOOKUP($H350,INDIRECT("Lookup_"&amp;$B350),IF(LEFT($B350,2)="BS",S$2,S$1),0))</f>
        <v/>
      </c>
    </row>
    <row r="351" spans="1:14">
      <c r="A351" t="n">
        <v>361</v>
      </c>
      <c r="B351" t="str">
        <f>VLOOKUP($A351,Aop!$A$2:$P$453,2,0)</f>
        <v>Aneks</v>
      </c>
      <c r="C351" t="n">
        <v>28</v>
      </c>
      <c r="D351" t="str">
        <f aca="1">Podatak_MB</f>
        <v>1062280</v>
      </c>
      <c r="E351" t="str">
        <f aca="1">Podatak_JIB</f>
        <v>4400471400001</v>
      </c>
      <c r="F351" t="b">
        <f aca="1">Konsolidovan_izvjestaj</f>
        <v>0</v>
      </c>
      <c r="G351" s="20">
        <f aca="1">Datum_Broj</f>
        <v>45382</v>
      </c>
      <c r="H351">
        <f>VLOOKUP($A351,Aop!$A$2:$P$453,4,0)</f>
        <v>610</v>
      </c>
      <c r="I351">
        <f aca="1">Godina</f>
        <v>2024</v>
      </c>
      <c r="J351"/>
      <c r="K351"/>
      <c r="L351"/>
      <c r="M351" t="str">
        <f aca="1">IF(VLOOKUP($H351,INDIRECT("Lookup_"&amp;$B351),IF(LEFT($B351,2)="BS",R$2,R$1),0)="","",VLOOKUP($H351,INDIRECT("Lookup_"&amp;$B351),IF(LEFT($B351,2)="BS",R$2,R$1),0))</f>
        <v/>
      </c>
      <c r="N351" t="str">
        <f aca="1">IF(VLOOKUP($H351,INDIRECT("Lookup_"&amp;$B351),IF(LEFT($B351,2)="BS",S$2,S$1),0)="","",VLOOKUP($H351,INDIRECT("Lookup_"&amp;$B351),IF(LEFT($B351,2)="BS",S$2,S$1),0))</f>
        <v/>
      </c>
    </row>
    <row r="352" spans="1:14">
      <c r="A352" t="n">
        <v>362</v>
      </c>
      <c r="B352" t="str">
        <f>VLOOKUP($A352,Aop!$A$2:$P$453,2,0)</f>
        <v>Aneks</v>
      </c>
      <c r="C352" t="n">
        <v>28</v>
      </c>
      <c r="D352" t="str">
        <f aca="1">Podatak_MB</f>
        <v>1062280</v>
      </c>
      <c r="E352" t="str">
        <f aca="1">Podatak_JIB</f>
        <v>4400471400001</v>
      </c>
      <c r="F352" t="b">
        <f aca="1">Konsolidovan_izvjestaj</f>
        <v>0</v>
      </c>
      <c r="G352" s="20">
        <f aca="1">Datum_Broj</f>
        <v>45382</v>
      </c>
      <c r="H352">
        <f>VLOOKUP($A352,Aop!$A$2:$P$453,4,0)</f>
        <v>611</v>
      </c>
      <c r="I352">
        <f aca="1">Godina</f>
        <v>2024</v>
      </c>
      <c r="J352"/>
      <c r="K352"/>
      <c r="L352"/>
      <c r="M352" s="575">
        <f aca="1">IF(VLOOKUP($H352,INDIRECT("Lookup_"&amp;$B352),IF(LEFT($B352,2)="BS",R$2,R$1),0)="","",VLOOKUP($H352,INDIRECT("Lookup_"&amp;$B352),IF(LEFT($B352,2)="BS",R$2,R$1),0))</f>
        <v>115761</v>
      </c>
      <c r="N352" s="571">
        <f aca="1">IF(VLOOKUP($H352,INDIRECT("Lookup_"&amp;$B352),IF(LEFT($B352,2)="BS",S$2,S$1),0)="","",VLOOKUP($H352,INDIRECT("Lookup_"&amp;$B352),IF(LEFT($B352,2)="BS",S$2,S$1),0))</f>
        <v>165300</v>
      </c>
    </row>
    <row r="353" spans="1:14">
      <c r="A353" t="n">
        <v>363</v>
      </c>
      <c r="B353" t="str">
        <f>VLOOKUP($A353,Aop!$A$2:$P$453,2,0)</f>
        <v>Aneks</v>
      </c>
      <c r="C353" t="n">
        <v>28</v>
      </c>
      <c r="D353" t="str">
        <f aca="1">Podatak_MB</f>
        <v>1062280</v>
      </c>
      <c r="E353" t="str">
        <f aca="1">Podatak_JIB</f>
        <v>4400471400001</v>
      </c>
      <c r="F353" t="b">
        <f aca="1">Konsolidovan_izvjestaj</f>
        <v>0</v>
      </c>
      <c r="G353" s="20">
        <f aca="1">Datum_Broj</f>
        <v>45382</v>
      </c>
      <c r="H353">
        <f>VLOOKUP($A353,Aop!$A$2:$P$453,4,0)</f>
        <v>612</v>
      </c>
      <c r="I353">
        <f aca="1">Godina</f>
        <v>2024</v>
      </c>
      <c r="J353"/>
      <c r="K353"/>
      <c r="L353"/>
      <c r="M353" s="575">
        <f aca="1">IF(VLOOKUP($H353,INDIRECT("Lookup_"&amp;$B353),IF(LEFT($B353,2)="BS",R$2,R$1),0)="","",VLOOKUP($H353,INDIRECT("Lookup_"&amp;$B353),IF(LEFT($B353,2)="BS",R$2,R$1),0))</f>
        <v>6600</v>
      </c>
      <c r="N353" s="571">
        <f aca="1">IF(VLOOKUP($H353,INDIRECT("Lookup_"&amp;$B353),IF(LEFT($B353,2)="BS",S$2,S$1),0)="","",VLOOKUP($H353,INDIRECT("Lookup_"&amp;$B353),IF(LEFT($B353,2)="BS",S$2,S$1),0))</f>
        <v>150222</v>
      </c>
    </row>
    <row r="354" spans="1:14">
      <c r="A354" t="n">
        <v>364</v>
      </c>
      <c r="B354" t="str">
        <f>VLOOKUP($A354,Aop!$A$2:$P$453,2,0)</f>
        <v>Aneks</v>
      </c>
      <c r="C354" t="n">
        <v>28</v>
      </c>
      <c r="D354" t="str">
        <f aca="1">Podatak_MB</f>
        <v>1062280</v>
      </c>
      <c r="E354" t="str">
        <f aca="1">Podatak_JIB</f>
        <v>4400471400001</v>
      </c>
      <c r="F354" t="b">
        <f aca="1">Konsolidovan_izvjestaj</f>
        <v>0</v>
      </c>
      <c r="G354" s="20">
        <f aca="1">Datum_Broj</f>
        <v>45382</v>
      </c>
      <c r="H354">
        <f>VLOOKUP($A354,Aop!$A$2:$P$453,4,0)</f>
        <v>613</v>
      </c>
      <c r="I354">
        <f aca="1">Godina</f>
        <v>2024</v>
      </c>
      <c r="J354"/>
      <c r="K354"/>
      <c r="L354"/>
      <c r="M354" s="575">
        <f aca="1">IF(VLOOKUP($H354,INDIRECT("Lookup_"&amp;$B354),IF(LEFT($B354,2)="BS",R$2,R$1),0)="","",VLOOKUP($H354,INDIRECT("Lookup_"&amp;$B354),IF(LEFT($B354,2)="BS",R$2,R$1),0))</f>
        <v>65546</v>
      </c>
      <c r="N354" t="str">
        <f aca="1">IF(VLOOKUP($H354,INDIRECT("Lookup_"&amp;$B354),IF(LEFT($B354,2)="BS",S$2,S$1),0)="","",VLOOKUP($H354,INDIRECT("Lookup_"&amp;$B354),IF(LEFT($B354,2)="BS",S$2,S$1),0))</f>
        <v/>
      </c>
    </row>
    <row r="355" spans="1:14">
      <c r="A355" t="n">
        <v>365</v>
      </c>
      <c r="B355" t="str">
        <f>VLOOKUP($A355,Aop!$A$2:$P$453,2,0)</f>
        <v>Aneks</v>
      </c>
      <c r="C355" t="n">
        <v>28</v>
      </c>
      <c r="D355" t="str">
        <f aca="1">Podatak_MB</f>
        <v>1062280</v>
      </c>
      <c r="E355" t="str">
        <f aca="1">Podatak_JIB</f>
        <v>4400471400001</v>
      </c>
      <c r="F355" t="b">
        <f aca="1">Konsolidovan_izvjestaj</f>
        <v>0</v>
      </c>
      <c r="G355" s="20">
        <f aca="1">Datum_Broj</f>
        <v>45382</v>
      </c>
      <c r="H355">
        <f>VLOOKUP($A355,Aop!$A$2:$P$453,4,0)</f>
        <v>614</v>
      </c>
      <c r="I355">
        <f aca="1">Godina</f>
        <v>2024</v>
      </c>
      <c r="J355"/>
      <c r="K355"/>
      <c r="L355"/>
      <c r="M355" s="575">
        <f aca="1">IF(VLOOKUP($H355,INDIRECT("Lookup_"&amp;$B355),IF(LEFT($B355,2)="BS",R$2,R$1),0)="","",VLOOKUP($H355,INDIRECT("Lookup_"&amp;$B355),IF(LEFT($B355,2)="BS",R$2,R$1),0))</f>
        <v>17283</v>
      </c>
      <c r="N355" s="571">
        <f aca="1">IF(VLOOKUP($H355,INDIRECT("Lookup_"&amp;$B355),IF(LEFT($B355,2)="BS",S$2,S$1),0)="","",VLOOKUP($H355,INDIRECT("Lookup_"&amp;$B355),IF(LEFT($B355,2)="BS",S$2,S$1),0))</f>
        <v>10093</v>
      </c>
    </row>
    <row r="356" spans="1:14">
      <c r="A356" t="n">
        <v>366</v>
      </c>
      <c r="B356" t="str">
        <f>VLOOKUP($A356,Aop!$A$2:$P$453,2,0)</f>
        <v>Aneks</v>
      </c>
      <c r="C356" t="n">
        <v>28</v>
      </c>
      <c r="D356" t="str">
        <f aca="1">Podatak_MB</f>
        <v>1062280</v>
      </c>
      <c r="E356" t="str">
        <f aca="1">Podatak_JIB</f>
        <v>4400471400001</v>
      </c>
      <c r="F356" t="b">
        <f aca="1">Konsolidovan_izvjestaj</f>
        <v>0</v>
      </c>
      <c r="G356" s="20">
        <f aca="1">Datum_Broj</f>
        <v>45382</v>
      </c>
      <c r="H356">
        <f>VLOOKUP($A356,Aop!$A$2:$P$453,4,0)</f>
        <v>615</v>
      </c>
      <c r="I356">
        <f aca="1">Godina</f>
        <v>2024</v>
      </c>
      <c r="J356"/>
      <c r="K356"/>
      <c r="L356"/>
      <c r="M356" s="575">
        <f aca="1">IF(VLOOKUP($H356,INDIRECT("Lookup_"&amp;$B356),IF(LEFT($B356,2)="BS",R$2,R$1),0)="","",VLOOKUP($H356,INDIRECT("Lookup_"&amp;$B356),IF(LEFT($B356,2)="BS",R$2,R$1),0))</f>
        <v>15</v>
      </c>
      <c r="N356" s="571">
        <f aca="1">IF(VLOOKUP($H356,INDIRECT("Lookup_"&amp;$B356),IF(LEFT($B356,2)="BS",S$2,S$1),0)="","",VLOOKUP($H356,INDIRECT("Lookup_"&amp;$B356),IF(LEFT($B356,2)="BS",S$2,S$1),0))</f>
        <v>417</v>
      </c>
    </row>
    <row r="357" spans="1:14">
      <c r="A357" t="n">
        <v>367</v>
      </c>
      <c r="B357" t="str">
        <f>VLOOKUP($A357,Aop!$A$2:$P$453,2,0)</f>
        <v>Aneks</v>
      </c>
      <c r="C357" t="n">
        <v>28</v>
      </c>
      <c r="D357" t="str">
        <f aca="1">Podatak_MB</f>
        <v>1062280</v>
      </c>
      <c r="E357" t="str">
        <f aca="1">Podatak_JIB</f>
        <v>4400471400001</v>
      </c>
      <c r="F357" t="b">
        <f aca="1">Konsolidovan_izvjestaj</f>
        <v>0</v>
      </c>
      <c r="G357" s="20">
        <f aca="1">Datum_Broj</f>
        <v>45382</v>
      </c>
      <c r="H357">
        <f>VLOOKUP($A357,Aop!$A$2:$P$453,4,0)</f>
        <v>616</v>
      </c>
      <c r="I357">
        <f aca="1">Godina</f>
        <v>2024</v>
      </c>
      <c r="J357"/>
      <c r="K357"/>
      <c r="L357"/>
      <c r="M357" s="575">
        <f aca="1">IF(VLOOKUP($H357,INDIRECT("Lookup_"&amp;$B357),IF(LEFT($B357,2)="BS",R$2,R$1),0)="","",VLOOKUP($H357,INDIRECT("Lookup_"&amp;$B357),IF(LEFT($B357,2)="BS",R$2,R$1),0))</f>
        <v>6499</v>
      </c>
      <c r="N357" s="571">
        <f aca="1">IF(VLOOKUP($H357,INDIRECT("Lookup_"&amp;$B357),IF(LEFT($B357,2)="BS",S$2,S$1),0)="","",VLOOKUP($H357,INDIRECT("Lookup_"&amp;$B357),IF(LEFT($B357,2)="BS",S$2,S$1),0))</f>
        <v>20345</v>
      </c>
    </row>
    <row r="358" spans="1:14">
      <c r="A358" t="n">
        <v>368</v>
      </c>
      <c r="B358" t="str">
        <f>VLOOKUP($A358,Aop!$A$2:$P$453,2,0)</f>
        <v>Aneks</v>
      </c>
      <c r="C358" t="n">
        <v>28</v>
      </c>
      <c r="D358" t="str">
        <f aca="1">Podatak_MB</f>
        <v>1062280</v>
      </c>
      <c r="E358" t="str">
        <f aca="1">Podatak_JIB</f>
        <v>4400471400001</v>
      </c>
      <c r="F358" t="b">
        <f aca="1">Konsolidovan_izvjestaj</f>
        <v>0</v>
      </c>
      <c r="G358" s="20">
        <f aca="1">Datum_Broj</f>
        <v>45382</v>
      </c>
      <c r="H358">
        <f>VLOOKUP($A358,Aop!$A$2:$P$453,4,0)</f>
        <v>617</v>
      </c>
      <c r="I358">
        <f aca="1">Godina</f>
        <v>2024</v>
      </c>
      <c r="J358"/>
      <c r="K358"/>
      <c r="L358"/>
      <c r="M358" s="571">
        <f aca="1">IF(VLOOKUP($H358,INDIRECT("Lookup_"&amp;$B358),IF(LEFT($B358,2)="BS",R$2,R$1),0)="","",VLOOKUP($H358,INDIRECT("Lookup_"&amp;$B358),IF(LEFT($B358,2)="BS",R$2,R$1),0))</f>
        <v>5463</v>
      </c>
      <c r="N358" s="571">
        <f aca="1">IF(VLOOKUP($H358,INDIRECT("Lookup_"&amp;$B358),IF(LEFT($B358,2)="BS",S$2,S$1),0)="","",VLOOKUP($H358,INDIRECT("Lookup_"&amp;$B358),IF(LEFT($B358,2)="BS",S$2,S$1),0))</f>
        <v>6805</v>
      </c>
    </row>
    <row r="359" spans="1:14">
      <c r="A359" t="n">
        <v>369</v>
      </c>
      <c r="B359" t="str">
        <f>VLOOKUP($A359,Aop!$A$2:$P$453,2,0)</f>
        <v>Aneks</v>
      </c>
      <c r="C359" t="n">
        <v>28</v>
      </c>
      <c r="D359" t="str">
        <f aca="1">Podatak_MB</f>
        <v>1062280</v>
      </c>
      <c r="E359" t="str">
        <f aca="1">Podatak_JIB</f>
        <v>4400471400001</v>
      </c>
      <c r="F359" t="b">
        <f aca="1">Konsolidovan_izvjestaj</f>
        <v>0</v>
      </c>
      <c r="G359" s="20">
        <f aca="1">Datum_Broj</f>
        <v>45382</v>
      </c>
      <c r="H359">
        <f>VLOOKUP($A359,Aop!$A$2:$P$453,4,0)</f>
        <v>618</v>
      </c>
      <c r="I359">
        <f aca="1">Godina</f>
        <v>2024</v>
      </c>
      <c r="J359"/>
      <c r="K359"/>
      <c r="L359"/>
      <c r="M359" s="575">
        <f aca="1">IF(VLOOKUP($H359,INDIRECT("Lookup_"&amp;$B359),IF(LEFT($B359,2)="BS",R$2,R$1),0)="","",VLOOKUP($H359,INDIRECT("Lookup_"&amp;$B359),IF(LEFT($B359,2)="BS",R$2,R$1),0))</f>
        <v>1863</v>
      </c>
      <c r="N359" s="571">
        <f aca="1">IF(VLOOKUP($H359,INDIRECT("Lookup_"&amp;$B359),IF(LEFT($B359,2)="BS",S$2,S$1),0)="","",VLOOKUP($H359,INDIRECT("Lookup_"&amp;$B359),IF(LEFT($B359,2)="BS",S$2,S$1),0))</f>
        <v>3205</v>
      </c>
    </row>
    <row r="360" spans="1:14">
      <c r="A360" t="n">
        <v>370</v>
      </c>
      <c r="B360" t="str">
        <f>VLOOKUP($A360,Aop!$A$2:$P$453,2,0)</f>
        <v>Aneks</v>
      </c>
      <c r="C360" t="n">
        <v>28</v>
      </c>
      <c r="D360" t="str">
        <f aca="1">Podatak_MB</f>
        <v>1062280</v>
      </c>
      <c r="E360" t="str">
        <f aca="1">Podatak_JIB</f>
        <v>4400471400001</v>
      </c>
      <c r="F360" t="b">
        <f aca="1">Konsolidovan_izvjestaj</f>
        <v>0</v>
      </c>
      <c r="G360" s="20">
        <f aca="1">Datum_Broj</f>
        <v>45382</v>
      </c>
      <c r="H360">
        <f>VLOOKUP($A360,Aop!$A$2:$P$453,4,0)</f>
        <v>619</v>
      </c>
      <c r="I360">
        <f aca="1">Godina</f>
        <v>2024</v>
      </c>
      <c r="J360"/>
      <c r="K360"/>
      <c r="L360"/>
      <c r="M360" t="str">
        <f aca="1">IF(VLOOKUP($H360,INDIRECT("Lookup_"&amp;$B360),IF(LEFT($B360,2)="BS",R$2,R$1),0)="","",VLOOKUP($H360,INDIRECT("Lookup_"&amp;$B360),IF(LEFT($B360,2)="BS",R$2,R$1),0))</f>
        <v/>
      </c>
      <c r="N360" s="571">
        <f aca="1">IF(VLOOKUP($H360,INDIRECT("Lookup_"&amp;$B360),IF(LEFT($B360,2)="BS",S$2,S$1),0)="","",VLOOKUP($H360,INDIRECT("Lookup_"&amp;$B360),IF(LEFT($B360,2)="BS",S$2,S$1),0))</f>
        <v>3205</v>
      </c>
    </row>
    <row r="361" spans="1:14">
      <c r="A361" t="n">
        <v>371</v>
      </c>
      <c r="B361" t="str">
        <f>VLOOKUP($A361,Aop!$A$2:$P$453,2,0)</f>
        <v>Aneks</v>
      </c>
      <c r="C361" t="n">
        <v>28</v>
      </c>
      <c r="D361" t="str">
        <f aca="1">Podatak_MB</f>
        <v>1062280</v>
      </c>
      <c r="E361" t="str">
        <f aca="1">Podatak_JIB</f>
        <v>4400471400001</v>
      </c>
      <c r="F361" t="b">
        <f aca="1">Konsolidovan_izvjestaj</f>
        <v>0</v>
      </c>
      <c r="G361" s="20">
        <f aca="1">Datum_Broj</f>
        <v>45382</v>
      </c>
      <c r="H361">
        <f>VLOOKUP($A361,Aop!$A$2:$P$453,4,0)</f>
        <v>620</v>
      </c>
      <c r="I361">
        <f aca="1">Godina</f>
        <v>2024</v>
      </c>
      <c r="J361"/>
      <c r="K361"/>
      <c r="L361"/>
      <c r="M361" t="str">
        <f aca="1">IF(VLOOKUP($H361,INDIRECT("Lookup_"&amp;$B361),IF(LEFT($B361,2)="BS",R$2,R$1),0)="","",VLOOKUP($H361,INDIRECT("Lookup_"&amp;$B361),IF(LEFT($B361,2)="BS",R$2,R$1),0))</f>
        <v/>
      </c>
      <c r="N361" t="str">
        <f aca="1">IF(VLOOKUP($H361,INDIRECT("Lookup_"&amp;$B361),IF(LEFT($B361,2)="BS",S$2,S$1),0)="","",VLOOKUP($H361,INDIRECT("Lookup_"&amp;$B361),IF(LEFT($B361,2)="BS",S$2,S$1),0))</f>
        <v/>
      </c>
    </row>
    <row r="362" spans="1:14">
      <c r="A362" t="n">
        <v>372</v>
      </c>
      <c r="B362" t="str">
        <f>VLOOKUP($A362,Aop!$A$2:$P$453,2,0)</f>
        <v>Aneks</v>
      </c>
      <c r="C362" t="n">
        <v>28</v>
      </c>
      <c r="D362" t="str">
        <f aca="1">Podatak_MB</f>
        <v>1062280</v>
      </c>
      <c r="E362" t="str">
        <f aca="1">Podatak_JIB</f>
        <v>4400471400001</v>
      </c>
      <c r="F362" t="b">
        <f aca="1">Konsolidovan_izvjestaj</f>
        <v>0</v>
      </c>
      <c r="G362" s="20">
        <f aca="1">Datum_Broj</f>
        <v>45382</v>
      </c>
      <c r="H362">
        <f>VLOOKUP($A362,Aop!$A$2:$P$453,4,0)</f>
        <v>621</v>
      </c>
      <c r="I362">
        <f aca="1">Godina</f>
        <v>2024</v>
      </c>
      <c r="J362"/>
      <c r="K362"/>
      <c r="L362"/>
      <c r="M362" s="575">
        <f aca="1">IF(VLOOKUP($H362,INDIRECT("Lookup_"&amp;$B362),IF(LEFT($B362,2)="BS",R$2,R$1),0)="","",VLOOKUP($H362,INDIRECT("Lookup_"&amp;$B362),IF(LEFT($B362,2)="BS",R$2,R$1),0))</f>
        <v>3600</v>
      </c>
      <c r="N362" s="571">
        <f aca="1">IF(VLOOKUP($H362,INDIRECT("Lookup_"&amp;$B362),IF(LEFT($B362,2)="BS",S$2,S$1),0)="","",VLOOKUP($H362,INDIRECT("Lookup_"&amp;$B362),IF(LEFT($B362,2)="BS",S$2,S$1),0))</f>
        <v>3600</v>
      </c>
    </row>
    <row r="363" spans="1:14">
      <c r="A363" t="n">
        <v>373</v>
      </c>
      <c r="B363" t="str">
        <f>VLOOKUP($A363,Aop!$A$2:$P$453,2,0)</f>
        <v>Aneks</v>
      </c>
      <c r="C363" t="n">
        <v>28</v>
      </c>
      <c r="D363" t="str">
        <f aca="1">Podatak_MB</f>
        <v>1062280</v>
      </c>
      <c r="E363" t="str">
        <f aca="1">Podatak_JIB</f>
        <v>4400471400001</v>
      </c>
      <c r="F363" t="b">
        <f aca="1">Konsolidovan_izvjestaj</f>
        <v>0</v>
      </c>
      <c r="G363" s="20">
        <f aca="1">Datum_Broj</f>
        <v>45382</v>
      </c>
      <c r="H363">
        <f>VLOOKUP($A363,Aop!$A$2:$P$453,4,0)</f>
        <v>622</v>
      </c>
      <c r="I363">
        <f aca="1">Godina</f>
        <v>2024</v>
      </c>
      <c r="J363"/>
      <c r="K363"/>
      <c r="L363"/>
      <c r="M363" t="str">
        <f aca="1">IF(VLOOKUP($H363,INDIRECT("Lookup_"&amp;$B363),IF(LEFT($B363,2)="BS",R$2,R$1),0)="","",VLOOKUP($H363,INDIRECT("Lookup_"&amp;$B363),IF(LEFT($B363,2)="BS",R$2,R$1),0))</f>
        <v/>
      </c>
      <c r="N363" t="str">
        <f aca="1">IF(VLOOKUP($H363,INDIRECT("Lookup_"&amp;$B363),IF(LEFT($B363,2)="BS",S$2,S$1),0)="","",VLOOKUP($H363,INDIRECT("Lookup_"&amp;$B363),IF(LEFT($B363,2)="BS",S$2,S$1),0))</f>
        <v/>
      </c>
    </row>
    <row r="364" spans="1:14">
      <c r="A364" t="n">
        <v>374</v>
      </c>
      <c r="B364" t="str">
        <f>VLOOKUP($A364,Aop!$A$2:$P$453,2,0)</f>
        <v>Aneks</v>
      </c>
      <c r="C364" t="n">
        <v>28</v>
      </c>
      <c r="D364" t="str">
        <f aca="1">Podatak_MB</f>
        <v>1062280</v>
      </c>
      <c r="E364" t="str">
        <f aca="1">Podatak_JIB</f>
        <v>4400471400001</v>
      </c>
      <c r="F364" t="b">
        <f aca="1">Konsolidovan_izvjestaj</f>
        <v>0</v>
      </c>
      <c r="G364" s="20">
        <f aca="1">Datum_Broj</f>
        <v>45382</v>
      </c>
      <c r="H364">
        <f>VLOOKUP($A364,Aop!$A$2:$P$453,4,0)</f>
        <v>623</v>
      </c>
      <c r="I364">
        <f aca="1">Godina</f>
        <v>2024</v>
      </c>
      <c r="J364"/>
      <c r="K364"/>
      <c r="L364"/>
      <c r="M364" t="str">
        <f aca="1">IF(VLOOKUP($H364,INDIRECT("Lookup_"&amp;$B364),IF(LEFT($B364,2)="BS",R$2,R$1),0)="","",VLOOKUP($H364,INDIRECT("Lookup_"&amp;$B364),IF(LEFT($B364,2)="BS",R$2,R$1),0))</f>
        <v/>
      </c>
      <c r="N364" t="str">
        <f aca="1">IF(VLOOKUP($H364,INDIRECT("Lookup_"&amp;$B364),IF(LEFT($B364,2)="BS",S$2,S$1),0)="","",VLOOKUP($H364,INDIRECT("Lookup_"&amp;$B364),IF(LEFT($B364,2)="BS",S$2,S$1),0))</f>
        <v/>
      </c>
    </row>
    <row r="365" spans="1:14">
      <c r="A365" t="n">
        <v>375</v>
      </c>
      <c r="B365" t="str">
        <f>VLOOKUP($A365,Aop!$A$2:$P$453,2,0)</f>
        <v>Aneks</v>
      </c>
      <c r="C365" t="n">
        <v>28</v>
      </c>
      <c r="D365" t="str">
        <f aca="1">Podatak_MB</f>
        <v>1062280</v>
      </c>
      <c r="E365" t="str">
        <f aca="1">Podatak_JIB</f>
        <v>4400471400001</v>
      </c>
      <c r="F365" t="b">
        <f aca="1">Konsolidovan_izvjestaj</f>
        <v>0</v>
      </c>
      <c r="G365" s="20">
        <f aca="1">Datum_Broj</f>
        <v>45382</v>
      </c>
      <c r="H365">
        <f>VLOOKUP($A365,Aop!$A$2:$P$453,4,0)</f>
        <v>624</v>
      </c>
      <c r="I365">
        <f aca="1">Godina</f>
        <v>2024</v>
      </c>
      <c r="J365"/>
      <c r="K365"/>
      <c r="L365"/>
      <c r="M365" t="str">
        <f aca="1">IF(VLOOKUP($H365,INDIRECT("Lookup_"&amp;$B365),IF(LEFT($B365,2)="BS",R$2,R$1),0)="","",VLOOKUP($H365,INDIRECT("Lookup_"&amp;$B365),IF(LEFT($B365,2)="BS",R$2,R$1),0))</f>
        <v/>
      </c>
      <c r="N365" t="str">
        <f aca="1">IF(VLOOKUP($H365,INDIRECT("Lookup_"&amp;$B365),IF(LEFT($B365,2)="BS",S$2,S$1),0)="","",VLOOKUP($H365,INDIRECT("Lookup_"&amp;$B365),IF(LEFT($B365,2)="BS",S$2,S$1),0))</f>
        <v/>
      </c>
    </row>
    <row r="366" spans="1:14">
      <c r="A366" t="n">
        <v>376</v>
      </c>
      <c r="B366" t="str">
        <f>VLOOKUP($A366,Aop!$A$2:$P$453,2,0)</f>
        <v>Aneks</v>
      </c>
      <c r="C366" t="n">
        <v>28</v>
      </c>
      <c r="D366" t="str">
        <f aca="1">Podatak_MB</f>
        <v>1062280</v>
      </c>
      <c r="E366" t="str">
        <f aca="1">Podatak_JIB</f>
        <v>4400471400001</v>
      </c>
      <c r="F366" t="b">
        <f aca="1">Konsolidovan_izvjestaj</f>
        <v>0</v>
      </c>
      <c r="G366" s="20">
        <f aca="1">Datum_Broj</f>
        <v>45382</v>
      </c>
      <c r="H366">
        <f>VLOOKUP($A366,Aop!$A$2:$P$453,4,0)</f>
        <v>625</v>
      </c>
      <c r="I366">
        <f aca="1">Godina</f>
        <v>2024</v>
      </c>
      <c r="J366"/>
      <c r="K366"/>
      <c r="L366"/>
      <c r="M366" t="str">
        <f aca="1">IF(VLOOKUP($H366,INDIRECT("Lookup_"&amp;$B366),IF(LEFT($B366,2)="BS",R$2,R$1),0)="","",VLOOKUP($H366,INDIRECT("Lookup_"&amp;$B366),IF(LEFT($B366,2)="BS",R$2,R$1),0))</f>
        <v/>
      </c>
      <c r="N366" t="str">
        <f aca="1">IF(VLOOKUP($H366,INDIRECT("Lookup_"&amp;$B366),IF(LEFT($B366,2)="BS",S$2,S$1),0)="","",VLOOKUP($H366,INDIRECT("Lookup_"&amp;$B366),IF(LEFT($B366,2)="BS",S$2,S$1),0))</f>
        <v/>
      </c>
    </row>
    <row r="367" spans="1:14">
      <c r="A367" t="n">
        <v>377</v>
      </c>
      <c r="B367" t="str">
        <f>VLOOKUP($A367,Aop!$A$2:$P$453,2,0)</f>
        <v>Aneks</v>
      </c>
      <c r="C367" t="n">
        <v>28</v>
      </c>
      <c r="D367" t="str">
        <f aca="1">Podatak_MB</f>
        <v>1062280</v>
      </c>
      <c r="E367" t="str">
        <f aca="1">Podatak_JIB</f>
        <v>4400471400001</v>
      </c>
      <c r="F367" t="b">
        <f aca="1">Konsolidovan_izvjestaj</f>
        <v>0</v>
      </c>
      <c r="G367" s="20">
        <f aca="1">Datum_Broj</f>
        <v>45382</v>
      </c>
      <c r="H367">
        <f>VLOOKUP($A367,Aop!$A$2:$P$453,4,0)</f>
        <v>626</v>
      </c>
      <c r="I367">
        <f aca="1">Godina</f>
        <v>2024</v>
      </c>
      <c r="J367"/>
      <c r="K367"/>
      <c r="L367"/>
      <c r="M367" t="str">
        <f aca="1">IF(VLOOKUP($H367,INDIRECT("Lookup_"&amp;$B367),IF(LEFT($B367,2)="BS",R$2,R$1),0)="","",VLOOKUP($H367,INDIRECT("Lookup_"&amp;$B367),IF(LEFT($B367,2)="BS",R$2,R$1),0))</f>
        <v/>
      </c>
      <c r="N367" t="str">
        <f aca="1">IF(VLOOKUP($H367,INDIRECT("Lookup_"&amp;$B367),IF(LEFT($B367,2)="BS",S$2,S$1),0)="","",VLOOKUP($H367,INDIRECT("Lookup_"&amp;$B367),IF(LEFT($B367,2)="BS",S$2,S$1),0))</f>
        <v/>
      </c>
    </row>
    <row r="368" spans="1:14">
      <c r="A368" t="n">
        <v>378</v>
      </c>
      <c r="B368" t="str">
        <f>VLOOKUP($A368,Aop!$A$2:$P$453,2,0)</f>
        <v>Aneks</v>
      </c>
      <c r="C368" t="n">
        <v>28</v>
      </c>
      <c r="D368" t="str">
        <f aca="1">Podatak_MB</f>
        <v>1062280</v>
      </c>
      <c r="E368" t="str">
        <f aca="1">Podatak_JIB</f>
        <v>4400471400001</v>
      </c>
      <c r="F368" t="b">
        <f aca="1">Konsolidovan_izvjestaj</f>
        <v>0</v>
      </c>
      <c r="G368" s="20">
        <f aca="1">Datum_Broj</f>
        <v>45382</v>
      </c>
      <c r="H368">
        <f>VLOOKUP($A368,Aop!$A$2:$P$453,4,0)</f>
        <v>627</v>
      </c>
      <c r="I368">
        <f aca="1">Godina</f>
        <v>2024</v>
      </c>
      <c r="J368"/>
      <c r="K368"/>
      <c r="L368"/>
      <c r="M368" t="str">
        <f aca="1">IF(VLOOKUP($H368,INDIRECT("Lookup_"&amp;$B368),IF(LEFT($B368,2)="BS",R$2,R$1),0)="","",VLOOKUP($H368,INDIRECT("Lookup_"&amp;$B368),IF(LEFT($B368,2)="BS",R$2,R$1),0))</f>
        <v/>
      </c>
      <c r="N368" t="str">
        <f aca="1">IF(VLOOKUP($H368,INDIRECT("Lookup_"&amp;$B368),IF(LEFT($B368,2)="BS",S$2,S$1),0)="","",VLOOKUP($H368,INDIRECT("Lookup_"&amp;$B368),IF(LEFT($B368,2)="BS",S$2,S$1),0))</f>
        <v/>
      </c>
    </row>
    <row r="369" spans="1:14">
      <c r="A369" t="n">
        <v>379</v>
      </c>
      <c r="B369" t="str">
        <f>VLOOKUP($A369,Aop!$A$2:$P$453,2,0)</f>
        <v>Aneks</v>
      </c>
      <c r="C369" t="n">
        <v>28</v>
      </c>
      <c r="D369" t="str">
        <f aca="1">Podatak_MB</f>
        <v>1062280</v>
      </c>
      <c r="E369" t="str">
        <f aca="1">Podatak_JIB</f>
        <v>4400471400001</v>
      </c>
      <c r="F369" t="b">
        <f aca="1">Konsolidovan_izvjestaj</f>
        <v>0</v>
      </c>
      <c r="G369" s="20">
        <f aca="1">Datum_Broj</f>
        <v>45382</v>
      </c>
      <c r="H369">
        <f>VLOOKUP($A369,Aop!$A$2:$P$453,4,0)</f>
        <v>628</v>
      </c>
      <c r="I369">
        <f aca="1">Godina</f>
        <v>2024</v>
      </c>
      <c r="J369"/>
      <c r="K369"/>
      <c r="L369"/>
      <c r="M369" t="str">
        <f aca="1">IF(VLOOKUP($H369,INDIRECT("Lookup_"&amp;$B369),IF(LEFT($B369,2)="BS",R$2,R$1),0)="","",VLOOKUP($H369,INDIRECT("Lookup_"&amp;$B369),IF(LEFT($B369,2)="BS",R$2,R$1),0))</f>
        <v/>
      </c>
      <c r="N369" t="str">
        <f aca="1">IF(VLOOKUP($H369,INDIRECT("Lookup_"&amp;$B369),IF(LEFT($B369,2)="BS",S$2,S$1),0)="","",VLOOKUP($H369,INDIRECT("Lookup_"&amp;$B369),IF(LEFT($B369,2)="BS",S$2,S$1),0))</f>
        <v/>
      </c>
    </row>
    <row r="370" spans="1:14">
      <c r="A370" t="n">
        <v>380</v>
      </c>
      <c r="B370" t="str">
        <f>VLOOKUP($A370,Aop!$A$2:$P$453,2,0)</f>
        <v>Aneks</v>
      </c>
      <c r="C370" t="n">
        <v>28</v>
      </c>
      <c r="D370" t="str">
        <f aca="1">Podatak_MB</f>
        <v>1062280</v>
      </c>
      <c r="E370" t="str">
        <f aca="1">Podatak_JIB</f>
        <v>4400471400001</v>
      </c>
      <c r="F370" t="b">
        <f aca="1">Konsolidovan_izvjestaj</f>
        <v>0</v>
      </c>
      <c r="G370" s="20">
        <f aca="1">Datum_Broj</f>
        <v>45382</v>
      </c>
      <c r="H370">
        <f>VLOOKUP($A370,Aop!$A$2:$P$453,4,0)</f>
        <v>629</v>
      </c>
      <c r="I370">
        <f aca="1">Godina</f>
        <v>2024</v>
      </c>
      <c r="J370"/>
      <c r="K370"/>
      <c r="L370"/>
      <c r="M370" s="575">
        <f aca="1">IF(VLOOKUP($H370,INDIRECT("Lookup_"&amp;$B370),IF(LEFT($B370,2)="BS",R$2,R$1),0)="","",VLOOKUP($H370,INDIRECT("Lookup_"&amp;$B370),IF(LEFT($B370,2)="BS",R$2,R$1),0))</f>
        <v>17502</v>
      </c>
      <c r="N370" s="571">
        <f aca="1">IF(VLOOKUP($H370,INDIRECT("Lookup_"&amp;$B370),IF(LEFT($B370,2)="BS",S$2,S$1),0)="","",VLOOKUP($H370,INDIRECT("Lookup_"&amp;$B370),IF(LEFT($B370,2)="BS",S$2,S$1),0))</f>
        <v>37</v>
      </c>
    </row>
    <row r="371" spans="1:14">
      <c r="A371" t="n">
        <v>381</v>
      </c>
      <c r="B371" t="str">
        <f>VLOOKUP($A371,Aop!$A$2:$P$453,2,0)</f>
        <v>Aneks</v>
      </c>
      <c r="C371" t="n">
        <v>28</v>
      </c>
      <c r="D371" t="str">
        <f aca="1">Podatak_MB</f>
        <v>1062280</v>
      </c>
      <c r="E371" t="str">
        <f aca="1">Podatak_JIB</f>
        <v>4400471400001</v>
      </c>
      <c r="F371" t="b">
        <f aca="1">Konsolidovan_izvjestaj</f>
        <v>0</v>
      </c>
      <c r="G371" s="20">
        <f aca="1">Datum_Broj</f>
        <v>45382</v>
      </c>
      <c r="H371">
        <f>VLOOKUP($A371,Aop!$A$2:$P$453,4,0)</f>
        <v>630</v>
      </c>
      <c r="I371">
        <f aca="1">Godina</f>
        <v>2024</v>
      </c>
      <c r="J371"/>
      <c r="K371"/>
      <c r="L371"/>
      <c r="M371" s="575">
        <f aca="1">IF(VLOOKUP($H371,INDIRECT("Lookup_"&amp;$B371),IF(LEFT($B371,2)="BS",R$2,R$1),0)="","",VLOOKUP($H371,INDIRECT("Lookup_"&amp;$B371),IF(LEFT($B371,2)="BS",R$2,R$1),0))</f>
        <v>17502</v>
      </c>
      <c r="N371" t="str">
        <f aca="1">IF(VLOOKUP($H371,INDIRECT("Lookup_"&amp;$B371),IF(LEFT($B371,2)="BS",S$2,S$1),0)="","",VLOOKUP($H371,INDIRECT("Lookup_"&amp;$B371),IF(LEFT($B371,2)="BS",S$2,S$1),0))</f>
        <v/>
      </c>
    </row>
    <row r="372" spans="1:14">
      <c r="A372" t="n">
        <v>382</v>
      </c>
      <c r="B372" t="str">
        <f>VLOOKUP($A372,Aop!$A$2:$P$453,2,0)</f>
        <v>Aneks</v>
      </c>
      <c r="C372" t="n">
        <v>28</v>
      </c>
      <c r="D372" t="str">
        <f aca="1">Podatak_MB</f>
        <v>1062280</v>
      </c>
      <c r="E372" t="str">
        <f aca="1">Podatak_JIB</f>
        <v>4400471400001</v>
      </c>
      <c r="F372" t="b">
        <f aca="1">Konsolidovan_izvjestaj</f>
        <v>0</v>
      </c>
      <c r="G372" s="20">
        <f aca="1">Datum_Broj</f>
        <v>45382</v>
      </c>
      <c r="H372">
        <f>VLOOKUP($A372,Aop!$A$2:$P$453,4,0)</f>
        <v>631</v>
      </c>
      <c r="I372">
        <f aca="1">Godina</f>
        <v>2024</v>
      </c>
      <c r="J372"/>
      <c r="K372"/>
      <c r="L372"/>
      <c r="M372" t="str">
        <f aca="1">IF(VLOOKUP($H372,INDIRECT("Lookup_"&amp;$B372),IF(LEFT($B372,2)="BS",R$2,R$1),0)="","",VLOOKUP($H372,INDIRECT("Lookup_"&amp;$B372),IF(LEFT($B372,2)="BS",R$2,R$1),0))</f>
        <v/>
      </c>
      <c r="N372" t="str">
        <f aca="1">IF(VLOOKUP($H372,INDIRECT("Lookup_"&amp;$B372),IF(LEFT($B372,2)="BS",S$2,S$1),0)="","",VLOOKUP($H372,INDIRECT("Lookup_"&amp;$B372),IF(LEFT($B372,2)="BS",S$2,S$1),0))</f>
        <v/>
      </c>
    </row>
    <row r="373" spans="1:14">
      <c r="A373" t="n">
        <v>383</v>
      </c>
      <c r="B373" t="str">
        <f>VLOOKUP($A373,Aop!$A$2:$P$453,2,0)</f>
        <v>Aneks</v>
      </c>
      <c r="C373" t="n">
        <v>28</v>
      </c>
      <c r="D373" t="str">
        <f aca="1">Podatak_MB</f>
        <v>1062280</v>
      </c>
      <c r="E373" t="str">
        <f aca="1">Podatak_JIB</f>
        <v>4400471400001</v>
      </c>
      <c r="F373" t="b">
        <f aca="1">Konsolidovan_izvjestaj</f>
        <v>0</v>
      </c>
      <c r="G373" s="20">
        <f aca="1">Datum_Broj</f>
        <v>45382</v>
      </c>
      <c r="H373">
        <f>VLOOKUP($A373,Aop!$A$2:$P$453,4,0)</f>
        <v>632</v>
      </c>
      <c r="I373">
        <f aca="1">Godina</f>
        <v>2024</v>
      </c>
      <c r="J373"/>
      <c r="K373"/>
      <c r="L373"/>
      <c r="M373" s="575">
        <f aca="1">IF(VLOOKUP($H373,INDIRECT("Lookup_"&amp;$B373),IF(LEFT($B373,2)="BS",R$2,R$1),0)="","",VLOOKUP($H373,INDIRECT("Lookup_"&amp;$B373),IF(LEFT($B373,2)="BS",R$2,R$1),0))</f>
        <v>104220</v>
      </c>
      <c r="N373" s="571">
        <f aca="1">IF(VLOOKUP($H373,INDIRECT("Lookup_"&amp;$B373),IF(LEFT($B373,2)="BS",S$2,S$1),0)="","",VLOOKUP($H373,INDIRECT("Lookup_"&amp;$B373),IF(LEFT($B373,2)="BS",S$2,S$1),0))</f>
        <v>92336</v>
      </c>
    </row>
    <row r="374" spans="1:14">
      <c r="A374" t="n">
        <v>384</v>
      </c>
      <c r="B374" t="str">
        <f>VLOOKUP($A374,Aop!$A$2:$P$453,2,0)</f>
        <v>Aneks</v>
      </c>
      <c r="C374" t="n">
        <v>28</v>
      </c>
      <c r="D374" t="str">
        <f aca="1">Podatak_MB</f>
        <v>1062280</v>
      </c>
      <c r="E374" t="str">
        <f aca="1">Podatak_JIB</f>
        <v>4400471400001</v>
      </c>
      <c r="F374" t="b">
        <f aca="1">Konsolidovan_izvjestaj</f>
        <v>0</v>
      </c>
      <c r="G374" s="20">
        <f aca="1">Datum_Broj</f>
        <v>45382</v>
      </c>
      <c r="H374">
        <f>VLOOKUP($A374,Aop!$A$2:$P$453,4,0)</f>
        <v>633</v>
      </c>
      <c r="I374">
        <f aca="1">Godina</f>
        <v>2024</v>
      </c>
      <c r="J374"/>
      <c r="K374"/>
      <c r="L374"/>
      <c r="M374" s="575">
        <f aca="1">IF(VLOOKUP($H374,INDIRECT("Lookup_"&amp;$B374),IF(LEFT($B374,2)="BS",R$2,R$1),0)="","",VLOOKUP($H374,INDIRECT("Lookup_"&amp;$B374),IF(LEFT($B374,2)="BS",R$2,R$1),0))</f>
        <v>2699</v>
      </c>
      <c r="N374" s="571">
        <f aca="1">IF(VLOOKUP($H374,INDIRECT("Lookup_"&amp;$B374),IF(LEFT($B374,2)="BS",S$2,S$1),0)="","",VLOOKUP($H374,INDIRECT("Lookup_"&amp;$B374),IF(LEFT($B374,2)="BS",S$2,S$1),0))</f>
        <v>2697</v>
      </c>
    </row>
    <row r="375" spans="1:14">
      <c r="A375" t="n">
        <v>385</v>
      </c>
      <c r="B375" t="str">
        <f>VLOOKUP($A375,Aop!$A$2:$P$453,2,0)</f>
        <v>Aneks</v>
      </c>
      <c r="C375" t="n">
        <v>28</v>
      </c>
      <c r="D375" t="str">
        <f aca="1">Podatak_MB</f>
        <v>1062280</v>
      </c>
      <c r="E375" t="str">
        <f aca="1">Podatak_JIB</f>
        <v>4400471400001</v>
      </c>
      <c r="F375" t="b">
        <f aca="1">Konsolidovan_izvjestaj</f>
        <v>0</v>
      </c>
      <c r="G375" s="20">
        <f aca="1">Datum_Broj</f>
        <v>45382</v>
      </c>
      <c r="H375">
        <f>VLOOKUP($A375,Aop!$A$2:$P$453,4,0)</f>
        <v>634</v>
      </c>
      <c r="I375">
        <f aca="1">Godina</f>
        <v>2024</v>
      </c>
      <c r="J375"/>
      <c r="K375"/>
      <c r="L375"/>
      <c r="M375" t="str">
        <f aca="1">IF(VLOOKUP($H375,INDIRECT("Lookup_"&amp;$B375),IF(LEFT($B375,2)="BS",R$2,R$1),0)="","",VLOOKUP($H375,INDIRECT("Lookup_"&amp;$B375),IF(LEFT($B375,2)="BS",R$2,R$1),0))</f>
        <v/>
      </c>
      <c r="N375" t="str">
        <f aca="1">IF(VLOOKUP($H375,INDIRECT("Lookup_"&amp;$B375),IF(LEFT($B375,2)="BS",S$2,S$1),0)="","",VLOOKUP($H375,INDIRECT("Lookup_"&amp;$B375),IF(LEFT($B375,2)="BS",S$2,S$1),0))</f>
        <v/>
      </c>
    </row>
    <row r="376" spans="1:14">
      <c r="A376" t="n">
        <v>386</v>
      </c>
      <c r="B376" t="str">
        <f>VLOOKUP($A376,Aop!$A$2:$P$453,2,0)</f>
        <v>Aneks</v>
      </c>
      <c r="C376" t="n">
        <v>28</v>
      </c>
      <c r="D376" t="str">
        <f aca="1">Podatak_MB</f>
        <v>1062280</v>
      </c>
      <c r="E376" t="str">
        <f aca="1">Podatak_JIB</f>
        <v>4400471400001</v>
      </c>
      <c r="F376" t="b">
        <f aca="1">Konsolidovan_izvjestaj</f>
        <v>0</v>
      </c>
      <c r="G376" s="20">
        <f aca="1">Datum_Broj</f>
        <v>45382</v>
      </c>
      <c r="H376">
        <f>VLOOKUP($A376,Aop!$A$2:$P$453,4,0)</f>
        <v>635</v>
      </c>
      <c r="I376">
        <f aca="1">Godina</f>
        <v>2024</v>
      </c>
      <c r="J376"/>
      <c r="K376"/>
      <c r="L376"/>
      <c r="M376" t="str">
        <f aca="1">IF(VLOOKUP($H376,INDIRECT("Lookup_"&amp;$B376),IF(LEFT($B376,2)="BS",R$2,R$1),0)="","",VLOOKUP($H376,INDIRECT("Lookup_"&amp;$B376),IF(LEFT($B376,2)="BS",R$2,R$1),0))</f>
        <v/>
      </c>
      <c r="N376" t="str">
        <f aca="1">IF(VLOOKUP($H376,INDIRECT("Lookup_"&amp;$B376),IF(LEFT($B376,2)="BS",S$2,S$1),0)="","",VLOOKUP($H376,INDIRECT("Lookup_"&amp;$B376),IF(LEFT($B376,2)="BS",S$2,S$1),0))</f>
        <v/>
      </c>
    </row>
    <row r="377" spans="1:14">
      <c r="A377" t="n">
        <v>387</v>
      </c>
      <c r="B377" t="str">
        <f>VLOOKUP($A377,Aop!$A$2:$P$453,2,0)</f>
        <v>Aneks</v>
      </c>
      <c r="C377" t="n">
        <v>28</v>
      </c>
      <c r="D377" t="str">
        <f aca="1">Podatak_MB</f>
        <v>1062280</v>
      </c>
      <c r="E377" t="str">
        <f aca="1">Podatak_JIB</f>
        <v>4400471400001</v>
      </c>
      <c r="F377" t="b">
        <f aca="1">Konsolidovan_izvjestaj</f>
        <v>0</v>
      </c>
      <c r="G377" s="20">
        <f aca="1">Datum_Broj</f>
        <v>45382</v>
      </c>
      <c r="H377">
        <f>VLOOKUP($A377,Aop!$A$2:$P$453,4,0)</f>
        <v>636</v>
      </c>
      <c r="I377">
        <f aca="1">Godina</f>
        <v>2024</v>
      </c>
      <c r="J377"/>
      <c r="K377"/>
      <c r="L377"/>
      <c r="M377" s="571">
        <f aca="1">IF(VLOOKUP($H377,INDIRECT("Lookup_"&amp;$B377),IF(LEFT($B377,2)="BS",R$2,R$1),0)="","",VLOOKUP($H377,INDIRECT("Lookup_"&amp;$B377),IF(LEFT($B377,2)="BS",R$2,R$1),0))</f>
        <v>4569</v>
      </c>
      <c r="N377" s="571">
        <f aca="1">IF(VLOOKUP($H377,INDIRECT("Lookup_"&amp;$B377),IF(LEFT($B377,2)="BS",S$2,S$1),0)="","",VLOOKUP($H377,INDIRECT("Lookup_"&amp;$B377),IF(LEFT($B377,2)="BS",S$2,S$1),0))</f>
        <v>4213</v>
      </c>
    </row>
    <row r="378" spans="1:14">
      <c r="A378" t="n">
        <v>388</v>
      </c>
      <c r="B378" t="str">
        <f>VLOOKUP($A378,Aop!$A$2:$P$453,2,0)</f>
        <v>Aneks</v>
      </c>
      <c r="C378" t="n">
        <v>28</v>
      </c>
      <c r="D378" t="str">
        <f aca="1">Podatak_MB</f>
        <v>1062280</v>
      </c>
      <c r="E378" t="str">
        <f aca="1">Podatak_JIB</f>
        <v>4400471400001</v>
      </c>
      <c r="F378" t="b">
        <f aca="1">Konsolidovan_izvjestaj</f>
        <v>0</v>
      </c>
      <c r="G378" s="20">
        <f aca="1">Datum_Broj</f>
        <v>45382</v>
      </c>
      <c r="H378">
        <f>VLOOKUP($A378,Aop!$A$2:$P$453,4,0)</f>
        <v>637</v>
      </c>
      <c r="I378">
        <f aca="1">Godina</f>
        <v>2024</v>
      </c>
      <c r="J378"/>
      <c r="K378"/>
      <c r="L378"/>
      <c r="M378" t="str">
        <f aca="1">IF(VLOOKUP($H378,INDIRECT("Lookup_"&amp;$B378),IF(LEFT($B378,2)="BS",R$2,R$1),0)="","",VLOOKUP($H378,INDIRECT("Lookup_"&amp;$B378),IF(LEFT($B378,2)="BS",R$2,R$1),0))</f>
        <v/>
      </c>
      <c r="N378" t="str">
        <f aca="1">IF(VLOOKUP($H378,INDIRECT("Lookup_"&amp;$B378),IF(LEFT($B378,2)="BS",S$2,S$1),0)="","",VLOOKUP($H378,INDIRECT("Lookup_"&amp;$B378),IF(LEFT($B378,2)="BS",S$2,S$1),0))</f>
        <v/>
      </c>
    </row>
    <row r="379" spans="1:14">
      <c r="A379" t="n">
        <v>389</v>
      </c>
      <c r="B379" t="str">
        <f>VLOOKUP($A379,Aop!$A$2:$P$453,2,0)</f>
        <v>Aneks</v>
      </c>
      <c r="C379" t="n">
        <v>28</v>
      </c>
      <c r="D379" t="str">
        <f aca="1">Podatak_MB</f>
        <v>1062280</v>
      </c>
      <c r="E379" t="str">
        <f aca="1">Podatak_JIB</f>
        <v>4400471400001</v>
      </c>
      <c r="F379" t="b">
        <f aca="1">Konsolidovan_izvjestaj</f>
        <v>0</v>
      </c>
      <c r="G379" s="20">
        <f aca="1">Datum_Broj</f>
        <v>45382</v>
      </c>
      <c r="H379">
        <f>VLOOKUP($A379,Aop!$A$2:$P$453,4,0)</f>
        <v>638</v>
      </c>
      <c r="I379">
        <f aca="1">Godina</f>
        <v>2024</v>
      </c>
      <c r="J379"/>
      <c r="K379"/>
      <c r="L379"/>
      <c r="M379" s="575">
        <f aca="1">IF(VLOOKUP($H379,INDIRECT("Lookup_"&amp;$B379),IF(LEFT($B379,2)="BS",R$2,R$1),0)="","",VLOOKUP($H379,INDIRECT("Lookup_"&amp;$B379),IF(LEFT($B379,2)="BS",R$2,R$1),0))</f>
        <v>1612</v>
      </c>
      <c r="N379" s="571">
        <f aca="1">IF(VLOOKUP($H379,INDIRECT("Lookup_"&amp;$B379),IF(LEFT($B379,2)="BS",S$2,S$1),0)="","",VLOOKUP($H379,INDIRECT("Lookup_"&amp;$B379),IF(LEFT($B379,2)="BS",S$2,S$1),0))</f>
        <v>1336</v>
      </c>
    </row>
    <row r="380" spans="1:14">
      <c r="A380" t="n">
        <v>390</v>
      </c>
      <c r="B380" t="str">
        <f>VLOOKUP($A380,Aop!$A$2:$P$453,2,0)</f>
        <v>Aneks</v>
      </c>
      <c r="C380" t="n">
        <v>28</v>
      </c>
      <c r="D380" t="str">
        <f aca="1">Podatak_MB</f>
        <v>1062280</v>
      </c>
      <c r="E380" t="str">
        <f aca="1">Podatak_JIB</f>
        <v>4400471400001</v>
      </c>
      <c r="F380" t="b">
        <f aca="1">Konsolidovan_izvjestaj</f>
        <v>0</v>
      </c>
      <c r="G380" s="20">
        <f aca="1">Datum_Broj</f>
        <v>45382</v>
      </c>
      <c r="H380">
        <f>VLOOKUP($A380,Aop!$A$2:$P$453,4,0)</f>
        <v>639</v>
      </c>
      <c r="I380">
        <f aca="1">Godina</f>
        <v>2024</v>
      </c>
      <c r="J380"/>
      <c r="K380"/>
      <c r="L380"/>
      <c r="M380" s="575">
        <f aca="1">IF(VLOOKUP($H380,INDIRECT("Lookup_"&amp;$B380),IF(LEFT($B380,2)="BS",R$2,R$1),0)="","",VLOOKUP($H380,INDIRECT("Lookup_"&amp;$B380),IF(LEFT($B380,2)="BS",R$2,R$1),0))</f>
        <v>2922</v>
      </c>
      <c r="N380" s="571">
        <f aca="1">IF(VLOOKUP($H380,INDIRECT("Lookup_"&amp;$B380),IF(LEFT($B380,2)="BS",S$2,S$1),0)="","",VLOOKUP($H380,INDIRECT("Lookup_"&amp;$B380),IF(LEFT($B380,2)="BS",S$2,S$1),0))</f>
        <v>2049</v>
      </c>
    </row>
    <row r="381" spans="1:14">
      <c r="A381" t="n">
        <v>391</v>
      </c>
      <c r="B381" t="str">
        <f>VLOOKUP($A381,Aop!$A$2:$P$453,2,0)</f>
        <v>Aneks</v>
      </c>
      <c r="C381" t="n">
        <v>28</v>
      </c>
      <c r="D381" t="str">
        <f aca="1">Podatak_MB</f>
        <v>1062280</v>
      </c>
      <c r="E381" t="str">
        <f aca="1">Podatak_JIB</f>
        <v>4400471400001</v>
      </c>
      <c r="F381" t="b">
        <f aca="1">Konsolidovan_izvjestaj</f>
        <v>0</v>
      </c>
      <c r="G381" s="20">
        <f aca="1">Datum_Broj</f>
        <v>45382</v>
      </c>
      <c r="H381">
        <f>VLOOKUP($A381,Aop!$A$2:$P$453,4,0)</f>
        <v>640</v>
      </c>
      <c r="I381">
        <f aca="1">Godina</f>
        <v>2024</v>
      </c>
      <c r="J381"/>
      <c r="K381"/>
      <c r="L381"/>
      <c r="M381" t="str">
        <f aca="1">IF(VLOOKUP($H381,INDIRECT("Lookup_"&amp;$B381),IF(LEFT($B381,2)="BS",R$2,R$1),0)="","",VLOOKUP($H381,INDIRECT("Lookup_"&amp;$B381),IF(LEFT($B381,2)="BS",R$2,R$1),0))</f>
        <v/>
      </c>
      <c r="N381" s="571">
        <f aca="1">IF(VLOOKUP($H381,INDIRECT("Lookup_"&amp;$B381),IF(LEFT($B381,2)="BS",S$2,S$1),0)="","",VLOOKUP($H381,INDIRECT("Lookup_"&amp;$B381),IF(LEFT($B381,2)="BS",S$2,S$1),0))</f>
        <v>752</v>
      </c>
    </row>
    <row r="382" spans="1:14">
      <c r="A382" t="n">
        <v>392</v>
      </c>
      <c r="B382" t="str">
        <f>VLOOKUP($A382,Aop!$A$2:$P$453,2,0)</f>
        <v>Aneks</v>
      </c>
      <c r="C382" t="n">
        <v>28</v>
      </c>
      <c r="D382" t="str">
        <f aca="1">Podatak_MB</f>
        <v>1062280</v>
      </c>
      <c r="E382" t="str">
        <f aca="1">Podatak_JIB</f>
        <v>4400471400001</v>
      </c>
      <c r="F382" t="b">
        <f aca="1">Konsolidovan_izvjestaj</f>
        <v>0</v>
      </c>
      <c r="G382" s="20">
        <f aca="1">Datum_Broj</f>
        <v>45382</v>
      </c>
      <c r="H382">
        <f>VLOOKUP($A382,Aop!$A$2:$P$453,4,0)</f>
        <v>641</v>
      </c>
      <c r="I382">
        <f aca="1">Godina</f>
        <v>2024</v>
      </c>
      <c r="J382"/>
      <c r="K382"/>
      <c r="L382"/>
      <c r="M382" t="str">
        <f aca="1">IF(VLOOKUP($H382,INDIRECT("Lookup_"&amp;$B382),IF(LEFT($B382,2)="BS",R$2,R$1),0)="","",VLOOKUP($H382,INDIRECT("Lookup_"&amp;$B382),IF(LEFT($B382,2)="BS",R$2,R$1),0))</f>
        <v/>
      </c>
      <c r="N382" t="str">
        <f aca="1">IF(VLOOKUP($H382,INDIRECT("Lookup_"&amp;$B382),IF(LEFT($B382,2)="BS",S$2,S$1),0)="","",VLOOKUP($H382,INDIRECT("Lookup_"&amp;$B382),IF(LEFT($B382,2)="BS",S$2,S$1),0))</f>
        <v/>
      </c>
    </row>
    <row r="383" spans="1:14">
      <c r="A383" t="n">
        <v>393</v>
      </c>
      <c r="B383" t="str">
        <f>VLOOKUP($A383,Aop!$A$2:$P$453,2,0)</f>
        <v>Aneks</v>
      </c>
      <c r="C383" t="n">
        <v>28</v>
      </c>
      <c r="D383" t="str">
        <f aca="1">Podatak_MB</f>
        <v>1062280</v>
      </c>
      <c r="E383" t="str">
        <f aca="1">Podatak_JIB</f>
        <v>4400471400001</v>
      </c>
      <c r="F383" t="b">
        <f aca="1">Konsolidovan_izvjestaj</f>
        <v>0</v>
      </c>
      <c r="G383" s="20">
        <f aca="1">Datum_Broj</f>
        <v>45382</v>
      </c>
      <c r="H383">
        <f>VLOOKUP($A383,Aop!$A$2:$P$453,4,0)</f>
        <v>642</v>
      </c>
      <c r="I383">
        <f aca="1">Godina</f>
        <v>2024</v>
      </c>
      <c r="J383"/>
      <c r="K383"/>
      <c r="L383"/>
      <c r="M383" t="str">
        <f aca="1">IF(VLOOKUP($H383,INDIRECT("Lookup_"&amp;$B383),IF(LEFT($B383,2)="BS",R$2,R$1),0)="","",VLOOKUP($H383,INDIRECT("Lookup_"&amp;$B383),IF(LEFT($B383,2)="BS",R$2,R$1),0))</f>
        <v/>
      </c>
      <c r="N383" t="str">
        <f aca="1">IF(VLOOKUP($H383,INDIRECT("Lookup_"&amp;$B383),IF(LEFT($B383,2)="BS",S$2,S$1),0)="","",VLOOKUP($H383,INDIRECT("Lookup_"&amp;$B383),IF(LEFT($B383,2)="BS",S$2,S$1),0))</f>
        <v/>
      </c>
    </row>
    <row r="384" spans="1:14">
      <c r="A384" t="n">
        <v>394</v>
      </c>
      <c r="B384" t="str">
        <f>VLOOKUP($A384,Aop!$A$2:$P$453,2,0)</f>
        <v>Aneks</v>
      </c>
      <c r="C384" t="n">
        <v>28</v>
      </c>
      <c r="D384" t="str">
        <f aca="1">Podatak_MB</f>
        <v>1062280</v>
      </c>
      <c r="E384" t="str">
        <f aca="1">Podatak_JIB</f>
        <v>4400471400001</v>
      </c>
      <c r="F384" t="b">
        <f aca="1">Konsolidovan_izvjestaj</f>
        <v>0</v>
      </c>
      <c r="G384" s="20">
        <f aca="1">Datum_Broj</f>
        <v>45382</v>
      </c>
      <c r="H384">
        <f>VLOOKUP($A384,Aop!$A$2:$P$453,4,0)</f>
        <v>643</v>
      </c>
      <c r="I384">
        <f aca="1">Godina</f>
        <v>2024</v>
      </c>
      <c r="J384"/>
      <c r="K384"/>
      <c r="L384"/>
      <c r="M384" t="str">
        <f aca="1">IF(VLOOKUP($H384,INDIRECT("Lookup_"&amp;$B384),IF(LEFT($B384,2)="BS",R$2,R$1),0)="","",VLOOKUP($H384,INDIRECT("Lookup_"&amp;$B384),IF(LEFT($B384,2)="BS",R$2,R$1),0))</f>
        <v/>
      </c>
      <c r="N384" t="str">
        <f aca="1">IF(VLOOKUP($H384,INDIRECT("Lookup_"&amp;$B384),IF(LEFT($B384,2)="BS",S$2,S$1),0)="","",VLOOKUP($H384,INDIRECT("Lookup_"&amp;$B384),IF(LEFT($B384,2)="BS",S$2,S$1),0))</f>
        <v/>
      </c>
    </row>
    <row r="385" spans="1:14">
      <c r="A385" t="n">
        <v>395</v>
      </c>
      <c r="B385" t="str">
        <f>VLOOKUP($A385,Aop!$A$2:$P$453,2,0)</f>
        <v>Aneks</v>
      </c>
      <c r="C385" t="n">
        <v>28</v>
      </c>
      <c r="D385" t="str">
        <f aca="1">Podatak_MB</f>
        <v>1062280</v>
      </c>
      <c r="E385" t="str">
        <f aca="1">Podatak_JIB</f>
        <v>4400471400001</v>
      </c>
      <c r="F385" t="b">
        <f aca="1">Konsolidovan_izvjestaj</f>
        <v>0</v>
      </c>
      <c r="G385" s="20">
        <f aca="1">Datum_Broj</f>
        <v>45382</v>
      </c>
      <c r="H385">
        <f>VLOOKUP($A385,Aop!$A$2:$P$453,4,0)</f>
        <v>644</v>
      </c>
      <c r="I385">
        <f aca="1">Godina</f>
        <v>2024</v>
      </c>
      <c r="J385"/>
      <c r="K385"/>
      <c r="L385"/>
      <c r="M385" s="575">
        <f aca="1">IF(VLOOKUP($H385,INDIRECT("Lookup_"&amp;$B385),IF(LEFT($B385,2)="BS",R$2,R$1),0)="","",VLOOKUP($H385,INDIRECT("Lookup_"&amp;$B385),IF(LEFT($B385,2)="BS",R$2,R$1),0))</f>
        <v>35</v>
      </c>
      <c r="N385" s="571">
        <f aca="1">IF(VLOOKUP($H385,INDIRECT("Lookup_"&amp;$B385),IF(LEFT($B385,2)="BS",S$2,S$1),0)="","",VLOOKUP($H385,INDIRECT("Lookup_"&amp;$B385),IF(LEFT($B385,2)="BS",S$2,S$1),0))</f>
        <v>76</v>
      </c>
    </row>
    <row r="386" spans="1:14">
      <c r="A386" t="n">
        <v>396</v>
      </c>
      <c r="B386" t="str">
        <f>VLOOKUP($A386,Aop!$A$2:$P$453,2,0)</f>
        <v>Aneks</v>
      </c>
      <c r="C386" t="n">
        <v>28</v>
      </c>
      <c r="D386" t="str">
        <f aca="1">Podatak_MB</f>
        <v>1062280</v>
      </c>
      <c r="E386" t="str">
        <f aca="1">Podatak_JIB</f>
        <v>4400471400001</v>
      </c>
      <c r="F386" t="b">
        <f aca="1">Konsolidovan_izvjestaj</f>
        <v>0</v>
      </c>
      <c r="G386" s="20">
        <f aca="1">Datum_Broj</f>
        <v>45382</v>
      </c>
      <c r="H386">
        <f>VLOOKUP($A386,Aop!$A$2:$P$453,4,0)</f>
        <v>645</v>
      </c>
      <c r="I386">
        <f aca="1">Godina</f>
        <v>2024</v>
      </c>
      <c r="J386"/>
      <c r="K386"/>
      <c r="L386"/>
      <c r="M386" t="str">
        <f aca="1">IF(VLOOKUP($H386,INDIRECT("Lookup_"&amp;$B386),IF(LEFT($B386,2)="BS",R$2,R$1),0)="","",VLOOKUP($H386,INDIRECT("Lookup_"&amp;$B386),IF(LEFT($B386,2)="BS",R$2,R$1),0))</f>
        <v/>
      </c>
      <c r="N386" t="str">
        <f aca="1">IF(VLOOKUP($H386,INDIRECT("Lookup_"&amp;$B386),IF(LEFT($B386,2)="BS",S$2,S$1),0)="","",VLOOKUP($H386,INDIRECT("Lookup_"&amp;$B386),IF(LEFT($B386,2)="BS",S$2,S$1),0))</f>
        <v/>
      </c>
    </row>
    <row r="387" spans="1:14">
      <c r="A387" t="n">
        <v>397</v>
      </c>
      <c r="B387" t="str">
        <f>VLOOKUP($A387,Aop!$A$2:$P$453,2,0)</f>
        <v>Aneks</v>
      </c>
      <c r="C387" t="n">
        <v>28</v>
      </c>
      <c r="D387" t="str">
        <f aca="1">Podatak_MB</f>
        <v>1062280</v>
      </c>
      <c r="E387" t="str">
        <f aca="1">Podatak_JIB</f>
        <v>4400471400001</v>
      </c>
      <c r="F387" t="b">
        <f aca="1">Konsolidovan_izvjestaj</f>
        <v>0</v>
      </c>
      <c r="G387" s="20">
        <f aca="1">Datum_Broj</f>
        <v>45382</v>
      </c>
      <c r="H387">
        <f>VLOOKUP($A387,Aop!$A$2:$P$453,4,0)</f>
        <v>646</v>
      </c>
      <c r="I387">
        <f aca="1">Godina</f>
        <v>2024</v>
      </c>
      <c r="J387"/>
      <c r="K387"/>
      <c r="L387"/>
      <c r="M387" s="571">
        <f aca="1">IF(VLOOKUP($H387,INDIRECT("Lookup_"&amp;$B387),IF(LEFT($B387,2)="BS",R$2,R$1),0)="","",VLOOKUP($H387,INDIRECT("Lookup_"&amp;$B387),IF(LEFT($B387,2)="BS",R$2,R$1),0))</f>
        <v>22175</v>
      </c>
      <c r="N387" s="571">
        <f aca="1">IF(VLOOKUP($H387,INDIRECT("Lookup_"&amp;$B387),IF(LEFT($B387,2)="BS",S$2,S$1),0)="","",VLOOKUP($H387,INDIRECT("Lookup_"&amp;$B387),IF(LEFT($B387,2)="BS",S$2,S$1),0))</f>
        <v>23780</v>
      </c>
    </row>
    <row r="388" spans="1:14">
      <c r="A388" t="n">
        <v>398</v>
      </c>
      <c r="B388" t="str">
        <f>VLOOKUP($A388,Aop!$A$2:$P$453,2,0)</f>
        <v>Aneks</v>
      </c>
      <c r="C388" t="n">
        <v>28</v>
      </c>
      <c r="D388" t="str">
        <f aca="1">Podatak_MB</f>
        <v>1062280</v>
      </c>
      <c r="E388" t="str">
        <f aca="1">Podatak_JIB</f>
        <v>4400471400001</v>
      </c>
      <c r="F388" t="b">
        <f aca="1">Konsolidovan_izvjestaj</f>
        <v>0</v>
      </c>
      <c r="G388" s="20">
        <f aca="1">Datum_Broj</f>
        <v>45382</v>
      </c>
      <c r="H388">
        <f>VLOOKUP($A388,Aop!$A$2:$P$453,4,0)</f>
        <v>647</v>
      </c>
      <c r="I388">
        <f aca="1">Godina</f>
        <v>2024</v>
      </c>
      <c r="J388"/>
      <c r="K388"/>
      <c r="L388"/>
      <c r="M388" s="575">
        <f aca="1">IF(VLOOKUP($H388,INDIRECT("Lookup_"&amp;$B388),IF(LEFT($B388,2)="BS",R$2,R$1),0)="","",VLOOKUP($H388,INDIRECT("Lookup_"&amp;$B388),IF(LEFT($B388,2)="BS",R$2,R$1),0))</f>
        <v>4187</v>
      </c>
      <c r="N388" s="571">
        <f aca="1">IF(VLOOKUP($H388,INDIRECT("Lookup_"&amp;$B388),IF(LEFT($B388,2)="BS",S$2,S$1),0)="","",VLOOKUP($H388,INDIRECT("Lookup_"&amp;$B388),IF(LEFT($B388,2)="BS",S$2,S$1),0))</f>
        <v>5952</v>
      </c>
    </row>
    <row r="389" spans="1:14">
      <c r="A389" t="n">
        <v>399</v>
      </c>
      <c r="B389" t="str">
        <f>VLOOKUP($A389,Aop!$A$2:$P$453,2,0)</f>
        <v>Aneks</v>
      </c>
      <c r="C389" t="n">
        <v>28</v>
      </c>
      <c r="D389" t="str">
        <f aca="1">Podatak_MB</f>
        <v>1062280</v>
      </c>
      <c r="E389" t="str">
        <f aca="1">Podatak_JIB</f>
        <v>4400471400001</v>
      </c>
      <c r="F389" t="b">
        <f aca="1">Konsolidovan_izvjestaj</f>
        <v>0</v>
      </c>
      <c r="G389" s="20">
        <f aca="1">Datum_Broj</f>
        <v>45382</v>
      </c>
      <c r="H389">
        <f>VLOOKUP($A389,Aop!$A$2:$P$453,4,0)</f>
        <v>648</v>
      </c>
      <c r="I389">
        <f aca="1">Godina</f>
        <v>2024</v>
      </c>
      <c r="J389"/>
      <c r="K389"/>
      <c r="L389"/>
      <c r="M389" t="str">
        <f aca="1">IF(VLOOKUP($H389,INDIRECT("Lookup_"&amp;$B389),IF(LEFT($B389,2)="BS",R$2,R$1),0)="","",VLOOKUP($H389,INDIRECT("Lookup_"&amp;$B389),IF(LEFT($B389,2)="BS",R$2,R$1),0))</f>
        <v/>
      </c>
      <c r="N389" t="str">
        <f aca="1">IF(VLOOKUP($H389,INDIRECT("Lookup_"&amp;$B389),IF(LEFT($B389,2)="BS",S$2,S$1),0)="","",VLOOKUP($H389,INDIRECT("Lookup_"&amp;$B389),IF(LEFT($B389,2)="BS",S$2,S$1),0))</f>
        <v/>
      </c>
    </row>
    <row r="390" spans="1:14">
      <c r="A390" t="n">
        <v>400</v>
      </c>
      <c r="B390" t="str">
        <f>VLOOKUP($A390,Aop!$A$2:$P$453,2,0)</f>
        <v>Aneks</v>
      </c>
      <c r="C390" t="n">
        <v>28</v>
      </c>
      <c r="D390" t="str">
        <f aca="1">Podatak_MB</f>
        <v>1062280</v>
      </c>
      <c r="E390" t="str">
        <f aca="1">Podatak_JIB</f>
        <v>4400471400001</v>
      </c>
      <c r="F390" t="b">
        <f aca="1">Konsolidovan_izvjestaj</f>
        <v>0</v>
      </c>
      <c r="G390" s="20">
        <f aca="1">Datum_Broj</f>
        <v>45382</v>
      </c>
      <c r="H390">
        <f>VLOOKUP($A390,Aop!$A$2:$P$453,4,0)</f>
        <v>649</v>
      </c>
      <c r="I390">
        <f aca="1">Godina</f>
        <v>2024</v>
      </c>
      <c r="J390"/>
      <c r="K390"/>
      <c r="L390"/>
      <c r="M390" t="str">
        <f aca="1">IF(VLOOKUP($H390,INDIRECT("Lookup_"&amp;$B390),IF(LEFT($B390,2)="BS",R$2,R$1),0)="","",VLOOKUP($H390,INDIRECT("Lookup_"&amp;$B390),IF(LEFT($B390,2)="BS",R$2,R$1),0))</f>
        <v/>
      </c>
      <c r="N390" t="str">
        <f aca="1">IF(VLOOKUP($H390,INDIRECT("Lookup_"&amp;$B390),IF(LEFT($B390,2)="BS",S$2,S$1),0)="","",VLOOKUP($H390,INDIRECT("Lookup_"&amp;$B390),IF(LEFT($B390,2)="BS",S$2,S$1),0))</f>
        <v/>
      </c>
    </row>
    <row r="391" spans="1:14">
      <c r="A391" t="n">
        <v>401</v>
      </c>
      <c r="B391" t="str">
        <f>VLOOKUP($A391,Aop!$A$2:$P$453,2,0)</f>
        <v>Aneks</v>
      </c>
      <c r="C391" t="n">
        <v>28</v>
      </c>
      <c r="D391" t="str">
        <f aca="1">Podatak_MB</f>
        <v>1062280</v>
      </c>
      <c r="E391" t="str">
        <f aca="1">Podatak_JIB</f>
        <v>4400471400001</v>
      </c>
      <c r="F391" t="b">
        <f aca="1">Konsolidovan_izvjestaj</f>
        <v>0</v>
      </c>
      <c r="G391" s="20">
        <f aca="1">Datum_Broj</f>
        <v>45382</v>
      </c>
      <c r="H391">
        <f>VLOOKUP($A391,Aop!$A$2:$P$453,4,0)</f>
        <v>650</v>
      </c>
      <c r="I391">
        <f aca="1">Godina</f>
        <v>2024</v>
      </c>
      <c r="J391"/>
      <c r="K391"/>
      <c r="L391"/>
      <c r="M391" s="575">
        <f aca="1">IF(VLOOKUP($H391,INDIRECT("Lookup_"&amp;$B391),IF(LEFT($B391,2)="BS",R$2,R$1),0)="","",VLOOKUP($H391,INDIRECT("Lookup_"&amp;$B391),IF(LEFT($B391,2)="BS",R$2,R$1),0))</f>
        <v>160</v>
      </c>
      <c r="N391" s="571">
        <f aca="1">IF(VLOOKUP($H391,INDIRECT("Lookup_"&amp;$B391),IF(LEFT($B391,2)="BS",S$2,S$1),0)="","",VLOOKUP($H391,INDIRECT("Lookup_"&amp;$B391),IF(LEFT($B391,2)="BS",S$2,S$1),0))</f>
        <v>274</v>
      </c>
    </row>
    <row r="392" spans="1:14">
      <c r="A392" t="n">
        <v>402</v>
      </c>
      <c r="B392" t="str">
        <f>VLOOKUP($A392,Aop!$A$2:$P$453,2,0)</f>
        <v>Aneks</v>
      </c>
      <c r="C392" t="n">
        <v>28</v>
      </c>
      <c r="D392" t="str">
        <f aca="1">Podatak_MB</f>
        <v>1062280</v>
      </c>
      <c r="E392" t="str">
        <f aca="1">Podatak_JIB</f>
        <v>4400471400001</v>
      </c>
      <c r="F392" t="b">
        <f aca="1">Konsolidovan_izvjestaj</f>
        <v>0</v>
      </c>
      <c r="G392" s="20">
        <f aca="1">Datum_Broj</f>
        <v>45382</v>
      </c>
      <c r="H392">
        <f>VLOOKUP($A392,Aop!$A$2:$P$453,4,0)</f>
        <v>651</v>
      </c>
      <c r="I392">
        <f aca="1">Godina</f>
        <v>2024</v>
      </c>
      <c r="J392"/>
      <c r="K392"/>
      <c r="L392"/>
      <c r="M392" s="575">
        <f aca="1">IF(VLOOKUP($H392,INDIRECT("Lookup_"&amp;$B392),IF(LEFT($B392,2)="BS",R$2,R$1),0)="","",VLOOKUP($H392,INDIRECT("Lookup_"&amp;$B392),IF(LEFT($B392,2)="BS",R$2,R$1),0))</f>
        <v>3060</v>
      </c>
      <c r="N392" s="571">
        <f aca="1">IF(VLOOKUP($H392,INDIRECT("Lookup_"&amp;$B392),IF(LEFT($B392,2)="BS",S$2,S$1),0)="","",VLOOKUP($H392,INDIRECT("Lookup_"&amp;$B392),IF(LEFT($B392,2)="BS",S$2,S$1),0))</f>
        <v>291</v>
      </c>
    </row>
    <row r="393" spans="1:14">
      <c r="A393" t="n">
        <v>403</v>
      </c>
      <c r="B393" t="str">
        <f>VLOOKUP($A393,Aop!$A$2:$P$453,2,0)</f>
        <v>Aneks</v>
      </c>
      <c r="C393" t="n">
        <v>28</v>
      </c>
      <c r="D393" t="str">
        <f aca="1">Podatak_MB</f>
        <v>1062280</v>
      </c>
      <c r="E393" t="str">
        <f aca="1">Podatak_JIB</f>
        <v>4400471400001</v>
      </c>
      <c r="F393" t="b">
        <f aca="1">Konsolidovan_izvjestaj</f>
        <v>0</v>
      </c>
      <c r="G393" s="20">
        <f aca="1">Datum_Broj</f>
        <v>45382</v>
      </c>
      <c r="H393">
        <f>VLOOKUP($A393,Aop!$A$2:$P$453,4,0)</f>
        <v>652</v>
      </c>
      <c r="I393">
        <f aca="1">Godina</f>
        <v>2024</v>
      </c>
      <c r="J393"/>
      <c r="K393"/>
      <c r="L393"/>
      <c r="M393" s="575">
        <f aca="1">IF(VLOOKUP($H393,INDIRECT("Lookup_"&amp;$B393),IF(LEFT($B393,2)="BS",R$2,R$1),0)="","",VLOOKUP($H393,INDIRECT("Lookup_"&amp;$B393),IF(LEFT($B393,2)="BS",R$2,R$1),0))</f>
        <v>441</v>
      </c>
      <c r="N393" s="571">
        <f aca="1">IF(VLOOKUP($H393,INDIRECT("Lookup_"&amp;$B393),IF(LEFT($B393,2)="BS",S$2,S$1),0)="","",VLOOKUP($H393,INDIRECT("Lookup_"&amp;$B393),IF(LEFT($B393,2)="BS",S$2,S$1),0))</f>
        <v>743</v>
      </c>
    </row>
    <row r="394" spans="1:14">
      <c r="A394" t="n">
        <v>404</v>
      </c>
      <c r="B394" t="str">
        <f>VLOOKUP($A394,Aop!$A$2:$P$453,2,0)</f>
        <v>Aneks</v>
      </c>
      <c r="C394" t="n">
        <v>28</v>
      </c>
      <c r="D394" t="str">
        <f aca="1">Podatak_MB</f>
        <v>1062280</v>
      </c>
      <c r="E394" t="str">
        <f aca="1">Podatak_JIB</f>
        <v>4400471400001</v>
      </c>
      <c r="F394" t="b">
        <f aca="1">Konsolidovan_izvjestaj</f>
        <v>0</v>
      </c>
      <c r="G394" s="20">
        <f aca="1">Datum_Broj</f>
        <v>45382</v>
      </c>
      <c r="H394">
        <f>VLOOKUP($A394,Aop!$A$2:$P$453,4,0)</f>
        <v>653</v>
      </c>
      <c r="I394">
        <f aca="1">Godina</f>
        <v>2024</v>
      </c>
      <c r="J394"/>
      <c r="K394"/>
      <c r="L394"/>
      <c r="M394" s="575">
        <f aca="1">IF(VLOOKUP($H394,INDIRECT("Lookup_"&amp;$B394),IF(LEFT($B394,2)="BS",R$2,R$1),0)="","",VLOOKUP($H394,INDIRECT("Lookup_"&amp;$B394),IF(LEFT($B394,2)="BS",R$2,R$1),0))</f>
        <v>577</v>
      </c>
      <c r="N394" s="571">
        <f aca="1">IF(VLOOKUP($H394,INDIRECT("Lookup_"&amp;$B394),IF(LEFT($B394,2)="BS",S$2,S$1),0)="","",VLOOKUP($H394,INDIRECT("Lookup_"&amp;$B394),IF(LEFT($B394,2)="BS",S$2,S$1),0))</f>
        <v>593</v>
      </c>
    </row>
    <row r="395" spans="1:14">
      <c r="A395" t="n">
        <v>405</v>
      </c>
      <c r="B395" t="str">
        <f>VLOOKUP($A395,Aop!$A$2:$P$453,2,0)</f>
        <v>Aneks</v>
      </c>
      <c r="C395" t="n">
        <v>28</v>
      </c>
      <c r="D395" t="str">
        <f aca="1">Podatak_MB</f>
        <v>1062280</v>
      </c>
      <c r="E395" t="str">
        <f aca="1">Podatak_JIB</f>
        <v>4400471400001</v>
      </c>
      <c r="F395" t="b">
        <f aca="1">Konsolidovan_izvjestaj</f>
        <v>0</v>
      </c>
      <c r="G395" s="20">
        <f aca="1">Datum_Broj</f>
        <v>45382</v>
      </c>
      <c r="H395">
        <f>VLOOKUP($A395,Aop!$A$2:$P$453,4,0)</f>
        <v>654</v>
      </c>
      <c r="I395">
        <f aca="1">Godina</f>
        <v>2024</v>
      </c>
      <c r="J395"/>
      <c r="K395"/>
      <c r="L395"/>
      <c r="M395" t="str">
        <f aca="1">IF(VLOOKUP($H395,INDIRECT("Lookup_"&amp;$B395),IF(LEFT($B395,2)="BS",R$2,R$1),0)="","",VLOOKUP($H395,INDIRECT("Lookup_"&amp;$B395),IF(LEFT($B395,2)="BS",R$2,R$1),0))</f>
        <v/>
      </c>
      <c r="N395" t="str">
        <f aca="1">IF(VLOOKUP($H395,INDIRECT("Lookup_"&amp;$B395),IF(LEFT($B395,2)="BS",S$2,S$1),0)="","",VLOOKUP($H395,INDIRECT("Lookup_"&amp;$B395),IF(LEFT($B395,2)="BS",S$2,S$1),0))</f>
        <v/>
      </c>
    </row>
    <row r="396" spans="1:14">
      <c r="A396" t="n">
        <v>406</v>
      </c>
      <c r="B396" t="str">
        <f>VLOOKUP($A396,Aop!$A$2:$P$453,2,0)</f>
        <v>Aneks</v>
      </c>
      <c r="C396" t="n">
        <v>28</v>
      </c>
      <c r="D396" t="str">
        <f aca="1">Podatak_MB</f>
        <v>1062280</v>
      </c>
      <c r="E396" t="str">
        <f aca="1">Podatak_JIB</f>
        <v>4400471400001</v>
      </c>
      <c r="F396" t="b">
        <f aca="1">Konsolidovan_izvjestaj</f>
        <v>0</v>
      </c>
      <c r="G396" s="20">
        <f aca="1">Datum_Broj</f>
        <v>45382</v>
      </c>
      <c r="H396">
        <f>VLOOKUP($A396,Aop!$A$2:$P$453,4,0)</f>
        <v>655</v>
      </c>
      <c r="I396">
        <f aca="1">Godina</f>
        <v>2024</v>
      </c>
      <c r="J396"/>
      <c r="K396"/>
      <c r="L396"/>
      <c r="M396" s="575">
        <f aca="1">IF(VLOOKUP($H396,INDIRECT("Lookup_"&amp;$B396),IF(LEFT($B396,2)="BS",R$2,R$1),0)="","",VLOOKUP($H396,INDIRECT("Lookup_"&amp;$B396),IF(LEFT($B396,2)="BS",R$2,R$1),0))</f>
        <v>13172</v>
      </c>
      <c r="N396" s="571">
        <f aca="1">IF(VLOOKUP($H396,INDIRECT("Lookup_"&amp;$B396),IF(LEFT($B396,2)="BS",S$2,S$1),0)="","",VLOOKUP($H396,INDIRECT("Lookup_"&amp;$B396),IF(LEFT($B396,2)="BS",S$2,S$1),0))</f>
        <v>15567</v>
      </c>
    </row>
    <row r="397" spans="1:14">
      <c r="A397" t="n">
        <v>407</v>
      </c>
      <c r="B397" t="str">
        <f>VLOOKUP($A397,Aop!$A$2:$P$453,2,0)</f>
        <v>Aneks</v>
      </c>
      <c r="C397" t="n">
        <v>28</v>
      </c>
      <c r="D397" t="str">
        <f aca="1">Podatak_MB</f>
        <v>1062280</v>
      </c>
      <c r="E397" t="str">
        <f aca="1">Podatak_JIB</f>
        <v>4400471400001</v>
      </c>
      <c r="F397" t="b">
        <f aca="1">Konsolidovan_izvjestaj</f>
        <v>0</v>
      </c>
      <c r="G397" s="20">
        <f aca="1">Datum_Broj</f>
        <v>45382</v>
      </c>
      <c r="H397">
        <f>VLOOKUP($A397,Aop!$A$2:$P$453,4,0)</f>
        <v>656</v>
      </c>
      <c r="I397">
        <f aca="1">Godina</f>
        <v>2024</v>
      </c>
      <c r="J397"/>
      <c r="K397"/>
      <c r="L397"/>
      <c r="M397" s="575">
        <f aca="1">IF(VLOOKUP($H397,INDIRECT("Lookup_"&amp;$B397),IF(LEFT($B397,2)="BS",R$2,R$1),0)="","",VLOOKUP($H397,INDIRECT("Lookup_"&amp;$B397),IF(LEFT($B397,2)="BS",R$2,R$1),0))</f>
        <v>578</v>
      </c>
      <c r="N397" s="571">
        <f aca="1">IF(VLOOKUP($H397,INDIRECT("Lookup_"&amp;$B397),IF(LEFT($B397,2)="BS",S$2,S$1),0)="","",VLOOKUP($H397,INDIRECT("Lookup_"&amp;$B397),IF(LEFT($B397,2)="BS",S$2,S$1),0))</f>
        <v>360</v>
      </c>
    </row>
    <row r="398" spans="1:14">
      <c r="A398" t="n">
        <v>408</v>
      </c>
      <c r="B398" t="str">
        <f>VLOOKUP($A398,Aop!$A$2:$P$453,2,0)</f>
        <v>Aneks</v>
      </c>
      <c r="C398" t="n">
        <v>28</v>
      </c>
      <c r="D398" t="str">
        <f aca="1">Podatak_MB</f>
        <v>1062280</v>
      </c>
      <c r="E398" t="str">
        <f aca="1">Podatak_JIB</f>
        <v>4400471400001</v>
      </c>
      <c r="F398" t="b">
        <f aca="1">Konsolidovan_izvjestaj</f>
        <v>0</v>
      </c>
      <c r="G398" s="20">
        <f aca="1">Datum_Broj</f>
        <v>45382</v>
      </c>
      <c r="H398">
        <f>VLOOKUP($A398,Aop!$A$2:$P$453,4,0)</f>
        <v>657</v>
      </c>
      <c r="I398">
        <f aca="1">Godina</f>
        <v>2024</v>
      </c>
      <c r="J398"/>
      <c r="K398"/>
      <c r="L398"/>
      <c r="M398" t="str">
        <f aca="1">IF(VLOOKUP($H398,INDIRECT("Lookup_"&amp;$B398),IF(LEFT($B398,2)="BS",R$2,R$1),0)="","",VLOOKUP($H398,INDIRECT("Lookup_"&amp;$B398),IF(LEFT($B398,2)="BS",R$2,R$1),0))</f>
        <v/>
      </c>
      <c r="N398" t="str">
        <f aca="1">IF(VLOOKUP($H398,INDIRECT("Lookup_"&amp;$B398),IF(LEFT($B398,2)="BS",S$2,S$1),0)="","",VLOOKUP($H398,INDIRECT("Lookup_"&amp;$B398),IF(LEFT($B398,2)="BS",S$2,S$1),0))</f>
        <v/>
      </c>
    </row>
    <row r="399" spans="1:14">
      <c r="A399" t="n">
        <v>409</v>
      </c>
      <c r="B399" t="str">
        <f>VLOOKUP($A399,Aop!$A$2:$P$453,2,0)</f>
        <v>Aneks</v>
      </c>
      <c r="C399" t="n">
        <v>28</v>
      </c>
      <c r="D399" t="str">
        <f aca="1">Podatak_MB</f>
        <v>1062280</v>
      </c>
      <c r="E399" t="str">
        <f aca="1">Podatak_JIB</f>
        <v>4400471400001</v>
      </c>
      <c r="F399" t="b">
        <f aca="1">Konsolidovan_izvjestaj</f>
        <v>0</v>
      </c>
      <c r="G399" s="20">
        <f aca="1">Datum_Broj</f>
        <v>45382</v>
      </c>
      <c r="H399">
        <f>VLOOKUP($A399,Aop!$A$2:$P$453,4,0)</f>
        <v>658</v>
      </c>
      <c r="I399">
        <f aca="1">Godina</f>
        <v>2024</v>
      </c>
      <c r="J399"/>
      <c r="K399"/>
      <c r="L399"/>
      <c r="M399" s="575">
        <f aca="1">IF(VLOOKUP($H399,INDIRECT("Lookup_"&amp;$B399),IF(LEFT($B399,2)="BS",R$2,R$1),0)="","",VLOOKUP($H399,INDIRECT("Lookup_"&amp;$B399),IF(LEFT($B399,2)="BS",R$2,R$1),0))</f>
        <v>58174</v>
      </c>
      <c r="N399" s="571">
        <f aca="1">IF(VLOOKUP($H399,INDIRECT("Lookup_"&amp;$B399),IF(LEFT($B399,2)="BS",S$2,S$1),0)="","",VLOOKUP($H399,INDIRECT("Lookup_"&amp;$B399),IF(LEFT($B399,2)="BS",S$2,S$1),0))</f>
        <v>48848</v>
      </c>
    </row>
    <row r="400" spans="1:14">
      <c r="A400" t="n">
        <v>410</v>
      </c>
      <c r="B400" t="str">
        <f>VLOOKUP($A400,Aop!$A$2:$P$453,2,0)</f>
        <v>Aneks</v>
      </c>
      <c r="C400" t="n">
        <v>28</v>
      </c>
      <c r="D400" t="str">
        <f aca="1">Podatak_MB</f>
        <v>1062280</v>
      </c>
      <c r="E400" t="str">
        <f aca="1">Podatak_JIB</f>
        <v>4400471400001</v>
      </c>
      <c r="F400" t="b">
        <f aca="1">Konsolidovan_izvjestaj</f>
        <v>0</v>
      </c>
      <c r="G400" s="20">
        <f aca="1">Datum_Broj</f>
        <v>45382</v>
      </c>
      <c r="H400">
        <f>VLOOKUP($A400,Aop!$A$2:$P$453,4,0)</f>
        <v>659</v>
      </c>
      <c r="I400">
        <f aca="1">Godina</f>
        <v>2024</v>
      </c>
      <c r="J400"/>
      <c r="K400"/>
      <c r="L400"/>
      <c r="M400" s="575">
        <f aca="1">IF(VLOOKUP($H400,INDIRECT("Lookup_"&amp;$B400),IF(LEFT($B400,2)="BS",R$2,R$1),0)="","",VLOOKUP($H400,INDIRECT("Lookup_"&amp;$B400),IF(LEFT($B400,2)="BS",R$2,R$1),0))</f>
        <v>41493</v>
      </c>
      <c r="N400" s="571">
        <f aca="1">IF(VLOOKUP($H400,INDIRECT("Lookup_"&amp;$B400),IF(LEFT($B400,2)="BS",S$2,S$1),0)="","",VLOOKUP($H400,INDIRECT("Lookup_"&amp;$B400),IF(LEFT($B400,2)="BS",S$2,S$1),0))</f>
        <v>62663</v>
      </c>
    </row>
    <row r="401" spans="1:14">
      <c r="A401" t="n">
        <v>411</v>
      </c>
      <c r="B401" t="str">
        <f>VLOOKUP($A401,Aop!$A$2:$P$453,2,0)</f>
        <v>Aneks</v>
      </c>
      <c r="C401" t="n">
        <v>28</v>
      </c>
      <c r="D401" t="str">
        <f aca="1">Podatak_MB</f>
        <v>1062280</v>
      </c>
      <c r="E401" t="str">
        <f aca="1">Podatak_JIB</f>
        <v>4400471400001</v>
      </c>
      <c r="F401" t="b">
        <f aca="1">Konsolidovan_izvjestaj</f>
        <v>0</v>
      </c>
      <c r="G401" s="20">
        <f aca="1">Datum_Broj</f>
        <v>45382</v>
      </c>
      <c r="H401">
        <f>VLOOKUP($A401,Aop!$A$2:$P$453,4,0)</f>
        <v>660</v>
      </c>
      <c r="I401">
        <f aca="1">Godina</f>
        <v>2024</v>
      </c>
      <c r="J401"/>
      <c r="K401"/>
      <c r="L401"/>
      <c r="M401" t="str">
        <f aca="1">IF(VLOOKUP($H401,INDIRECT("Lookup_"&amp;$B401),IF(LEFT($B401,2)="BS",R$2,R$1),0)="","",VLOOKUP($H401,INDIRECT("Lookup_"&amp;$B401),IF(LEFT($B401,2)="BS",R$2,R$1),0))</f>
        <v/>
      </c>
      <c r="N401" t="str">
        <f aca="1">IF(VLOOKUP($H401,INDIRECT("Lookup_"&amp;$B401),IF(LEFT($B401,2)="BS",S$2,S$1),0)="","",VLOOKUP($H401,INDIRECT("Lookup_"&amp;$B401),IF(LEFT($B401,2)="BS",S$2,S$1),0))</f>
        <v/>
      </c>
    </row>
    <row r="402" spans="1:14">
      <c r="A402" t="n">
        <v>412</v>
      </c>
      <c r="B402" t="str">
        <f>VLOOKUP($A402,Aop!$A$2:$P$453,2,0)</f>
        <v>Aneks</v>
      </c>
      <c r="C402" t="n">
        <v>28</v>
      </c>
      <c r="D402" t="str">
        <f aca="1">Podatak_MB</f>
        <v>1062280</v>
      </c>
      <c r="E402" t="str">
        <f aca="1">Podatak_JIB</f>
        <v>4400471400001</v>
      </c>
      <c r="F402" t="b">
        <f aca="1">Konsolidovan_izvjestaj</f>
        <v>0</v>
      </c>
      <c r="G402" s="20">
        <f aca="1">Datum_Broj</f>
        <v>45382</v>
      </c>
      <c r="H402">
        <f>VLOOKUP($A402,Aop!$A$2:$P$453,4,0)</f>
        <v>661</v>
      </c>
      <c r="I402">
        <f aca="1">Godina</f>
        <v>2024</v>
      </c>
      <c r="J402"/>
      <c r="K402"/>
      <c r="L402"/>
      <c r="M402" s="575">
        <f aca="1">IF(VLOOKUP($H402,INDIRECT("Lookup_"&amp;$B402),IF(LEFT($B402,2)="BS",R$2,R$1),0)="","",VLOOKUP($H402,INDIRECT("Lookup_"&amp;$B402),IF(LEFT($B402,2)="BS",R$2,R$1),0))</f>
        <v>4309</v>
      </c>
      <c r="N402" s="571">
        <f aca="1">IF(VLOOKUP($H402,INDIRECT("Lookup_"&amp;$B402),IF(LEFT($B402,2)="BS",S$2,S$1),0)="","",VLOOKUP($H402,INDIRECT("Lookup_"&amp;$B402),IF(LEFT($B402,2)="BS",S$2,S$1),0))</f>
        <v>22514</v>
      </c>
    </row>
    <row r="403" spans="1:14">
      <c r="A403" t="n">
        <v>413</v>
      </c>
      <c r="B403" t="str">
        <f>VLOOKUP($A403,Aop!$A$2:$P$453,2,0)</f>
        <v>Aneks</v>
      </c>
      <c r="C403" t="n">
        <v>28</v>
      </c>
      <c r="D403" t="str">
        <f aca="1">Podatak_MB</f>
        <v>1062280</v>
      </c>
      <c r="E403" t="str">
        <f aca="1">Podatak_JIB</f>
        <v>4400471400001</v>
      </c>
      <c r="F403" t="b">
        <f aca="1">Konsolidovan_izvjestaj</f>
        <v>0</v>
      </c>
      <c r="G403" s="20">
        <f aca="1">Datum_Broj</f>
        <v>45382</v>
      </c>
      <c r="H403">
        <f>VLOOKUP($A403,Aop!$A$2:$P$453,4,0)</f>
        <v>662</v>
      </c>
      <c r="I403">
        <f aca="1">Godina</f>
        <v>2024</v>
      </c>
      <c r="J403"/>
      <c r="K403"/>
      <c r="L403"/>
      <c r="M403" t="str">
        <f aca="1">IF(VLOOKUP($H403,INDIRECT("Lookup_"&amp;$B403),IF(LEFT($B403,2)="BS",R$2,R$1),0)="","",VLOOKUP($H403,INDIRECT("Lookup_"&amp;$B403),IF(LEFT($B403,2)="BS",R$2,R$1),0))</f>
        <v/>
      </c>
      <c r="N403" t="str">
        <f aca="1">IF(VLOOKUP($H403,INDIRECT("Lookup_"&amp;$B403),IF(LEFT($B403,2)="BS",S$2,S$1),0)="","",VLOOKUP($H403,INDIRECT("Lookup_"&amp;$B403),IF(LEFT($B403,2)="BS",S$2,S$1),0))</f>
        <v/>
      </c>
    </row>
    <row r="404" spans="1:14">
      <c r="A404" t="n">
        <v>414</v>
      </c>
      <c r="B404" t="str">
        <f>VLOOKUP($A404,Aop!$A$2:$P$453,2,0)</f>
        <v>Aneks</v>
      </c>
      <c r="C404" t="n">
        <v>28</v>
      </c>
      <c r="D404" t="str">
        <f aca="1">Podatak_MB</f>
        <v>1062280</v>
      </c>
      <c r="E404" t="str">
        <f aca="1">Podatak_JIB</f>
        <v>4400471400001</v>
      </c>
      <c r="F404" t="b">
        <f aca="1">Konsolidovan_izvjestaj</f>
        <v>0</v>
      </c>
      <c r="G404" s="20">
        <f aca="1">Datum_Broj</f>
        <v>45382</v>
      </c>
      <c r="H404">
        <f>VLOOKUP($A404,Aop!$A$2:$P$453,4,0)</f>
        <v>663</v>
      </c>
      <c r="I404">
        <f aca="1">Godina</f>
        <v>2024</v>
      </c>
      <c r="J404"/>
      <c r="K404"/>
      <c r="L404"/>
      <c r="M404" t="str">
        <f aca="1">IF(VLOOKUP($H404,INDIRECT("Lookup_"&amp;$B404),IF(LEFT($B404,2)="BS",R$2,R$1),0)="","",VLOOKUP($H404,INDIRECT("Lookup_"&amp;$B404),IF(LEFT($B404,2)="BS",R$2,R$1),0))</f>
        <v/>
      </c>
      <c r="N404" t="str">
        <f aca="1">IF(VLOOKUP($H404,INDIRECT("Lookup_"&amp;$B404),IF(LEFT($B404,2)="BS",S$2,S$1),0)="","",VLOOKUP($H404,INDIRECT("Lookup_"&amp;$B404),IF(LEFT($B404,2)="BS",S$2,S$1),0))</f>
        <v/>
      </c>
    </row>
    <row r="405" spans="1:14">
      <c r="A405" t="n">
        <v>415</v>
      </c>
      <c r="B405" t="str">
        <f>VLOOKUP($A405,Aop!$A$2:$P$453,2,0)</f>
        <v>Aneks</v>
      </c>
      <c r="C405" t="n">
        <v>28</v>
      </c>
      <c r="D405" t="str">
        <f aca="1">Podatak_MB</f>
        <v>1062280</v>
      </c>
      <c r="E405" t="str">
        <f aca="1">Podatak_JIB</f>
        <v>4400471400001</v>
      </c>
      <c r="F405" t="b">
        <f aca="1">Konsolidovan_izvjestaj</f>
        <v>0</v>
      </c>
      <c r="G405" s="20">
        <f aca="1">Datum_Broj</f>
        <v>45382</v>
      </c>
      <c r="H405">
        <f>VLOOKUP($A405,Aop!$A$2:$P$453,4,0)</f>
        <v>664</v>
      </c>
      <c r="I405">
        <f aca="1">Godina</f>
        <v>2024</v>
      </c>
      <c r="J405"/>
      <c r="K405"/>
      <c r="L405"/>
      <c r="M405" t="str">
        <f aca="1">IF(VLOOKUP($H405,INDIRECT("Lookup_"&amp;$B405),IF(LEFT($B405,2)="BS",R$2,R$1),0)="","",VLOOKUP($H405,INDIRECT("Lookup_"&amp;$B405),IF(LEFT($B405,2)="BS",R$2,R$1),0))</f>
        <v/>
      </c>
      <c r="N405" t="str">
        <f aca="1">IF(VLOOKUP($H405,INDIRECT("Lookup_"&amp;$B405),IF(LEFT($B405,2)="BS",S$2,S$1),0)="","",VLOOKUP($H405,INDIRECT("Lookup_"&amp;$B405),IF(LEFT($B405,2)="BS",S$2,S$1),0))</f>
        <v/>
      </c>
    </row>
    <row r="406" spans="1:14">
      <c r="A406" t="n">
        <v>416</v>
      </c>
      <c r="B406" t="str">
        <f>VLOOKUP($A406,Aop!$A$2:$P$453,2,0)</f>
        <v>Aneks</v>
      </c>
      <c r="C406" t="n">
        <v>28</v>
      </c>
      <c r="D406" t="str">
        <f aca="1">Podatak_MB</f>
        <v>1062280</v>
      </c>
      <c r="E406" t="str">
        <f aca="1">Podatak_JIB</f>
        <v>4400471400001</v>
      </c>
      <c r="F406" t="b">
        <f aca="1">Konsolidovan_izvjestaj</f>
        <v>0</v>
      </c>
      <c r="G406" s="20">
        <f aca="1">Datum_Broj</f>
        <v>45382</v>
      </c>
      <c r="H406">
        <f>VLOOKUP($A406,Aop!$A$2:$P$453,4,0)</f>
        <v>665</v>
      </c>
      <c r="I406">
        <f aca="1">Godina</f>
        <v>2024</v>
      </c>
      <c r="J406"/>
      <c r="K406"/>
      <c r="L406"/>
      <c r="M406" t="str">
        <f aca="1">IF(VLOOKUP($H406,INDIRECT("Lookup_"&amp;$B406),IF(LEFT($B406,2)="BS",R$2,R$1),0)="","",VLOOKUP($H406,INDIRECT("Lookup_"&amp;$B406),IF(LEFT($B406,2)="BS",R$2,R$1),0))</f>
        <v/>
      </c>
      <c r="N406" t="str">
        <f aca="1">IF(VLOOKUP($H406,INDIRECT("Lookup_"&amp;$B406),IF(LEFT($B406,2)="BS",S$2,S$1),0)="","",VLOOKUP($H406,INDIRECT("Lookup_"&amp;$B406),IF(LEFT($B406,2)="BS",S$2,S$1),0))</f>
        <v/>
      </c>
    </row>
    <row r="407" spans="1:14">
      <c r="A407" t="n">
        <v>417</v>
      </c>
      <c r="B407" t="str">
        <f>VLOOKUP($A407,Aop!$A$2:$P$453,2,0)</f>
        <v>Aneks</v>
      </c>
      <c r="C407" t="n">
        <v>28</v>
      </c>
      <c r="D407" t="str">
        <f aca="1">Podatak_MB</f>
        <v>1062280</v>
      </c>
      <c r="E407" t="str">
        <f aca="1">Podatak_JIB</f>
        <v>4400471400001</v>
      </c>
      <c r="F407" t="b">
        <f aca="1">Konsolidovan_izvjestaj</f>
        <v>0</v>
      </c>
      <c r="G407" s="20">
        <f aca="1">Datum_Broj</f>
        <v>45382</v>
      </c>
      <c r="H407">
        <f>VLOOKUP($A407,Aop!$A$2:$P$453,4,0)</f>
        <v>666</v>
      </c>
      <c r="I407">
        <f aca="1">Godina</f>
        <v>2024</v>
      </c>
      <c r="J407"/>
      <c r="K407"/>
      <c r="L407"/>
      <c r="M407" t="str">
        <f aca="1">IF(VLOOKUP($H407,INDIRECT("Lookup_"&amp;$B407),IF(LEFT($B407,2)="BS",R$2,R$1),0)="","",VLOOKUP($H407,INDIRECT("Lookup_"&amp;$B407),IF(LEFT($B407,2)="BS",R$2,R$1),0))</f>
        <v/>
      </c>
      <c r="N407" t="str">
        <f aca="1">IF(VLOOKUP($H407,INDIRECT("Lookup_"&amp;$B407),IF(LEFT($B407,2)="BS",S$2,S$1),0)="","",VLOOKUP($H407,INDIRECT("Lookup_"&amp;$B407),IF(LEFT($B407,2)="BS",S$2,S$1),0))</f>
        <v/>
      </c>
    </row>
    <row r="408" spans="1:14">
      <c r="A408" t="n">
        <v>418</v>
      </c>
      <c r="B408" t="str">
        <f>VLOOKUP($A408,Aop!$A$2:$P$453,2,0)</f>
        <v>Aneks</v>
      </c>
      <c r="C408" t="n">
        <v>28</v>
      </c>
      <c r="D408" t="str">
        <f aca="1">Podatak_MB</f>
        <v>1062280</v>
      </c>
      <c r="E408" t="str">
        <f aca="1">Podatak_JIB</f>
        <v>4400471400001</v>
      </c>
      <c r="F408" t="b">
        <f aca="1">Konsolidovan_izvjestaj</f>
        <v>0</v>
      </c>
      <c r="G408" s="20">
        <f aca="1">Datum_Broj</f>
        <v>45382</v>
      </c>
      <c r="H408">
        <f>VLOOKUP($A408,Aop!$A$2:$P$453,4,0)</f>
        <v>667</v>
      </c>
      <c r="I408">
        <f aca="1">Godina</f>
        <v>2024</v>
      </c>
      <c r="J408"/>
      <c r="K408"/>
      <c r="L408"/>
      <c r="M408" s="575">
        <f aca="1">IF(VLOOKUP($H408,INDIRECT("Lookup_"&amp;$B408),IF(LEFT($B408,2)="BS",R$2,R$1),0)="","",VLOOKUP($H408,INDIRECT("Lookup_"&amp;$B408),IF(LEFT($B408,2)="BS",R$2,R$1),0))</f>
        <v>11700</v>
      </c>
      <c r="N408" s="571">
        <f aca="1">IF(VLOOKUP($H408,INDIRECT("Lookup_"&amp;$B408),IF(LEFT($B408,2)="BS",S$2,S$1),0)="","",VLOOKUP($H408,INDIRECT("Lookup_"&amp;$B408),IF(LEFT($B408,2)="BS",S$2,S$1),0))</f>
        <v>11744</v>
      </c>
    </row>
  </sheetData>
  <sheetProtection algorithmName="SHA-512" hashValue="ng72DiAx+Qjj/DBMe5s8z5dDHAtbasr3nPDDlbaI89l9Z5tW1CgW1hdruoX2SGYnkwuFKGNaF9JDleirA70omw==" saltValue="UEIQZqo+6w1bjnEbL9WhpQ==" spinCount="100000" sheet="1" autoFilter="0"/>
  <printOptions>
    <extLst>
      <ext uri="smNativeData">
        <pm:pageFlags xmlns:pm="smNativeData" id="1714042646" printRowHead="0" printColHead="0" printHeadLine="0" printFootLine="0" autoHeightHeader="0" autoHeightFooter="0" fitToPageBoth="0"/>
      </ext>
    </extLst>
  </printOptions>
  <pageMargins left="0.700000" right="0.700000" top="0.750000" bottom="0.750000" header="0.300000" footer="0.300000"/>
  <pageSetup paperSize="9" fitToWidth="0" fitToHeight="1"/>
  <header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tableParts count="1">
    <tablePart r:id="rId1"/>
  </tableParts>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13.xml><?xml version="1.0" encoding="utf-8"?>
<worksheet xmlns="http://schemas.openxmlformats.org/spreadsheetml/2006/main" xmlns:r="http://schemas.openxmlformats.org/officeDocument/2006/relationships" xmlns:mc="http://schemas.openxmlformats.org/markup-compatibility/2006">
  <dimension ref="A1:S35"/>
  <sheetViews>
    <sheetView showGridLines="0" showRowColHeaders="0" view="normal" workbookViewId="0">
      <selection activeCell="I2" sqref="I2"/>
    </sheetView>
  </sheetViews>
  <sheetFormatPr defaultRowHeight="14.20"/>
  <cols>
    <col min="1" max="1" width="4.712871" customWidth="1"/>
    <col min="3" max="4" width="24.138614" customWidth="1"/>
    <col min="5" max="5" width="12.851485" customWidth="1"/>
    <col min="6" max="6" width="9.000000" customWidth="1"/>
    <col min="7" max="7" width="11.000000" customWidth="1"/>
    <col min="8" max="8" width="10.851485" customWidth="1"/>
    <col min="9" max="9" width="17.712871" customWidth="1"/>
    <col min="10" max="17" width="11.000000" customWidth="1"/>
  </cols>
  <sheetData>
    <row r="1" spans="1:19">
      <c r="A1" s="94" t="s">
        <v>66</v>
      </c>
      <c r="B1" s="95" t="s">
        <v>587</v>
      </c>
      <c r="C1" s="60" t="s">
        <v>203</v>
      </c>
      <c r="D1" s="60" t="s">
        <v>223</v>
      </c>
      <c r="E1" t="s">
        <v>3072</v>
      </c>
      <c r="F1" s="60" t="s">
        <v>404</v>
      </c>
      <c r="G1" s="96" t="s">
        <v>122</v>
      </c>
      <c r="H1" s="96" t="s">
        <v>3047</v>
      </c>
      <c r="I1" s="96" t="s">
        <v>172</v>
      </c>
      <c r="J1" s="96" t="s">
        <v>2271</v>
      </c>
      <c r="K1" s="96" t="s">
        <v>2276</v>
      </c>
      <c r="L1" s="96" t="s">
        <v>2302</v>
      </c>
      <c r="M1" s="96" t="s">
        <v>2307</v>
      </c>
      <c r="N1" s="96" t="s">
        <v>2353</v>
      </c>
      <c r="O1" s="96" t="s">
        <v>2358</v>
      </c>
      <c r="P1" s="96" t="s">
        <v>2364</v>
      </c>
      <c r="Q1" s="96" t="s">
        <v>2370</v>
      </c>
      <c r="R1" s="96" t="s">
        <v>2376</v>
      </c>
      <c r="S1" s="96" t="s">
        <v>2382</v>
      </c>
    </row>
    <row r="2" spans="1:19">
      <c r="A2" s="92" t="n">
        <v>419</v>
      </c>
      <c r="B2" s="93" t="str">
        <f>VLOOKUP($A2,Aop!$A$2:$P$453,2,0)</f>
        <v>BPK</v>
      </c>
      <c r="C2" t="str">
        <f aca="1">Podatak_MB</f>
        <v>1062280</v>
      </c>
      <c r="D2" t="str">
        <f aca="1">Podatak_JIB</f>
        <v>4400471400001</v>
      </c>
      <c r="E2" t="b">
        <f aca="1">Konsolidovan_izvjestaj</f>
        <v>0</v>
      </c>
      <c r="F2">
        <f>VLOOKUP($A2,Aop!$A$2:$P$453,4,0)</f>
        <v>0</v>
      </c>
      <c r="G2">
        <f aca="1">Godina</f>
        <v>2024</v>
      </c>
      <c r="H2" s="20">
        <f aca="1">Datum_Broj</f>
        <v>45382</v>
      </c>
      <c r="I2" t="n">
        <v>30</v>
      </c>
      <c r="J2" t="s">
        <v>50</v>
      </c>
      <c r="K2" t="s">
        <v>50</v>
      </c>
      <c r="L2" t="s">
        <v>50</v>
      </c>
      <c r="M2" t="s">
        <v>50</v>
      </c>
      <c r="N2" t="s">
        <v>50</v>
      </c>
      <c r="O2" t="s">
        <v>50</v>
      </c>
      <c r="P2" t="s">
        <v>50</v>
      </c>
      <c r="Q2" t="s">
        <v>50</v>
      </c>
      <c r="R2" t="s">
        <v>50</v>
      </c>
      <c r="S2" t="s">
        <v>50</v>
      </c>
    </row>
    <row r="3" spans="1:19">
      <c r="A3" s="92" t="n">
        <v>420</v>
      </c>
      <c r="B3" s="93" t="str">
        <f>VLOOKUP($A3,Aop!$A$2:$P$453,2,0)</f>
        <v>BPK</v>
      </c>
      <c r="C3" t="str">
        <f aca="1">Podatak_MB</f>
        <v>1062280</v>
      </c>
      <c r="D3" t="str">
        <f aca="1">Podatak_JIB</f>
        <v>4400471400001</v>
      </c>
      <c r="E3" t="b">
        <f aca="1">Konsolidovan_izvjestaj</f>
        <v>0</v>
      </c>
      <c r="F3">
        <f>VLOOKUP($A3,Aop!$A$2:$P$453,4,0)</f>
        <v>901</v>
      </c>
      <c r="G3">
        <f aca="1">Godina</f>
        <v>2024</v>
      </c>
      <c r="H3" s="20">
        <f aca="1">Datum_Broj</f>
        <v>45382</v>
      </c>
      <c r="I3" t="n">
        <v>30</v>
      </c>
      <c r="J3" s="571">
        <f aca="1">IF(VLOOKUP($F3,INDIRECT("Lookup_"&amp;$B3),J$1-1,0)="","",VLOOKUP($F3,INDIRECT("Lookup_"&amp;$B3),J$1-1,0))</f>
        <v>6015177</v>
      </c>
      <c r="K3" t="str">
        <f aca="1">IF(VLOOKUP($F3,INDIRECT("Lookup_"&amp;$B3),K$1-1,0)="","",VLOOKUP($F3,INDIRECT("Lookup_"&amp;$B3),K$1-1,0))</f>
        <v/>
      </c>
      <c r="L3" t="str">
        <f aca="1">IF(VLOOKUP($F3,INDIRECT("Lookup_"&amp;$B3),L$1-1,0)="","",VLOOKUP($F3,INDIRECT("Lookup_"&amp;$B3),L$1-1,0))</f>
        <v/>
      </c>
      <c r="M3" s="571">
        <f aca="1">IF(VLOOKUP($F3,INDIRECT("Lookup_"&amp;$B3),M$1-1,0)="","",VLOOKUP($F3,INDIRECT("Lookup_"&amp;$B3),M$1-1,0))</f>
        <v>262625</v>
      </c>
      <c r="N3" t="str">
        <f aca="1">IF(VLOOKUP($F3,INDIRECT("Lookup_"&amp;$B3),N$1-1,0)="","",VLOOKUP($F3,INDIRECT("Lookup_"&amp;$B3),N$1-1,0))</f>
        <v/>
      </c>
      <c r="O3" s="571">
        <f aca="1">IF(VLOOKUP($F3,INDIRECT("Lookup_"&amp;$B3),O$1-1,0)="","",VLOOKUP($F3,INDIRECT("Lookup_"&amp;$B3),O$1-1,0))</f>
        <v>869</v>
      </c>
      <c r="P3" s="571">
        <f aca="1">IF(VLOOKUP($F3,INDIRECT("Lookup_"&amp;$B3),P$1-1,0)="","",VLOOKUP($F3,INDIRECT("Lookup_"&amp;$B3),P$1-1,0))</f>
        <v>-5092009</v>
      </c>
      <c r="Q3" s="571">
        <f aca="1">IF(VLOOKUP($F3,INDIRECT("Lookup_"&amp;$B3),Q$1-1,0)="","",VLOOKUP($F3,INDIRECT("Lookup_"&amp;$B3),Q$1-1,0))</f>
        <v>1186662</v>
      </c>
      <c r="R3" t="str">
        <f aca="1">IF(VLOOKUP($F3,INDIRECT("Lookup_"&amp;$B3),R$1-1,0)="","",VLOOKUP($F3,INDIRECT("Lookup_"&amp;$B3),R$1-1,0))</f>
        <v/>
      </c>
      <c r="S3" s="571">
        <f aca="1">IF(VLOOKUP($F3,INDIRECT("Lookup_"&amp;$B3),S$1-1,0)="","",VLOOKUP($F3,INDIRECT("Lookup_"&amp;$B3),S$1-1,0))</f>
        <v>1186662</v>
      </c>
    </row>
    <row r="4" spans="1:19">
      <c r="A4" s="92" t="n">
        <v>421</v>
      </c>
      <c r="B4" s="93" t="str">
        <f>VLOOKUP($A4,Aop!$A$2:$P$453,2,0)</f>
        <v>BPK</v>
      </c>
      <c r="C4" t="str">
        <f aca="1">Podatak_MB</f>
        <v>1062280</v>
      </c>
      <c r="D4" t="str">
        <f aca="1">Podatak_JIB</f>
        <v>4400471400001</v>
      </c>
      <c r="E4" t="b">
        <f aca="1">Konsolidovan_izvjestaj</f>
        <v>0</v>
      </c>
      <c r="F4">
        <f>VLOOKUP($A4,Aop!$A$2:$P$453,4,0)</f>
        <v>0</v>
      </c>
      <c r="G4">
        <f aca="1">Godina</f>
        <v>2024</v>
      </c>
      <c r="H4" s="20">
        <f aca="1">Datum_Broj</f>
        <v>45382</v>
      </c>
      <c r="I4" t="n">
        <v>30</v>
      </c>
      <c r="J4" t="s">
        <v>50</v>
      </c>
      <c r="K4" t="s">
        <v>50</v>
      </c>
      <c r="L4" t="s">
        <v>50</v>
      </c>
      <c r="M4" t="s">
        <v>50</v>
      </c>
      <c r="N4" t="s">
        <v>50</v>
      </c>
      <c r="O4" t="s">
        <v>50</v>
      </c>
      <c r="P4" t="s">
        <v>50</v>
      </c>
      <c r="Q4" t="s">
        <v>50</v>
      </c>
      <c r="R4" t="s">
        <v>50</v>
      </c>
      <c r="S4" t="s">
        <v>50</v>
      </c>
    </row>
    <row r="5" spans="1:19">
      <c r="A5" s="92" t="n">
        <v>422</v>
      </c>
      <c r="B5" s="93" t="str">
        <f>VLOOKUP($A5,Aop!$A$2:$P$453,2,0)</f>
        <v>BPK</v>
      </c>
      <c r="C5" t="str">
        <f aca="1">Podatak_MB</f>
        <v>1062280</v>
      </c>
      <c r="D5" t="str">
        <f aca="1">Podatak_JIB</f>
        <v>4400471400001</v>
      </c>
      <c r="E5" t="b">
        <f aca="1">Konsolidovan_izvjestaj</f>
        <v>0</v>
      </c>
      <c r="F5">
        <f>VLOOKUP($A5,Aop!$A$2:$P$453,4,0)</f>
        <v>902</v>
      </c>
      <c r="G5">
        <f aca="1">Godina</f>
        <v>2024</v>
      </c>
      <c r="H5" s="20">
        <f aca="1">Datum_Broj</f>
        <v>45382</v>
      </c>
      <c r="I5" t="n">
        <v>30</v>
      </c>
      <c r="J5" t="str">
        <f aca="1">IF(VLOOKUP($F5,INDIRECT("Lookup_"&amp;$B5),J$1-1,0)="","",VLOOKUP($F5,INDIRECT("Lookup_"&amp;$B5),J$1-1,0))</f>
        <v/>
      </c>
      <c r="K5" t="str">
        <f aca="1">IF(VLOOKUP($F5,INDIRECT("Lookup_"&amp;$B5),K$1-1,0)="","",VLOOKUP($F5,INDIRECT("Lookup_"&amp;$B5),K$1-1,0))</f>
        <v/>
      </c>
      <c r="L5" t="str">
        <f aca="1">IF(VLOOKUP($F5,INDIRECT("Lookup_"&amp;$B5),L$1-1,0)="","",VLOOKUP($F5,INDIRECT("Lookup_"&amp;$B5),L$1-1,0))</f>
        <v/>
      </c>
      <c r="M5" t="str">
        <f aca="1">IF(VLOOKUP($F5,INDIRECT("Lookup_"&amp;$B5),M$1-1,0)="","",VLOOKUP($F5,INDIRECT("Lookup_"&amp;$B5),M$1-1,0))</f>
        <v/>
      </c>
      <c r="N5" t="str">
        <f aca="1">IF(VLOOKUP($F5,INDIRECT("Lookup_"&amp;$B5),N$1-1,0)="","",VLOOKUP($F5,INDIRECT("Lookup_"&amp;$B5),N$1-1,0))</f>
        <v/>
      </c>
      <c r="O5" t="str">
        <f aca="1">IF(VLOOKUP($F5,INDIRECT("Lookup_"&amp;$B5),O$1-1,0)="","",VLOOKUP($F5,INDIRECT("Lookup_"&amp;$B5),O$1-1,0))</f>
        <v/>
      </c>
      <c r="P5" t="str">
        <f aca="1">IF(VLOOKUP($F5,INDIRECT("Lookup_"&amp;$B5),P$1-1,0)="","",VLOOKUP($F5,INDIRECT("Lookup_"&amp;$B5),P$1-1,0))</f>
        <v/>
      </c>
      <c r="Q5" s="571">
        <f aca="1">IF(VLOOKUP($F5,INDIRECT("Lookup_"&amp;$B5),Q$1-1,0)="","",VLOOKUP($F5,INDIRECT("Lookup_"&amp;$B5),Q$1-1,0))</f>
        <v>0</v>
      </c>
      <c r="R5" t="str">
        <f aca="1">IF(VLOOKUP($F5,INDIRECT("Lookup_"&amp;$B5),R$1-1,0)="","",VLOOKUP($F5,INDIRECT("Lookup_"&amp;$B5),R$1-1,0))</f>
        <v/>
      </c>
      <c r="S5" s="571">
        <f aca="1">IF(VLOOKUP($F5,INDIRECT("Lookup_"&amp;$B5),S$1-1,0)="","",VLOOKUP($F5,INDIRECT("Lookup_"&amp;$B5),S$1-1,0))</f>
        <v>0</v>
      </c>
    </row>
    <row r="6" spans="1:19">
      <c r="A6" s="92" t="n">
        <v>423</v>
      </c>
      <c r="B6" s="93" t="str">
        <f>VLOOKUP($A6,Aop!$A$2:$P$453,2,0)</f>
        <v>BPK</v>
      </c>
      <c r="C6" t="str">
        <f aca="1">Podatak_MB</f>
        <v>1062280</v>
      </c>
      <c r="D6" t="str">
        <f aca="1">Podatak_JIB</f>
        <v>4400471400001</v>
      </c>
      <c r="E6" t="b">
        <f aca="1">Konsolidovan_izvjestaj</f>
        <v>0</v>
      </c>
      <c r="F6">
        <f>VLOOKUP($A6,Aop!$A$2:$P$453,4,0)</f>
        <v>903</v>
      </c>
      <c r="G6">
        <f aca="1">Godina</f>
        <v>2024</v>
      </c>
      <c r="H6" s="20">
        <f aca="1">Datum_Broj</f>
        <v>45382</v>
      </c>
      <c r="I6" t="n">
        <v>30</v>
      </c>
      <c r="J6" t="str">
        <f aca="1">IF(VLOOKUP($F6,INDIRECT("Lookup_"&amp;$B6),J$1-1,0)="","",VLOOKUP($F6,INDIRECT("Lookup_"&amp;$B6),J$1-1,0))</f>
        <v/>
      </c>
      <c r="K6" t="str">
        <f aca="1">IF(VLOOKUP($F6,INDIRECT("Lookup_"&amp;$B6),K$1-1,0)="","",VLOOKUP($F6,INDIRECT("Lookup_"&amp;$B6),K$1-1,0))</f>
        <v/>
      </c>
      <c r="L6" t="str">
        <f aca="1">IF(VLOOKUP($F6,INDIRECT("Lookup_"&amp;$B6),L$1-1,0)="","",VLOOKUP($F6,INDIRECT("Lookup_"&amp;$B6),L$1-1,0))</f>
        <v/>
      </c>
      <c r="M6" t="str">
        <f aca="1">IF(VLOOKUP($F6,INDIRECT("Lookup_"&amp;$B6),M$1-1,0)="","",VLOOKUP($F6,INDIRECT("Lookup_"&amp;$B6),M$1-1,0))</f>
        <v/>
      </c>
      <c r="N6" t="str">
        <f aca="1">IF(VLOOKUP($F6,INDIRECT("Lookup_"&amp;$B6),N$1-1,0)="","",VLOOKUP($F6,INDIRECT("Lookup_"&amp;$B6),N$1-1,0))</f>
        <v/>
      </c>
      <c r="O6" t="str">
        <f aca="1">IF(VLOOKUP($F6,INDIRECT("Lookup_"&amp;$B6),O$1-1,0)="","",VLOOKUP($F6,INDIRECT("Lookup_"&amp;$B6),O$1-1,0))</f>
        <v/>
      </c>
      <c r="P6" s="571" t="str">
        <f aca="1">IF(VLOOKUP($F6,INDIRECT("Lookup_"&amp;$B6),P$1-1,0)="","",VLOOKUP($F6,INDIRECT("Lookup_"&amp;$B6),P$1-1,0))</f>
        <v/>
      </c>
      <c r="Q6" s="571">
        <f aca="1">IF(VLOOKUP($F6,INDIRECT("Lookup_"&amp;$B6),Q$1-1,0)="","",VLOOKUP($F6,INDIRECT("Lookup_"&amp;$B6),Q$1-1,0))</f>
        <v>0</v>
      </c>
      <c r="R6" t="str">
        <f aca="1">IF(VLOOKUP($F6,INDIRECT("Lookup_"&amp;$B6),R$1-1,0)="","",VLOOKUP($F6,INDIRECT("Lookup_"&amp;$B6),R$1-1,0))</f>
        <v/>
      </c>
      <c r="S6" s="571">
        <f aca="1">IF(VLOOKUP($F6,INDIRECT("Lookup_"&amp;$B6),S$1-1,0)="","",VLOOKUP($F6,INDIRECT("Lookup_"&amp;$B6),S$1-1,0))</f>
        <v>0</v>
      </c>
    </row>
    <row r="7" spans="1:19">
      <c r="A7" s="92" t="n">
        <v>424</v>
      </c>
      <c r="B7" s="93" t="str">
        <f>VLOOKUP($A7,Aop!$A$2:$P$453,2,0)</f>
        <v>BPK</v>
      </c>
      <c r="C7" t="str">
        <f aca="1">Podatak_MB</f>
        <v>1062280</v>
      </c>
      <c r="D7" t="str">
        <f aca="1">Podatak_JIB</f>
        <v>4400471400001</v>
      </c>
      <c r="E7" t="b">
        <f aca="1">Konsolidovan_izvjestaj</f>
        <v>0</v>
      </c>
      <c r="F7">
        <f>VLOOKUP($A7,Aop!$A$2:$P$453,4,0)</f>
        <v>904</v>
      </c>
      <c r="G7">
        <f aca="1">Godina</f>
        <v>2024</v>
      </c>
      <c r="H7" s="20">
        <f aca="1">Datum_Broj</f>
        <v>45382</v>
      </c>
      <c r="I7" t="n">
        <v>30</v>
      </c>
      <c r="J7" s="571">
        <f aca="1">IF(VLOOKUP($F7,INDIRECT("Lookup_"&amp;$B7),J$1-1,0)="","",VLOOKUP($F7,INDIRECT("Lookup_"&amp;$B7),J$1-1,0))</f>
        <v>6015177</v>
      </c>
      <c r="K7" s="571">
        <f aca="1">IF(VLOOKUP($F7,INDIRECT("Lookup_"&amp;$B7),K$1-1,0)="","",VLOOKUP($F7,INDIRECT("Lookup_"&amp;$B7),K$1-1,0))</f>
        <v>0</v>
      </c>
      <c r="L7" s="571">
        <f aca="1">IF(VLOOKUP($F7,INDIRECT("Lookup_"&amp;$B7),L$1-1,0)="","",VLOOKUP($F7,INDIRECT("Lookup_"&amp;$B7),L$1-1,0))</f>
        <v>0</v>
      </c>
      <c r="M7" s="571">
        <f aca="1">IF(VLOOKUP($F7,INDIRECT("Lookup_"&amp;$B7),M$1-1,0)="","",VLOOKUP($F7,INDIRECT("Lookup_"&amp;$B7),M$1-1,0))</f>
        <v>262625</v>
      </c>
      <c r="N7" s="571">
        <f aca="1">IF(VLOOKUP($F7,INDIRECT("Lookup_"&amp;$B7),N$1-1,0)="","",VLOOKUP($F7,INDIRECT("Lookup_"&amp;$B7),N$1-1,0))</f>
        <v>0</v>
      </c>
      <c r="O7" s="571">
        <f aca="1">IF(VLOOKUP($F7,INDIRECT("Lookup_"&amp;$B7),O$1-1,0)="","",VLOOKUP($F7,INDIRECT("Lookup_"&amp;$B7),O$1-1,0))</f>
        <v>869</v>
      </c>
      <c r="P7" s="571">
        <f aca="1">IF(VLOOKUP($F7,INDIRECT("Lookup_"&amp;$B7),P$1-1,0)="","",VLOOKUP($F7,INDIRECT("Lookup_"&amp;$B7),P$1-1,0))</f>
        <v>-5092009</v>
      </c>
      <c r="Q7" s="571">
        <f aca="1">IF(VLOOKUP($F7,INDIRECT("Lookup_"&amp;$B7),Q$1-1,0)="","",VLOOKUP($F7,INDIRECT("Lookup_"&amp;$B7),Q$1-1,0))</f>
        <v>1186662</v>
      </c>
      <c r="R7" s="571">
        <f aca="1">IF(VLOOKUP($F7,INDIRECT("Lookup_"&amp;$B7),R$1-1,0)="","",VLOOKUP($F7,INDIRECT("Lookup_"&amp;$B7),R$1-1,0))</f>
        <v>0</v>
      </c>
      <c r="S7" s="571">
        <f aca="1">IF(VLOOKUP($F7,INDIRECT("Lookup_"&amp;$B7),S$1-1,0)="","",VLOOKUP($F7,INDIRECT("Lookup_"&amp;$B7),S$1-1,0))</f>
        <v>1186662</v>
      </c>
    </row>
    <row r="8" spans="1:19">
      <c r="A8" s="92" t="n">
        <v>425</v>
      </c>
      <c r="B8" s="93" t="str">
        <f>VLOOKUP($A8,Aop!$A$2:$P$453,2,0)</f>
        <v>BPK</v>
      </c>
      <c r="C8" t="str">
        <f aca="1">Podatak_MB</f>
        <v>1062280</v>
      </c>
      <c r="D8" t="str">
        <f aca="1">Podatak_JIB</f>
        <v>4400471400001</v>
      </c>
      <c r="E8" t="b">
        <f aca="1">Konsolidovan_izvjestaj</f>
        <v>0</v>
      </c>
      <c r="F8">
        <f>VLOOKUP($A8,Aop!$A$2:$P$453,4,0)</f>
        <v>0</v>
      </c>
      <c r="G8">
        <f aca="1">Godina</f>
        <v>2024</v>
      </c>
      <c r="H8" s="20">
        <f aca="1">Datum_Broj</f>
        <v>45382</v>
      </c>
      <c r="I8" t="n">
        <v>30</v>
      </c>
      <c r="J8" t="s">
        <v>50</v>
      </c>
      <c r="K8" t="s">
        <v>50</v>
      </c>
      <c r="L8" t="s">
        <v>50</v>
      </c>
      <c r="M8" t="s">
        <v>50</v>
      </c>
      <c r="N8" t="s">
        <v>50</v>
      </c>
      <c r="O8" t="s">
        <v>50</v>
      </c>
      <c r="P8" t="s">
        <v>50</v>
      </c>
      <c r="Q8" t="s">
        <v>50</v>
      </c>
      <c r="R8" t="s">
        <v>50</v>
      </c>
      <c r="S8" t="s">
        <v>50</v>
      </c>
    </row>
    <row r="9" spans="1:19">
      <c r="A9" s="92" t="n">
        <v>426</v>
      </c>
      <c r="B9" s="93" t="str">
        <f>VLOOKUP($A9,Aop!$A$2:$P$453,2,0)</f>
        <v>BPK</v>
      </c>
      <c r="C9" t="str">
        <f aca="1">Podatak_MB</f>
        <v>1062280</v>
      </c>
      <c r="D9" t="str">
        <f aca="1">Podatak_JIB</f>
        <v>4400471400001</v>
      </c>
      <c r="E9" t="b">
        <f aca="1">Konsolidovan_izvjestaj</f>
        <v>0</v>
      </c>
      <c r="F9">
        <f>VLOOKUP($A9,Aop!$A$2:$P$453,4,0)</f>
        <v>905</v>
      </c>
      <c r="G9">
        <f aca="1">Godina</f>
        <v>2024</v>
      </c>
      <c r="H9" s="20">
        <f aca="1">Datum_Broj</f>
        <v>45382</v>
      </c>
      <c r="I9" t="n">
        <v>30</v>
      </c>
      <c r="J9" t="str">
        <f aca="1">IF(VLOOKUP($F9,INDIRECT("Lookup_"&amp;$B9),J$1-1,0)="","",VLOOKUP($F9,INDIRECT("Lookup_"&amp;$B9),J$1-1,0))</f>
        <v/>
      </c>
      <c r="K9" t="str">
        <f aca="1">IF(VLOOKUP($F9,INDIRECT("Lookup_"&amp;$B9),K$1-1,0)="","",VLOOKUP($F9,INDIRECT("Lookup_"&amp;$B9),K$1-1,0))</f>
        <v/>
      </c>
      <c r="L9" t="str">
        <f aca="1">IF(VLOOKUP($F9,INDIRECT("Lookup_"&amp;$B9),L$1-1,0)="","",VLOOKUP($F9,INDIRECT("Lookup_"&amp;$B9),L$1-1,0))</f>
        <v/>
      </c>
      <c r="M9" t="str">
        <f aca="1">IF(VLOOKUP($F9,INDIRECT("Lookup_"&amp;$B9),M$1-1,0)="","",VLOOKUP($F9,INDIRECT("Lookup_"&amp;$B9),M$1-1,0))</f>
        <v/>
      </c>
      <c r="N9" t="str">
        <f aca="1">IF(VLOOKUP($F9,INDIRECT("Lookup_"&amp;$B9),N$1-1,0)="","",VLOOKUP($F9,INDIRECT("Lookup_"&amp;$B9),N$1-1,0))</f>
        <v/>
      </c>
      <c r="O9" t="str">
        <f aca="1">IF(VLOOKUP($F9,INDIRECT("Lookup_"&amp;$B9),O$1-1,0)="","",VLOOKUP($F9,INDIRECT("Lookup_"&amp;$B9),O$1-1,0))</f>
        <v/>
      </c>
      <c r="P9" s="571">
        <f aca="1">IF(VLOOKUP($F9,INDIRECT("Lookup_"&amp;$B9),P$1-1,0)="","",VLOOKUP($F9,INDIRECT("Lookup_"&amp;$B9),P$1-1,0))</f>
        <v>5446</v>
      </c>
      <c r="Q9" s="571">
        <f aca="1">IF(VLOOKUP($F9,INDIRECT("Lookup_"&amp;$B9),Q$1-1,0)="","",VLOOKUP($F9,INDIRECT("Lookup_"&amp;$B9),Q$1-1,0))</f>
        <v>5446</v>
      </c>
      <c r="R9" t="str">
        <f aca="1">IF(VLOOKUP($F9,INDIRECT("Lookup_"&amp;$B9),R$1-1,0)="","",VLOOKUP($F9,INDIRECT("Lookup_"&amp;$B9),R$1-1,0))</f>
        <v/>
      </c>
      <c r="S9" s="571">
        <f aca="1">IF(VLOOKUP($F9,INDIRECT("Lookup_"&amp;$B9),S$1-1,0)="","",VLOOKUP($F9,INDIRECT("Lookup_"&amp;$B9),S$1-1,0))</f>
        <v>5446</v>
      </c>
    </row>
    <row r="10" spans="1:19">
      <c r="A10" s="92" t="n">
        <v>427</v>
      </c>
      <c r="B10" s="93" t="str">
        <f>VLOOKUP($A10,Aop!$A$2:$P$453,2,0)</f>
        <v>BPK</v>
      </c>
      <c r="C10" t="str">
        <f aca="1">Podatak_MB</f>
        <v>1062280</v>
      </c>
      <c r="D10" t="str">
        <f aca="1">Podatak_JIB</f>
        <v>4400471400001</v>
      </c>
      <c r="E10" t="b">
        <f aca="1">Konsolidovan_izvjestaj</f>
        <v>0</v>
      </c>
      <c r="F10">
        <f>VLOOKUP($A10,Aop!$A$2:$P$453,4,0)</f>
        <v>906</v>
      </c>
      <c r="G10">
        <f aca="1">Godina</f>
        <v>2024</v>
      </c>
      <c r="H10" s="20">
        <f aca="1">Datum_Broj</f>
        <v>45382</v>
      </c>
      <c r="I10" t="n">
        <v>30</v>
      </c>
      <c r="J10" t="str">
        <f aca="1">IF(VLOOKUP($F10,INDIRECT("Lookup_"&amp;$B10),J$1-1,0)="","",VLOOKUP($F10,INDIRECT("Lookup_"&amp;$B10),J$1-1,0))</f>
        <v/>
      </c>
      <c r="K10" t="str">
        <f aca="1">IF(VLOOKUP($F10,INDIRECT("Lookup_"&amp;$B10),K$1-1,0)="","",VLOOKUP($F10,INDIRECT("Lookup_"&amp;$B10),K$1-1,0))</f>
        <v/>
      </c>
      <c r="L10" t="str">
        <f aca="1">IF(VLOOKUP($F10,INDIRECT("Lookup_"&amp;$B10),L$1-1,0)="","",VLOOKUP($F10,INDIRECT("Lookup_"&amp;$B10),L$1-1,0))</f>
        <v/>
      </c>
      <c r="M10" s="571">
        <f aca="1">IF(VLOOKUP($F10,INDIRECT("Lookup_"&amp;$B10),M$1-1,0)="","",VLOOKUP($F10,INDIRECT("Lookup_"&amp;$B10),M$1-1,0))</f>
        <v>-10942</v>
      </c>
      <c r="N10" t="str">
        <f aca="1">IF(VLOOKUP($F10,INDIRECT("Lookup_"&amp;$B10),N$1-1,0)="","",VLOOKUP($F10,INDIRECT("Lookup_"&amp;$B10),N$1-1,0))</f>
        <v/>
      </c>
      <c r="O10" t="str">
        <f aca="1">IF(VLOOKUP($F10,INDIRECT("Lookup_"&amp;$B10),O$1-1,0)="","",VLOOKUP($F10,INDIRECT("Lookup_"&amp;$B10),O$1-1,0))</f>
        <v/>
      </c>
      <c r="P10" s="571">
        <f aca="1">IF(VLOOKUP($F10,INDIRECT("Lookup_"&amp;$B10),P$1-1,0)="","",VLOOKUP($F10,INDIRECT("Lookup_"&amp;$B10),P$1-1,0))</f>
        <v>10942</v>
      </c>
      <c r="Q10" s="571">
        <f aca="1">IF(VLOOKUP($F10,INDIRECT("Lookup_"&amp;$B10),Q$1-1,0)="","",VLOOKUP($F10,INDIRECT("Lookup_"&amp;$B10),Q$1-1,0))</f>
        <v>0</v>
      </c>
      <c r="R10" t="str">
        <f aca="1">IF(VLOOKUP($F10,INDIRECT("Lookup_"&amp;$B10),R$1-1,0)="","",VLOOKUP($F10,INDIRECT("Lookup_"&amp;$B10),R$1-1,0))</f>
        <v/>
      </c>
      <c r="S10" s="571">
        <f aca="1">IF(VLOOKUP($F10,INDIRECT("Lookup_"&amp;$B10),S$1-1,0)="","",VLOOKUP($F10,INDIRECT("Lookup_"&amp;$B10),S$1-1,0))</f>
        <v>0</v>
      </c>
    </row>
    <row r="11" spans="1:19">
      <c r="A11" s="92" t="n">
        <v>428</v>
      </c>
      <c r="B11" s="93" t="str">
        <f>VLOOKUP($A11,Aop!$A$2:$P$453,2,0)</f>
        <v>BPK</v>
      </c>
      <c r="C11" t="str">
        <f aca="1">Podatak_MB</f>
        <v>1062280</v>
      </c>
      <c r="D11" t="str">
        <f aca="1">Podatak_JIB</f>
        <v>4400471400001</v>
      </c>
      <c r="E11" t="b">
        <f aca="1">Konsolidovan_izvjestaj</f>
        <v>0</v>
      </c>
      <c r="F11">
        <f>VLOOKUP($A11,Aop!$A$2:$P$453,4,0)</f>
        <v>907</v>
      </c>
      <c r="G11">
        <f aca="1">Godina</f>
        <v>2024</v>
      </c>
      <c r="H11" s="20">
        <f aca="1">Datum_Broj</f>
        <v>45382</v>
      </c>
      <c r="I11" t="n">
        <v>30</v>
      </c>
      <c r="J11" s="571">
        <f aca="1">IF(VLOOKUP($F11,INDIRECT("Lookup_"&amp;$B11),J$1-1,0)="","",VLOOKUP($F11,INDIRECT("Lookup_"&amp;$B11),J$1-1,0))</f>
        <v>0</v>
      </c>
      <c r="K11" s="571">
        <f aca="1">IF(VLOOKUP($F11,INDIRECT("Lookup_"&amp;$B11),K$1-1,0)="","",VLOOKUP($F11,INDIRECT("Lookup_"&amp;$B11),K$1-1,0))</f>
        <v>0</v>
      </c>
      <c r="L11" s="571">
        <f aca="1">IF(VLOOKUP($F11,INDIRECT("Lookup_"&amp;$B11),L$1-1,0)="","",VLOOKUP($F11,INDIRECT("Lookup_"&amp;$B11),L$1-1,0))</f>
        <v>0</v>
      </c>
      <c r="M11" s="571">
        <f aca="1">IF(VLOOKUP($F11,INDIRECT("Lookup_"&amp;$B11),M$1-1,0)="","",VLOOKUP($F11,INDIRECT("Lookup_"&amp;$B11),M$1-1,0))</f>
        <v>-10942</v>
      </c>
      <c r="N11" s="571">
        <f aca="1">IF(VLOOKUP($F11,INDIRECT("Lookup_"&amp;$B11),N$1-1,0)="","",VLOOKUP($F11,INDIRECT("Lookup_"&amp;$B11),N$1-1,0))</f>
        <v>0</v>
      </c>
      <c r="O11" s="571">
        <f aca="1">IF(VLOOKUP($F11,INDIRECT("Lookup_"&amp;$B11),O$1-1,0)="","",VLOOKUP($F11,INDIRECT("Lookup_"&amp;$B11),O$1-1,0))</f>
        <v>0</v>
      </c>
      <c r="P11" s="571">
        <f aca="1">IF(VLOOKUP($F11,INDIRECT("Lookup_"&amp;$B11),P$1-1,0)="","",VLOOKUP($F11,INDIRECT("Lookup_"&amp;$B11),P$1-1,0))</f>
        <v>16388</v>
      </c>
      <c r="Q11" s="571">
        <f aca="1">IF(VLOOKUP($F11,INDIRECT("Lookup_"&amp;$B11),Q$1-1,0)="","",VLOOKUP($F11,INDIRECT("Lookup_"&amp;$B11),Q$1-1,0))</f>
        <v>5446</v>
      </c>
      <c r="R11" s="571">
        <f aca="1">IF(VLOOKUP($F11,INDIRECT("Lookup_"&amp;$B11),R$1-1,0)="","",VLOOKUP($F11,INDIRECT("Lookup_"&amp;$B11),R$1-1,0))</f>
        <v>0</v>
      </c>
      <c r="S11" s="571">
        <f aca="1">IF(VLOOKUP($F11,INDIRECT("Lookup_"&amp;$B11),S$1-1,0)="","",VLOOKUP($F11,INDIRECT("Lookup_"&amp;$B11),S$1-1,0))</f>
        <v>5446</v>
      </c>
    </row>
    <row r="12" spans="1:19">
      <c r="A12" s="92" t="n">
        <v>429</v>
      </c>
      <c r="B12" s="93" t="str">
        <f>VLOOKUP($A12,Aop!$A$2:$P$453,2,0)</f>
        <v>BPK</v>
      </c>
      <c r="C12" t="str">
        <f aca="1">Podatak_MB</f>
        <v>1062280</v>
      </c>
      <c r="D12" t="str">
        <f aca="1">Podatak_JIB</f>
        <v>4400471400001</v>
      </c>
      <c r="E12" t="b">
        <f aca="1">Konsolidovan_izvjestaj</f>
        <v>0</v>
      </c>
      <c r="F12">
        <f>VLOOKUP($A12,Aop!$A$2:$P$453,4,0)</f>
        <v>0</v>
      </c>
      <c r="G12">
        <f aca="1">Godina</f>
        <v>2024</v>
      </c>
      <c r="H12" s="20">
        <f aca="1">Datum_Broj</f>
        <v>45382</v>
      </c>
      <c r="I12" t="n">
        <v>30</v>
      </c>
      <c r="J12" t="s">
        <v>50</v>
      </c>
      <c r="K12" t="s">
        <v>50</v>
      </c>
      <c r="L12" t="s">
        <v>50</v>
      </c>
      <c r="M12" t="s">
        <v>50</v>
      </c>
      <c r="N12" t="s">
        <v>50</v>
      </c>
      <c r="O12" t="s">
        <v>50</v>
      </c>
      <c r="P12" t="s">
        <v>50</v>
      </c>
      <c r="Q12" t="s">
        <v>50</v>
      </c>
      <c r="R12" t="s">
        <v>50</v>
      </c>
      <c r="S12" t="s">
        <v>50</v>
      </c>
    </row>
    <row r="13" spans="1:19">
      <c r="A13" s="92" t="n">
        <v>430</v>
      </c>
      <c r="B13" s="93" t="str">
        <f>VLOOKUP($A13,Aop!$A$2:$P$453,2,0)</f>
        <v>BPK</v>
      </c>
      <c r="C13" t="str">
        <f aca="1">Podatak_MB</f>
        <v>1062280</v>
      </c>
      <c r="D13" t="str">
        <f aca="1">Podatak_JIB</f>
        <v>4400471400001</v>
      </c>
      <c r="E13" t="b">
        <f aca="1">Konsolidovan_izvjestaj</f>
        <v>0</v>
      </c>
      <c r="F13">
        <f>VLOOKUP($A13,Aop!$A$2:$P$453,4,0)</f>
        <v>908</v>
      </c>
      <c r="G13">
        <f aca="1">Godina</f>
        <v>2024</v>
      </c>
      <c r="H13" s="20">
        <f aca="1">Datum_Broj</f>
        <v>45382</v>
      </c>
      <c r="I13" t="n">
        <v>30</v>
      </c>
      <c r="J13" t="str">
        <f aca="1">IF(VLOOKUP($F13,INDIRECT("Lookup_"&amp;$B13),J$1-1,0)="","",VLOOKUP($F13,INDIRECT("Lookup_"&amp;$B13),J$1-1,0))</f>
        <v/>
      </c>
      <c r="K13" t="str">
        <f aca="1">IF(VLOOKUP($F13,INDIRECT("Lookup_"&amp;$B13),K$1-1,0)="","",VLOOKUP($F13,INDIRECT("Lookup_"&amp;$B13),K$1-1,0))</f>
        <v/>
      </c>
      <c r="L13" t="str">
        <f aca="1">IF(VLOOKUP($F13,INDIRECT("Lookup_"&amp;$B13),L$1-1,0)="","",VLOOKUP($F13,INDIRECT("Lookup_"&amp;$B13),L$1-1,0))</f>
        <v/>
      </c>
      <c r="M13" t="str">
        <f aca="1">IF(VLOOKUP($F13,INDIRECT("Lookup_"&amp;$B13),M$1-1,0)="","",VLOOKUP($F13,INDIRECT("Lookup_"&amp;$B13),M$1-1,0))</f>
        <v/>
      </c>
      <c r="N13" t="str">
        <f aca="1">IF(VLOOKUP($F13,INDIRECT("Lookup_"&amp;$B13),N$1-1,0)="","",VLOOKUP($F13,INDIRECT("Lookup_"&amp;$B13),N$1-1,0))</f>
        <v/>
      </c>
      <c r="O13" t="str">
        <f aca="1">IF(VLOOKUP($F13,INDIRECT("Lookup_"&amp;$B13),O$1-1,0)="","",VLOOKUP($F13,INDIRECT("Lookup_"&amp;$B13),O$1-1,0))</f>
        <v/>
      </c>
      <c r="P13" t="str">
        <f aca="1">IF(VLOOKUP($F13,INDIRECT("Lookup_"&amp;$B13),P$1-1,0)="","",VLOOKUP($F13,INDIRECT("Lookup_"&amp;$B13),P$1-1,0))</f>
        <v/>
      </c>
      <c r="Q13" s="571">
        <f aca="1">IF(VLOOKUP($F13,INDIRECT("Lookup_"&amp;$B13),Q$1-1,0)="","",VLOOKUP($F13,INDIRECT("Lookup_"&amp;$B13),Q$1-1,0))</f>
        <v>0</v>
      </c>
      <c r="R13" t="str">
        <f aca="1">IF(VLOOKUP($F13,INDIRECT("Lookup_"&amp;$B13),R$1-1,0)="","",VLOOKUP($F13,INDIRECT("Lookup_"&amp;$B13),R$1-1,0))</f>
        <v/>
      </c>
      <c r="S13" s="571">
        <f aca="1">IF(VLOOKUP($F13,INDIRECT("Lookup_"&amp;$B13),S$1-1,0)="","",VLOOKUP($F13,INDIRECT("Lookup_"&amp;$B13),S$1-1,0))</f>
        <v>0</v>
      </c>
    </row>
    <row r="14" spans="1:19">
      <c r="A14" s="92" t="n">
        <v>431</v>
      </c>
      <c r="B14" s="93" t="str">
        <f>VLOOKUP($A14,Aop!$A$2:$P$453,2,0)</f>
        <v>BPK</v>
      </c>
      <c r="C14" t="str">
        <f aca="1">Podatak_MB</f>
        <v>1062280</v>
      </c>
      <c r="D14" t="str">
        <f aca="1">Podatak_JIB</f>
        <v>4400471400001</v>
      </c>
      <c r="E14" t="b">
        <f aca="1">Konsolidovan_izvjestaj</f>
        <v>0</v>
      </c>
      <c r="F14">
        <f>VLOOKUP($A14,Aop!$A$2:$P$453,4,0)</f>
        <v>909</v>
      </c>
      <c r="G14">
        <f aca="1">Godina</f>
        <v>2024</v>
      </c>
      <c r="H14" s="20">
        <f aca="1">Datum_Broj</f>
        <v>45382</v>
      </c>
      <c r="I14" t="n">
        <v>30</v>
      </c>
      <c r="J14" t="str">
        <f aca="1">IF(VLOOKUP($F14,INDIRECT("Lookup_"&amp;$B14),J$1-1,0)="","",VLOOKUP($F14,INDIRECT("Lookup_"&amp;$B14),J$1-1,0))</f>
        <v/>
      </c>
      <c r="K14" t="str">
        <f aca="1">IF(VLOOKUP($F14,INDIRECT("Lookup_"&amp;$B14),K$1-1,0)="","",VLOOKUP($F14,INDIRECT("Lookup_"&amp;$B14),K$1-1,0))</f>
        <v/>
      </c>
      <c r="L14" t="str">
        <f aca="1">IF(VLOOKUP($F14,INDIRECT("Lookup_"&amp;$B14),L$1-1,0)="","",VLOOKUP($F14,INDIRECT("Lookup_"&amp;$B14),L$1-1,0))</f>
        <v/>
      </c>
      <c r="M14" t="str">
        <f aca="1">IF(VLOOKUP($F14,INDIRECT("Lookup_"&amp;$B14),M$1-1,0)="","",VLOOKUP($F14,INDIRECT("Lookup_"&amp;$B14),M$1-1,0))</f>
        <v/>
      </c>
      <c r="N14" t="str">
        <f aca="1">IF(VLOOKUP($F14,INDIRECT("Lookup_"&amp;$B14),N$1-1,0)="","",VLOOKUP($F14,INDIRECT("Lookup_"&amp;$B14),N$1-1,0))</f>
        <v/>
      </c>
      <c r="O14" t="str">
        <f aca="1">IF(VLOOKUP($F14,INDIRECT("Lookup_"&amp;$B14),O$1-1,0)="","",VLOOKUP($F14,INDIRECT("Lookup_"&amp;$B14),O$1-1,0))</f>
        <v/>
      </c>
      <c r="P14" t="str">
        <f aca="1">IF(VLOOKUP($F14,INDIRECT("Lookup_"&amp;$B14),P$1-1,0)="","",VLOOKUP($F14,INDIRECT("Lookup_"&amp;$B14),P$1-1,0))</f>
        <v/>
      </c>
      <c r="Q14" s="571">
        <f aca="1">IF(VLOOKUP($F14,INDIRECT("Lookup_"&amp;$B14),Q$1-1,0)="","",VLOOKUP($F14,INDIRECT("Lookup_"&amp;$B14),Q$1-1,0))</f>
        <v>0</v>
      </c>
      <c r="R14" t="str">
        <f aca="1">IF(VLOOKUP($F14,INDIRECT("Lookup_"&amp;$B14),R$1-1,0)="","",VLOOKUP($F14,INDIRECT("Lookup_"&amp;$B14),R$1-1,0))</f>
        <v/>
      </c>
      <c r="S14" s="571">
        <f aca="1">IF(VLOOKUP($F14,INDIRECT("Lookup_"&amp;$B14),S$1-1,0)="","",VLOOKUP($F14,INDIRECT("Lookup_"&amp;$B14),S$1-1,0))</f>
        <v>0</v>
      </c>
    </row>
    <row r="15" spans="1:19">
      <c r="A15" s="92" t="n">
        <v>432</v>
      </c>
      <c r="B15" s="93" t="str">
        <f>VLOOKUP($A15,Aop!$A$2:$P$453,2,0)</f>
        <v>BPK</v>
      </c>
      <c r="C15" t="str">
        <f aca="1">Podatak_MB</f>
        <v>1062280</v>
      </c>
      <c r="D15" t="str">
        <f aca="1">Podatak_JIB</f>
        <v>4400471400001</v>
      </c>
      <c r="E15" t="b">
        <f aca="1">Konsolidovan_izvjestaj</f>
        <v>0</v>
      </c>
      <c r="F15">
        <f>VLOOKUP($A15,Aop!$A$2:$P$453,4,0)</f>
        <v>910</v>
      </c>
      <c r="G15">
        <f aca="1">Godina</f>
        <v>2024</v>
      </c>
      <c r="H15" s="20">
        <f aca="1">Datum_Broj</f>
        <v>45382</v>
      </c>
      <c r="I15" t="n">
        <v>30</v>
      </c>
      <c r="J15" t="str">
        <f aca="1">IF(VLOOKUP($F15,INDIRECT("Lookup_"&amp;$B15),J$1-1,0)="","",VLOOKUP($F15,INDIRECT("Lookup_"&amp;$B15),J$1-1,0))</f>
        <v/>
      </c>
      <c r="K15" t="str">
        <f aca="1">IF(VLOOKUP($F15,INDIRECT("Lookup_"&amp;$B15),K$1-1,0)="","",VLOOKUP($F15,INDIRECT("Lookup_"&amp;$B15),K$1-1,0))</f>
        <v/>
      </c>
      <c r="L15" t="str">
        <f aca="1">IF(VLOOKUP($F15,INDIRECT("Lookup_"&amp;$B15),L$1-1,0)="","",VLOOKUP($F15,INDIRECT("Lookup_"&amp;$B15),L$1-1,0))</f>
        <v/>
      </c>
      <c r="M15" t="str">
        <f aca="1">IF(VLOOKUP($F15,INDIRECT("Lookup_"&amp;$B15),M$1-1,0)="","",VLOOKUP($F15,INDIRECT("Lookup_"&amp;$B15),M$1-1,0))</f>
        <v/>
      </c>
      <c r="N15" t="str">
        <f aca="1">IF(VLOOKUP($F15,INDIRECT("Lookup_"&amp;$B15),N$1-1,0)="","",VLOOKUP($F15,INDIRECT("Lookup_"&amp;$B15),N$1-1,0))</f>
        <v/>
      </c>
      <c r="O15" t="str">
        <f aca="1">IF(VLOOKUP($F15,INDIRECT("Lookup_"&amp;$B15),O$1-1,0)="","",VLOOKUP($F15,INDIRECT("Lookup_"&amp;$B15),O$1-1,0))</f>
        <v/>
      </c>
      <c r="P15" t="str">
        <f aca="1">IF(VLOOKUP($F15,INDIRECT("Lookup_"&amp;$B15),P$1-1,0)="","",VLOOKUP($F15,INDIRECT("Lookup_"&amp;$B15),P$1-1,0))</f>
        <v/>
      </c>
      <c r="Q15" s="571">
        <f aca="1">IF(VLOOKUP($F15,INDIRECT("Lookup_"&amp;$B15),Q$1-1,0)="","",VLOOKUP($F15,INDIRECT("Lookup_"&amp;$B15),Q$1-1,0))</f>
        <v>0</v>
      </c>
      <c r="R15" t="str">
        <f aca="1">IF(VLOOKUP($F15,INDIRECT("Lookup_"&amp;$B15),R$1-1,0)="","",VLOOKUP($F15,INDIRECT("Lookup_"&amp;$B15),R$1-1,0))</f>
        <v/>
      </c>
      <c r="S15" s="571">
        <f aca="1">IF(VLOOKUP($F15,INDIRECT("Lookup_"&amp;$B15),S$1-1,0)="","",VLOOKUP($F15,INDIRECT("Lookup_"&amp;$B15),S$1-1,0))</f>
        <v>0</v>
      </c>
    </row>
    <row r="16" spans="1:19">
      <c r="A16" s="92" t="n">
        <v>433</v>
      </c>
      <c r="B16" s="93" t="str">
        <f>VLOOKUP($A16,Aop!$A$2:$P$453,2,0)</f>
        <v>BPK</v>
      </c>
      <c r="C16" t="str">
        <f aca="1">Podatak_MB</f>
        <v>1062280</v>
      </c>
      <c r="D16" t="str">
        <f aca="1">Podatak_JIB</f>
        <v>4400471400001</v>
      </c>
      <c r="E16" t="b">
        <f aca="1">Konsolidovan_izvjestaj</f>
        <v>0</v>
      </c>
      <c r="F16">
        <f>VLOOKUP($A16,Aop!$A$2:$P$453,4,0)</f>
        <v>911</v>
      </c>
      <c r="G16">
        <f aca="1">Godina</f>
        <v>2024</v>
      </c>
      <c r="H16" s="20">
        <f aca="1">Datum_Broj</f>
        <v>45382</v>
      </c>
      <c r="I16" t="n">
        <v>30</v>
      </c>
      <c r="J16" t="str">
        <f aca="1">IF(VLOOKUP($F16,INDIRECT("Lookup_"&amp;$B16),J$1-1,0)="","",VLOOKUP($F16,INDIRECT("Lookup_"&amp;$B16),J$1-1,0))</f>
        <v/>
      </c>
      <c r="K16" t="str">
        <f aca="1">IF(VLOOKUP($F16,INDIRECT("Lookup_"&amp;$B16),K$1-1,0)="","",VLOOKUP($F16,INDIRECT("Lookup_"&amp;$B16),K$1-1,0))</f>
        <v/>
      </c>
      <c r="L16" t="str">
        <f aca="1">IF(VLOOKUP($F16,INDIRECT("Lookup_"&amp;$B16),L$1-1,0)="","",VLOOKUP($F16,INDIRECT("Lookup_"&amp;$B16),L$1-1,0))</f>
        <v/>
      </c>
      <c r="M16" t="str">
        <f aca="1">IF(VLOOKUP($F16,INDIRECT("Lookup_"&amp;$B16),M$1-1,0)="","",VLOOKUP($F16,INDIRECT("Lookup_"&amp;$B16),M$1-1,0))</f>
        <v/>
      </c>
      <c r="N16" t="str">
        <f aca="1">IF(VLOOKUP($F16,INDIRECT("Lookup_"&amp;$B16),N$1-1,0)="","",VLOOKUP($F16,INDIRECT("Lookup_"&amp;$B16),N$1-1,0))</f>
        <v/>
      </c>
      <c r="O16" t="str">
        <f aca="1">IF(VLOOKUP($F16,INDIRECT("Lookup_"&amp;$B16),O$1-1,0)="","",VLOOKUP($F16,INDIRECT("Lookup_"&amp;$B16),O$1-1,0))</f>
        <v/>
      </c>
      <c r="P16" t="str">
        <f aca="1">IF(VLOOKUP($F16,INDIRECT("Lookup_"&amp;$B16),P$1-1,0)="","",VLOOKUP($F16,INDIRECT("Lookup_"&amp;$B16),P$1-1,0))</f>
        <v/>
      </c>
      <c r="Q16" s="571">
        <f aca="1">IF(VLOOKUP($F16,INDIRECT("Lookup_"&amp;$B16),Q$1-1,0)="","",VLOOKUP($F16,INDIRECT("Lookup_"&amp;$B16),Q$1-1,0))</f>
        <v>0</v>
      </c>
      <c r="R16" t="str">
        <f aca="1">IF(VLOOKUP($F16,INDIRECT("Lookup_"&amp;$B16),R$1-1,0)="","",VLOOKUP($F16,INDIRECT("Lookup_"&amp;$B16),R$1-1,0))</f>
        <v/>
      </c>
      <c r="S16" s="571">
        <f aca="1">IF(VLOOKUP($F16,INDIRECT("Lookup_"&amp;$B16),S$1-1,0)="","",VLOOKUP($F16,INDIRECT("Lookup_"&amp;$B16),S$1-1,0))</f>
        <v>0</v>
      </c>
    </row>
    <row r="17" spans="1:19">
      <c r="A17" s="92" t="n">
        <v>434</v>
      </c>
      <c r="B17" s="93" t="str">
        <f>VLOOKUP($A17,Aop!$A$2:$P$453,2,0)</f>
        <v>BPK</v>
      </c>
      <c r="C17" t="str">
        <f aca="1">Podatak_MB</f>
        <v>1062280</v>
      </c>
      <c r="D17" t="str">
        <f aca="1">Podatak_JIB</f>
        <v>4400471400001</v>
      </c>
      <c r="E17" t="b">
        <f aca="1">Konsolidovan_izvjestaj</f>
        <v>0</v>
      </c>
      <c r="F17">
        <f>VLOOKUP($A17,Aop!$A$2:$P$453,4,0)</f>
        <v>912</v>
      </c>
      <c r="G17">
        <f aca="1">Godina</f>
        <v>2024</v>
      </c>
      <c r="H17" s="20">
        <f aca="1">Datum_Broj</f>
        <v>45382</v>
      </c>
      <c r="I17" t="n">
        <v>30</v>
      </c>
      <c r="J17" t="str">
        <f aca="1">IF(VLOOKUP($F17,INDIRECT("Lookup_"&amp;$B17),J$1-1,0)="","",VLOOKUP($F17,INDIRECT("Lookup_"&amp;$B17),J$1-1,0))</f>
        <v/>
      </c>
      <c r="K17" t="str">
        <f aca="1">IF(VLOOKUP($F17,INDIRECT("Lookup_"&amp;$B17),K$1-1,0)="","",VLOOKUP($F17,INDIRECT("Lookup_"&amp;$B17),K$1-1,0))</f>
        <v/>
      </c>
      <c r="L17" t="str">
        <f aca="1">IF(VLOOKUP($F17,INDIRECT("Lookup_"&amp;$B17),L$1-1,0)="","",VLOOKUP($F17,INDIRECT("Lookup_"&amp;$B17),L$1-1,0))</f>
        <v/>
      </c>
      <c r="M17" t="str">
        <f aca="1">IF(VLOOKUP($F17,INDIRECT("Lookup_"&amp;$B17),M$1-1,0)="","",VLOOKUP($F17,INDIRECT("Lookup_"&amp;$B17),M$1-1,0))</f>
        <v/>
      </c>
      <c r="N17" t="str">
        <f aca="1">IF(VLOOKUP($F17,INDIRECT("Lookup_"&amp;$B17),N$1-1,0)="","",VLOOKUP($F17,INDIRECT("Lookup_"&amp;$B17),N$1-1,0))</f>
        <v/>
      </c>
      <c r="O17" t="str">
        <f aca="1">IF(VLOOKUP($F17,INDIRECT("Lookup_"&amp;$B17),O$1-1,0)="","",VLOOKUP($F17,INDIRECT("Lookup_"&amp;$B17),O$1-1,0))</f>
        <v/>
      </c>
      <c r="P17" t="str">
        <f aca="1">IF(VLOOKUP($F17,INDIRECT("Lookup_"&amp;$B17),P$1-1,0)="","",VLOOKUP($F17,INDIRECT("Lookup_"&amp;$B17),P$1-1,0))</f>
        <v/>
      </c>
      <c r="Q17" s="571">
        <f aca="1">IF(VLOOKUP($F17,INDIRECT("Lookup_"&amp;$B17),Q$1-1,0)="","",VLOOKUP($F17,INDIRECT("Lookup_"&amp;$B17),Q$1-1,0))</f>
        <v>0</v>
      </c>
      <c r="R17" t="str">
        <f aca="1">IF(VLOOKUP($F17,INDIRECT("Lookup_"&amp;$B17),R$1-1,0)="","",VLOOKUP($F17,INDIRECT("Lookup_"&amp;$B17),R$1-1,0))</f>
        <v/>
      </c>
      <c r="S17" s="571">
        <f aca="1">IF(VLOOKUP($F17,INDIRECT("Lookup_"&amp;$B17),S$1-1,0)="","",VLOOKUP($F17,INDIRECT("Lookup_"&amp;$B17),S$1-1,0))</f>
        <v>0</v>
      </c>
    </row>
    <row r="18" spans="1:19">
      <c r="A18" s="92" t="n">
        <v>435</v>
      </c>
      <c r="B18" s="93" t="str">
        <f>VLOOKUP($A18,Aop!$A$2:$P$453,2,0)</f>
        <v>BPK</v>
      </c>
      <c r="C18" t="str">
        <f aca="1">Podatak_MB</f>
        <v>1062280</v>
      </c>
      <c r="D18" t="str">
        <f aca="1">Podatak_JIB</f>
        <v>4400471400001</v>
      </c>
      <c r="E18" t="b">
        <f aca="1">Konsolidovan_izvjestaj</f>
        <v>0</v>
      </c>
      <c r="F18">
        <f>VLOOKUP($A18,Aop!$A$2:$P$453,4,0)</f>
        <v>0</v>
      </c>
      <c r="G18">
        <f aca="1">Godina</f>
        <v>2024</v>
      </c>
      <c r="H18" s="20">
        <f aca="1">Datum_Broj</f>
        <v>45382</v>
      </c>
      <c r="I18" t="n">
        <v>30</v>
      </c>
      <c r="J18" t="s">
        <v>50</v>
      </c>
      <c r="K18" t="s">
        <v>50</v>
      </c>
      <c r="L18" t="s">
        <v>50</v>
      </c>
      <c r="M18" t="s">
        <v>50</v>
      </c>
      <c r="N18" t="s">
        <v>50</v>
      </c>
      <c r="O18" t="s">
        <v>50</v>
      </c>
      <c r="P18" t="s">
        <v>50</v>
      </c>
      <c r="Q18" t="s">
        <v>50</v>
      </c>
      <c r="R18" t="s">
        <v>50</v>
      </c>
      <c r="S18" t="s">
        <v>50</v>
      </c>
    </row>
    <row r="19" spans="1:19">
      <c r="A19" s="92" t="n">
        <v>436</v>
      </c>
      <c r="B19" s="93" t="str">
        <f>VLOOKUP($A19,Aop!$A$2:$P$453,2,0)</f>
        <v>BPK</v>
      </c>
      <c r="C19" t="str">
        <f aca="1">Podatak_MB</f>
        <v>1062280</v>
      </c>
      <c r="D19" t="str">
        <f aca="1">Podatak_JIB</f>
        <v>4400471400001</v>
      </c>
      <c r="E19" t="b">
        <f aca="1">Konsolidovan_izvjestaj</f>
        <v>0</v>
      </c>
      <c r="F19">
        <f>VLOOKUP($A19,Aop!$A$2:$P$453,4,0)</f>
        <v>913</v>
      </c>
      <c r="G19">
        <f aca="1">Godina</f>
        <v>2024</v>
      </c>
      <c r="H19" s="20">
        <f aca="1">Datum_Broj</f>
        <v>45382</v>
      </c>
      <c r="I19" t="n">
        <v>30</v>
      </c>
      <c r="J19" s="571">
        <f aca="1">IF(VLOOKUP($F19,INDIRECT("Lookup_"&amp;$B19),J$1-1,0)="","",VLOOKUP($F19,INDIRECT("Lookup_"&amp;$B19),J$1-1,0))</f>
        <v>6015177</v>
      </c>
      <c r="K19" s="571">
        <f aca="1">IF(VLOOKUP($F19,INDIRECT("Lookup_"&amp;$B19),K$1-1,0)="","",VLOOKUP($F19,INDIRECT("Lookup_"&amp;$B19),K$1-1,0))</f>
        <v>0</v>
      </c>
      <c r="L19" s="571">
        <f aca="1">IF(VLOOKUP($F19,INDIRECT("Lookup_"&amp;$B19),L$1-1,0)="","",VLOOKUP($F19,INDIRECT("Lookup_"&amp;$B19),L$1-1,0))</f>
        <v>0</v>
      </c>
      <c r="M19" s="571">
        <f aca="1">IF(VLOOKUP($F19,INDIRECT("Lookup_"&amp;$B19),M$1-1,0)="","",VLOOKUP($F19,INDIRECT("Lookup_"&amp;$B19),M$1-1,0))</f>
        <v>251683</v>
      </c>
      <c r="N19" s="571">
        <f aca="1">IF(VLOOKUP($F19,INDIRECT("Lookup_"&amp;$B19),N$1-1,0)="","",VLOOKUP($F19,INDIRECT("Lookup_"&amp;$B19),N$1-1,0))</f>
        <v>0</v>
      </c>
      <c r="O19" s="571">
        <f aca="1">IF(VLOOKUP($F19,INDIRECT("Lookup_"&amp;$B19),O$1-1,0)="","",VLOOKUP($F19,INDIRECT("Lookup_"&amp;$B19),O$1-1,0))</f>
        <v>869</v>
      </c>
      <c r="P19" s="571">
        <f aca="1">IF(VLOOKUP($F19,INDIRECT("Lookup_"&amp;$B19),P$1-1,0)="","",VLOOKUP($F19,INDIRECT("Lookup_"&amp;$B19),P$1-1,0))</f>
        <v>-5075621</v>
      </c>
      <c r="Q19" s="571">
        <f aca="1">IF(VLOOKUP($F19,INDIRECT("Lookup_"&amp;$B19),Q$1-1,0)="","",VLOOKUP($F19,INDIRECT("Lookup_"&amp;$B19),Q$1-1,0))</f>
        <v>1192108</v>
      </c>
      <c r="R19" s="571">
        <f aca="1">IF(VLOOKUP($F19,INDIRECT("Lookup_"&amp;$B19),R$1-1,0)="","",VLOOKUP($F19,INDIRECT("Lookup_"&amp;$B19),R$1-1,0))</f>
        <v>0</v>
      </c>
      <c r="S19" s="571">
        <f aca="1">IF(VLOOKUP($F19,INDIRECT("Lookup_"&amp;$B19),S$1-1,0)="","",VLOOKUP($F19,INDIRECT("Lookup_"&amp;$B19),S$1-1,0))</f>
        <v>1192108</v>
      </c>
    </row>
    <row r="20" spans="1:19">
      <c r="A20" s="92" t="n">
        <v>437</v>
      </c>
      <c r="B20" s="97" t="str">
        <f>VLOOKUP($A20,Aop!$A$2:$P$453,2,0)</f>
        <v>BPK</v>
      </c>
      <c r="C20" t="str">
        <f aca="1">Podatak_MB</f>
        <v>1062280</v>
      </c>
      <c r="D20" t="str">
        <f aca="1">Podatak_JIB</f>
        <v>4400471400001</v>
      </c>
      <c r="E20" t="b">
        <f aca="1">Konsolidovan_izvjestaj</f>
        <v>0</v>
      </c>
      <c r="F20">
        <f>VLOOKUP($A20,Aop!$A$2:$P$453,4,0)</f>
        <v>0</v>
      </c>
      <c r="G20">
        <f aca="1">Godina</f>
        <v>2024</v>
      </c>
      <c r="H20" s="20">
        <f aca="1">Datum_Broj</f>
        <v>45382</v>
      </c>
      <c r="I20" t="n">
        <v>30</v>
      </c>
      <c r="J20" t="s">
        <v>50</v>
      </c>
      <c r="K20" t="s">
        <v>50</v>
      </c>
      <c r="L20" t="s">
        <v>50</v>
      </c>
      <c r="M20" t="s">
        <v>50</v>
      </c>
      <c r="N20" t="s">
        <v>50</v>
      </c>
      <c r="O20" t="s">
        <v>50</v>
      </c>
      <c r="P20" t="s">
        <v>50</v>
      </c>
      <c r="Q20" t="s">
        <v>50</v>
      </c>
      <c r="R20" t="s">
        <v>50</v>
      </c>
      <c r="S20" t="s">
        <v>50</v>
      </c>
    </row>
    <row r="21" spans="1:19">
      <c r="A21" s="92" t="n">
        <v>438</v>
      </c>
      <c r="B21" s="93" t="str">
        <f>VLOOKUP($A21,Aop!$A$2:$P$453,2,0)</f>
        <v>BPK</v>
      </c>
      <c r="C21" t="str">
        <f aca="1">Podatak_MB</f>
        <v>1062280</v>
      </c>
      <c r="D21" t="str">
        <f aca="1">Podatak_JIB</f>
        <v>4400471400001</v>
      </c>
      <c r="E21" t="b">
        <f aca="1">Konsolidovan_izvjestaj</f>
        <v>0</v>
      </c>
      <c r="F21">
        <f>VLOOKUP($A21,Aop!$A$2:$P$453,4,0)</f>
        <v>914</v>
      </c>
      <c r="G21">
        <f aca="1">Godina</f>
        <v>2024</v>
      </c>
      <c r="H21" s="20">
        <f aca="1">Datum_Broj</f>
        <v>45382</v>
      </c>
      <c r="I21" t="n">
        <v>30</v>
      </c>
      <c r="J21" t="str">
        <f aca="1">IF(VLOOKUP($F21,INDIRECT("Lookup_"&amp;$B21),J$1-1,0)="","",VLOOKUP($F21,INDIRECT("Lookup_"&amp;$B21),J$1-1,0))</f>
        <v/>
      </c>
      <c r="K21" t="str">
        <f aca="1">IF(VLOOKUP($F21,INDIRECT("Lookup_"&amp;$B21),K$1-1,0)="","",VLOOKUP($F21,INDIRECT("Lookup_"&amp;$B21),K$1-1,0))</f>
        <v/>
      </c>
      <c r="L21" t="str">
        <f aca="1">IF(VLOOKUP($F21,INDIRECT("Lookup_"&amp;$B21),L$1-1,0)="","",VLOOKUP($F21,INDIRECT("Lookup_"&amp;$B21),L$1-1,0))</f>
        <v/>
      </c>
      <c r="M21" t="str">
        <f aca="1">IF(VLOOKUP($F21,INDIRECT("Lookup_"&amp;$B21),M$1-1,0)="","",VLOOKUP($F21,INDIRECT("Lookup_"&amp;$B21),M$1-1,0))</f>
        <v/>
      </c>
      <c r="N21" t="str">
        <f aca="1">IF(VLOOKUP($F21,INDIRECT("Lookup_"&amp;$B21),N$1-1,0)="","",VLOOKUP($F21,INDIRECT("Lookup_"&amp;$B21),N$1-1,0))</f>
        <v/>
      </c>
      <c r="O21" t="str">
        <f aca="1">IF(VLOOKUP($F21,INDIRECT("Lookup_"&amp;$B21),O$1-1,0)="","",VLOOKUP($F21,INDIRECT("Lookup_"&amp;$B21),O$1-1,0))</f>
        <v/>
      </c>
      <c r="P21" t="str">
        <f aca="1">IF(VLOOKUP($F21,INDIRECT("Lookup_"&amp;$B21),P$1-1,0)="","",VLOOKUP($F21,INDIRECT("Lookup_"&amp;$B21),P$1-1,0))</f>
        <v/>
      </c>
      <c r="Q21" s="571">
        <f aca="1">IF(VLOOKUP($F21,INDIRECT("Lookup_"&amp;$B21),Q$1-1,0)="","",VLOOKUP($F21,INDIRECT("Lookup_"&amp;$B21),Q$1-1,0))</f>
        <v>0</v>
      </c>
      <c r="R21" t="str">
        <f aca="1">IF(VLOOKUP($F21,INDIRECT("Lookup_"&amp;$B21),R$1-1,0)="","",VLOOKUP($F21,INDIRECT("Lookup_"&amp;$B21),R$1-1,0))</f>
        <v/>
      </c>
      <c r="S21" s="571">
        <f aca="1">IF(VLOOKUP($F21,INDIRECT("Lookup_"&amp;$B21),S$1-1,0)="","",VLOOKUP($F21,INDIRECT("Lookup_"&amp;$B21),S$1-1,0))</f>
        <v>0</v>
      </c>
    </row>
    <row r="22" spans="1:19">
      <c r="A22" s="92" t="n">
        <v>439</v>
      </c>
      <c r="B22" s="93" t="str">
        <f>VLOOKUP($A22,Aop!$A$2:$P$453,2,0)</f>
        <v>BPK</v>
      </c>
      <c r="C22" t="str">
        <f aca="1">Podatak_MB</f>
        <v>1062280</v>
      </c>
      <c r="D22" t="str">
        <f aca="1">Podatak_JIB</f>
        <v>4400471400001</v>
      </c>
      <c r="E22" t="b">
        <f aca="1">Konsolidovan_izvjestaj</f>
        <v>0</v>
      </c>
      <c r="F22">
        <f>VLOOKUP($A22,Aop!$A$2:$P$453,4,0)</f>
        <v>915</v>
      </c>
      <c r="G22">
        <f aca="1">Godina</f>
        <v>2024</v>
      </c>
      <c r="H22" s="20">
        <f aca="1">Datum_Broj</f>
        <v>45382</v>
      </c>
      <c r="I22" t="n">
        <v>30</v>
      </c>
      <c r="J22" t="s">
        <v>50</v>
      </c>
      <c r="K22" t="s">
        <v>50</v>
      </c>
      <c r="L22" t="s">
        <v>50</v>
      </c>
      <c r="M22" t="s">
        <v>50</v>
      </c>
      <c r="N22" t="s">
        <v>50</v>
      </c>
      <c r="O22" t="s">
        <v>50</v>
      </c>
      <c r="P22" t="s">
        <v>50</v>
      </c>
      <c r="Q22" t="s">
        <v>50</v>
      </c>
      <c r="R22" t="s">
        <v>50</v>
      </c>
      <c r="S22" t="s">
        <v>50</v>
      </c>
    </row>
    <row r="23" spans="1:19">
      <c r="A23" s="92" t="n">
        <v>440</v>
      </c>
      <c r="B23" s="93" t="str">
        <f>VLOOKUP($A23,Aop!$A$2:$P$453,2,0)</f>
        <v>BPK</v>
      </c>
      <c r="C23" t="str">
        <f aca="1">Podatak_MB</f>
        <v>1062280</v>
      </c>
      <c r="D23" t="str">
        <f aca="1">Podatak_JIB</f>
        <v>4400471400001</v>
      </c>
      <c r="E23" t="b">
        <f aca="1">Konsolidovan_izvjestaj</f>
        <v>0</v>
      </c>
      <c r="F23">
        <f>VLOOKUP($A23,Aop!$A$2:$P$453,4,0)</f>
        <v>916</v>
      </c>
      <c r="G23">
        <f aca="1">Godina</f>
        <v>2024</v>
      </c>
      <c r="H23" s="20">
        <f aca="1">Datum_Broj</f>
        <v>45382</v>
      </c>
      <c r="I23" t="n">
        <v>30</v>
      </c>
      <c r="J23" s="571">
        <f aca="1">IF(VLOOKUP($F23,INDIRECT("Lookup_"&amp;$B23),J$1-1,0)="","",VLOOKUP($F23,INDIRECT("Lookup_"&amp;$B23),J$1-1,0))</f>
        <v>6015177</v>
      </c>
      <c r="K23" s="571">
        <f aca="1">IF(VLOOKUP($F23,INDIRECT("Lookup_"&amp;$B23),K$1-1,0)="","",VLOOKUP($F23,INDIRECT("Lookup_"&amp;$B23),K$1-1,0))</f>
        <v>0</v>
      </c>
      <c r="L23" s="571">
        <f aca="1">IF(VLOOKUP($F23,INDIRECT("Lookup_"&amp;$B23),L$1-1,0)="","",VLOOKUP($F23,INDIRECT("Lookup_"&amp;$B23),L$1-1,0))</f>
        <v>0</v>
      </c>
      <c r="M23" s="571">
        <f aca="1">IF(VLOOKUP($F23,INDIRECT("Lookup_"&amp;$B23),M$1-1,0)="","",VLOOKUP($F23,INDIRECT("Lookup_"&amp;$B23),M$1-1,0))</f>
        <v>251683</v>
      </c>
      <c r="N23" s="571">
        <f aca="1">IF(VLOOKUP($F23,INDIRECT("Lookup_"&amp;$B23),N$1-1,0)="","",VLOOKUP($F23,INDIRECT("Lookup_"&amp;$B23),N$1-1,0))</f>
        <v>0</v>
      </c>
      <c r="O23" s="571">
        <f aca="1">IF(VLOOKUP($F23,INDIRECT("Lookup_"&amp;$B23),O$1-1,0)="","",VLOOKUP($F23,INDIRECT("Lookup_"&amp;$B23),O$1-1,0))</f>
        <v>869</v>
      </c>
      <c r="P23" s="571">
        <f aca="1">IF(VLOOKUP($F23,INDIRECT("Lookup_"&amp;$B23),P$1-1,0)="","",VLOOKUP($F23,INDIRECT("Lookup_"&amp;$B23),P$1-1,0))</f>
        <v>-5078020</v>
      </c>
      <c r="Q23" s="571">
        <f aca="1">IF(VLOOKUP($F23,INDIRECT("Lookup_"&amp;$B23),Q$1-1,0)="","",VLOOKUP($F23,INDIRECT("Lookup_"&amp;$B23),Q$1-1,0))</f>
        <v>1189709</v>
      </c>
      <c r="R23" s="571">
        <f aca="1">IF(VLOOKUP($F23,INDIRECT("Lookup_"&amp;$B23),R$1-1,0)="","",VLOOKUP($F23,INDIRECT("Lookup_"&amp;$B23),R$1-1,0))</f>
        <v>0</v>
      </c>
      <c r="S23" s="571">
        <f aca="1">IF(VLOOKUP($F23,INDIRECT("Lookup_"&amp;$B23),S$1-1,0)="","",VLOOKUP($F23,INDIRECT("Lookup_"&amp;$B23),S$1-1,0))</f>
        <v>1189709</v>
      </c>
    </row>
    <row r="24" spans="1:19">
      <c r="A24" s="92" t="n">
        <v>441</v>
      </c>
      <c r="B24" s="93" t="str">
        <f>VLOOKUP($A24,Aop!$A$2:$P$453,2,0)</f>
        <v>BPK</v>
      </c>
      <c r="C24" t="str">
        <f aca="1">Podatak_MB</f>
        <v>1062280</v>
      </c>
      <c r="D24" t="str">
        <f aca="1">Podatak_JIB</f>
        <v>4400471400001</v>
      </c>
      <c r="E24" t="b">
        <f aca="1">Konsolidovan_izvjestaj</f>
        <v>0</v>
      </c>
      <c r="F24">
        <f>VLOOKUP($A24,Aop!$A$2:$P$453,4,0)</f>
        <v>0</v>
      </c>
      <c r="G24">
        <f aca="1">Godina</f>
        <v>2024</v>
      </c>
      <c r="H24" s="20">
        <f aca="1">Datum_Broj</f>
        <v>45382</v>
      </c>
      <c r="I24" t="n">
        <v>30</v>
      </c>
      <c r="J24" t="s">
        <v>50</v>
      </c>
      <c r="K24" t="s">
        <v>50</v>
      </c>
      <c r="L24" t="s">
        <v>50</v>
      </c>
      <c r="M24" t="s">
        <v>50</v>
      </c>
      <c r="N24" t="s">
        <v>50</v>
      </c>
      <c r="O24" t="s">
        <v>50</v>
      </c>
      <c r="P24" t="s">
        <v>50</v>
      </c>
      <c r="Q24" t="s">
        <v>50</v>
      </c>
      <c r="R24" t="s">
        <v>50</v>
      </c>
      <c r="S24" t="s">
        <v>50</v>
      </c>
    </row>
    <row r="25" spans="1:19">
      <c r="A25" s="92" t="n">
        <v>442</v>
      </c>
      <c r="B25" s="93" t="str">
        <f>VLOOKUP($A25,Aop!$A$2:$P$453,2,0)</f>
        <v>BPK</v>
      </c>
      <c r="C25" t="str">
        <f aca="1">Podatak_MB</f>
        <v>1062280</v>
      </c>
      <c r="D25" t="str">
        <f aca="1">Podatak_JIB</f>
        <v>4400471400001</v>
      </c>
      <c r="E25" t="b">
        <f aca="1">Konsolidovan_izvjestaj</f>
        <v>0</v>
      </c>
      <c r="F25">
        <f>VLOOKUP($A25,Aop!$A$2:$P$453,4,0)</f>
        <v>917</v>
      </c>
      <c r="G25">
        <f aca="1">Godina</f>
        <v>2024</v>
      </c>
      <c r="H25" s="20">
        <f aca="1">Datum_Broj</f>
        <v>45382</v>
      </c>
      <c r="I25" t="n">
        <v>30</v>
      </c>
      <c r="J25" t="str">
        <f aca="1">IF(VLOOKUP($F25,INDIRECT("Lookup_"&amp;$B25),J$1-1,0)="","",VLOOKUP($F25,INDIRECT("Lookup_"&amp;$B25),J$1-1,0))</f>
        <v/>
      </c>
      <c r="K25"/>
      <c r="L25"/>
      <c r="M25"/>
      <c r="N25"/>
      <c r="O25"/>
      <c r="P25"/>
      <c r="Q25"/>
      <c r="R25"/>
      <c r="S25"/>
    </row>
    <row r="26" spans="1:19">
      <c r="A26" s="92" t="n">
        <v>443</v>
      </c>
      <c r="B26" s="93" t="str">
        <f>VLOOKUP($A26,Aop!$A$2:$P$453,2,0)</f>
        <v>BPK</v>
      </c>
      <c r="C26" t="str">
        <f aca="1">Podatak_MB</f>
        <v>1062280</v>
      </c>
      <c r="D26" t="str">
        <f aca="1">Podatak_JIB</f>
        <v>4400471400001</v>
      </c>
      <c r="E26" t="b">
        <f aca="1">Konsolidovan_izvjestaj</f>
        <v>0</v>
      </c>
      <c r="F26">
        <f>VLOOKUP($A26,Aop!$A$2:$P$453,4,0)</f>
        <v>918</v>
      </c>
      <c r="G26">
        <f aca="1">Godina</f>
        <v>2024</v>
      </c>
      <c r="H26" s="20">
        <f aca="1">Datum_Broj</f>
        <v>45382</v>
      </c>
      <c r="I26" t="n">
        <v>30</v>
      </c>
      <c r="J26" t="str">
        <f aca="1">IF(VLOOKUP($F26,INDIRECT("Lookup_"&amp;$B26),J$1-1,0)="","",VLOOKUP($F26,INDIRECT("Lookup_"&amp;$B26),J$1-1,0))</f>
        <v/>
      </c>
      <c r="K26"/>
      <c r="L26"/>
      <c r="M26"/>
      <c r="N26"/>
      <c r="O26"/>
      <c r="P26"/>
      <c r="Q26"/>
      <c r="R26"/>
      <c r="S26"/>
    </row>
    <row r="27" spans="1:19">
      <c r="A27" s="92" t="n">
        <v>444</v>
      </c>
      <c r="B27" s="93" t="str">
        <f>VLOOKUP($A27,Aop!$A$2:$P$453,2,0)</f>
        <v>BPK</v>
      </c>
      <c r="C27" t="str">
        <f aca="1">Podatak_MB</f>
        <v>1062280</v>
      </c>
      <c r="D27" t="str">
        <f aca="1">Podatak_JIB</f>
        <v>4400471400001</v>
      </c>
      <c r="E27" t="b">
        <f aca="1">Konsolidovan_izvjestaj</f>
        <v>0</v>
      </c>
      <c r="F27">
        <f>VLOOKUP($A27,Aop!$A$2:$P$453,4,0)</f>
        <v>919</v>
      </c>
      <c r="G27">
        <f aca="1">Godina</f>
        <v>2024</v>
      </c>
      <c r="H27" s="20">
        <f aca="1">Datum_Broj</f>
        <v>45382</v>
      </c>
      <c r="I27" t="n">
        <v>30</v>
      </c>
      <c r="J27" s="571">
        <f aca="1">IF(VLOOKUP($F27,INDIRECT("Lookup_"&amp;$B27),J$1-1,0)="","",VLOOKUP($F27,INDIRECT("Lookup_"&amp;$B27),J$1-1,0))</f>
        <v>0</v>
      </c>
      <c r="K27"/>
      <c r="L27"/>
      <c r="M27"/>
      <c r="N27"/>
      <c r="O27"/>
      <c r="P27"/>
      <c r="Q27"/>
      <c r="R27"/>
      <c r="S27"/>
    </row>
    <row r="28" spans="1:19">
      <c r="A28" s="92" t="n">
        <v>445</v>
      </c>
      <c r="B28" s="93" t="str">
        <f>VLOOKUP($A28,Aop!$A$2:$P$453,2,0)</f>
        <v>BPK</v>
      </c>
      <c r="C28" t="str">
        <f aca="1">Podatak_MB</f>
        <v>1062280</v>
      </c>
      <c r="D28" t="str">
        <f aca="1">Podatak_JIB</f>
        <v>4400471400001</v>
      </c>
      <c r="E28" t="b">
        <f aca="1">Konsolidovan_izvjestaj</f>
        <v>0</v>
      </c>
      <c r="F28">
        <f>VLOOKUP($A28,Aop!$A$2:$P$453,4,0)</f>
        <v>0</v>
      </c>
      <c r="G28">
        <f aca="1">Godina</f>
        <v>2024</v>
      </c>
      <c r="H28" s="20">
        <f aca="1">Datum_Broj</f>
        <v>45382</v>
      </c>
      <c r="I28" t="n">
        <v>30</v>
      </c>
      <c r="J28" t="str">
        <f aca="1">IF(VLOOKUP($F28,INDIRECT("Lookup_"&amp;$B28),J$1-1,0)="","",VLOOKUP($F28,INDIRECT("Lookup_"&amp;$B28),J$1-1,0))</f>
        <v/>
      </c>
      <c r="K28"/>
      <c r="L28"/>
      <c r="M28"/>
      <c r="N28"/>
      <c r="O28"/>
      <c r="P28"/>
      <c r="Q28"/>
      <c r="R28"/>
      <c r="S28"/>
    </row>
    <row r="29" spans="1:19">
      <c r="A29" s="92" t="n">
        <v>446</v>
      </c>
      <c r="B29" s="93" t="str">
        <f>VLOOKUP($A29,Aop!$A$2:$P$453,2,0)</f>
        <v>BPK</v>
      </c>
      <c r="C29" t="str">
        <f aca="1">Podatak_MB</f>
        <v>1062280</v>
      </c>
      <c r="D29" t="str">
        <f aca="1">Podatak_JIB</f>
        <v>4400471400001</v>
      </c>
      <c r="E29" t="b">
        <f aca="1">Konsolidovan_izvjestaj</f>
        <v>0</v>
      </c>
      <c r="F29">
        <f>VLOOKUP($A29,Aop!$A$2:$P$453,4,0)</f>
        <v>920</v>
      </c>
      <c r="G29">
        <f aca="1">Godina</f>
        <v>2024</v>
      </c>
      <c r="H29" s="20">
        <f aca="1">Datum_Broj</f>
        <v>45382</v>
      </c>
      <c r="I29" t="n">
        <v>30</v>
      </c>
      <c r="J29" t="str">
        <f aca="1">IF(VLOOKUP($F29,INDIRECT("Lookup_"&amp;$B29),J$1-1,0)="","",VLOOKUP($F29,INDIRECT("Lookup_"&amp;$B29),J$1-1,0))</f>
        <v/>
      </c>
      <c r="K29"/>
      <c r="L29"/>
      <c r="M29"/>
      <c r="N29"/>
      <c r="O29"/>
      <c r="P29"/>
      <c r="Q29"/>
      <c r="R29"/>
      <c r="S29"/>
    </row>
    <row r="30" spans="1:19">
      <c r="A30" s="92" t="n">
        <v>447</v>
      </c>
      <c r="B30" s="93" t="str">
        <f>VLOOKUP($A30,Aop!$A$2:$P$453,2,0)</f>
        <v>BPK</v>
      </c>
      <c r="C30" t="str">
        <f aca="1">Podatak_MB</f>
        <v>1062280</v>
      </c>
      <c r="D30" t="str">
        <f aca="1">Podatak_JIB</f>
        <v>4400471400001</v>
      </c>
      <c r="E30" t="b">
        <f aca="1">Konsolidovan_izvjestaj</f>
        <v>0</v>
      </c>
      <c r="F30">
        <f>VLOOKUP($A30,Aop!$A$2:$P$453,4,0)</f>
        <v>921</v>
      </c>
      <c r="G30">
        <f aca="1">Godina</f>
        <v>2024</v>
      </c>
      <c r="H30" s="20">
        <f aca="1">Datum_Broj</f>
        <v>45382</v>
      </c>
      <c r="I30" t="n">
        <v>30</v>
      </c>
      <c r="J30" t="str">
        <f aca="1">IF(VLOOKUP($F30,INDIRECT("Lookup_"&amp;$B30),J$1-1,0)="","",VLOOKUP($F30,INDIRECT("Lookup_"&amp;$B30),J$1-1,0))</f>
        <v/>
      </c>
      <c r="K30"/>
      <c r="L30"/>
      <c r="M30"/>
      <c r="N30"/>
      <c r="O30"/>
      <c r="P30"/>
      <c r="Q30"/>
      <c r="R30"/>
      <c r="S30"/>
    </row>
    <row r="31" spans="1:19">
      <c r="A31" s="92" t="n">
        <v>448</v>
      </c>
      <c r="B31" s="93" t="str">
        <f>VLOOKUP($A31,Aop!$A$2:$P$453,2,0)</f>
        <v>BPK</v>
      </c>
      <c r="C31" t="str">
        <f aca="1">Podatak_MB</f>
        <v>1062280</v>
      </c>
      <c r="D31" t="str">
        <f aca="1">Podatak_JIB</f>
        <v>4400471400001</v>
      </c>
      <c r="E31" t="b">
        <f aca="1">Konsolidovan_izvjestaj</f>
        <v>0</v>
      </c>
      <c r="F31">
        <f>VLOOKUP($A31,Aop!$A$2:$P$453,4,0)</f>
        <v>922</v>
      </c>
      <c r="G31">
        <f aca="1">Godina</f>
        <v>2024</v>
      </c>
      <c r="H31" s="20">
        <f aca="1">Datum_Broj</f>
        <v>45382</v>
      </c>
      <c r="I31" t="n">
        <v>30</v>
      </c>
      <c r="J31" t="str">
        <f aca="1">IF(VLOOKUP($F31,INDIRECT("Lookup_"&amp;$B31),J$1-1,0)="","",VLOOKUP($F31,INDIRECT("Lookup_"&amp;$B31),J$1-1,0))</f>
        <v/>
      </c>
      <c r="K31"/>
      <c r="L31"/>
      <c r="M31"/>
      <c r="N31"/>
      <c r="O31"/>
      <c r="P31"/>
      <c r="Q31"/>
      <c r="R31"/>
      <c r="S31"/>
    </row>
    <row r="32" spans="1:19">
      <c r="A32" s="92" t="n">
        <v>449</v>
      </c>
      <c r="B32" s="93" t="str">
        <f>VLOOKUP($A32,Aop!$A$2:$P$453,2,0)</f>
        <v>BPK</v>
      </c>
      <c r="C32" t="str">
        <f aca="1">Podatak_MB</f>
        <v>1062280</v>
      </c>
      <c r="D32" t="str">
        <f aca="1">Podatak_JIB</f>
        <v>4400471400001</v>
      </c>
      <c r="E32" t="b">
        <f aca="1">Konsolidovan_izvjestaj</f>
        <v>0</v>
      </c>
      <c r="F32">
        <f>VLOOKUP($A32,Aop!$A$2:$P$453,4,0)</f>
        <v>923</v>
      </c>
      <c r="G32">
        <f aca="1">Godina</f>
        <v>2024</v>
      </c>
      <c r="H32" s="20">
        <f aca="1">Datum_Broj</f>
        <v>45382</v>
      </c>
      <c r="I32" t="n">
        <v>30</v>
      </c>
      <c r="J32" t="str">
        <f aca="1">IF(VLOOKUP($F32,INDIRECT("Lookup_"&amp;$B32),J$1-1,0)="","",VLOOKUP($F32,INDIRECT("Lookup_"&amp;$B32),J$1-1,0))</f>
        <v/>
      </c>
      <c r="K32"/>
      <c r="L32"/>
      <c r="M32"/>
      <c r="N32"/>
      <c r="O32"/>
      <c r="P32"/>
      <c r="Q32"/>
      <c r="R32"/>
      <c r="S32"/>
    </row>
    <row r="33" spans="1:19">
      <c r="A33" s="92" t="n">
        <v>450</v>
      </c>
      <c r="B33" s="93" t="str">
        <f>VLOOKUP($A33,Aop!$A$2:$P$453,2,0)</f>
        <v>BPK</v>
      </c>
      <c r="C33" t="str">
        <f aca="1">Podatak_MB</f>
        <v>1062280</v>
      </c>
      <c r="D33" t="str">
        <f aca="1">Podatak_JIB</f>
        <v>4400471400001</v>
      </c>
      <c r="E33" t="b">
        <f aca="1">Konsolidovan_izvjestaj</f>
        <v>0</v>
      </c>
      <c r="F33">
        <f>VLOOKUP($A33,Aop!$A$2:$P$453,4,0)</f>
        <v>924</v>
      </c>
      <c r="G33">
        <f aca="1">Godina</f>
        <v>2024</v>
      </c>
      <c r="H33" s="20">
        <f aca="1">Datum_Broj</f>
        <v>45382</v>
      </c>
      <c r="I33" t="n">
        <v>30</v>
      </c>
      <c r="J33" t="str">
        <f aca="1">IF(VLOOKUP($F33,INDIRECT("Lookup_"&amp;$B33),J$1-1,0)="","",VLOOKUP($F33,INDIRECT("Lookup_"&amp;$B33),J$1-1,0))</f>
        <v/>
      </c>
      <c r="K33"/>
      <c r="L33"/>
      <c r="M33"/>
      <c r="N33"/>
      <c r="O33"/>
      <c r="P33"/>
      <c r="Q33"/>
      <c r="R33"/>
      <c r="S33"/>
    </row>
    <row r="34" spans="1:19">
      <c r="A34" s="92" t="n">
        <v>451</v>
      </c>
      <c r="B34" s="93" t="str">
        <f>VLOOKUP($A34,Aop!$A$2:$P$453,2,0)</f>
        <v>BPK</v>
      </c>
      <c r="C34" t="str">
        <f aca="1">Podatak_MB</f>
        <v>1062280</v>
      </c>
      <c r="D34" t="str">
        <f aca="1">Podatak_JIB</f>
        <v>4400471400001</v>
      </c>
      <c r="E34" t="b">
        <f aca="1">Konsolidovan_izvjestaj</f>
        <v>0</v>
      </c>
      <c r="F34">
        <f>VLOOKUP($A34,Aop!$A$2:$P$453,4,0)</f>
        <v>0</v>
      </c>
      <c r="G34">
        <f aca="1">Godina</f>
        <v>2024</v>
      </c>
      <c r="H34" s="20">
        <f aca="1">Datum_Broj</f>
        <v>45382</v>
      </c>
      <c r="I34" t="n">
        <v>30</v>
      </c>
      <c r="J34" t="str">
        <f aca="1">IF(VLOOKUP($F34,INDIRECT("Lookup_"&amp;$B34),J$1-1,0)="","",VLOOKUP($F34,INDIRECT("Lookup_"&amp;$B34),J$1-1,0))</f>
        <v/>
      </c>
      <c r="K34"/>
      <c r="L34"/>
      <c r="M34"/>
      <c r="N34"/>
      <c r="O34"/>
      <c r="P34"/>
      <c r="Q34"/>
      <c r="R34"/>
      <c r="S34"/>
    </row>
    <row r="35" spans="1:19">
      <c r="A35" s="92" t="n">
        <v>452</v>
      </c>
      <c r="B35" s="93" t="str">
        <f>VLOOKUP($A35,Aop!$A$2:$P$453,2,0)</f>
        <v>BPK</v>
      </c>
      <c r="C35" t="str">
        <f aca="1">Podatak_MB</f>
        <v>1062280</v>
      </c>
      <c r="D35" t="str">
        <f aca="1">Podatak_JIB</f>
        <v>4400471400001</v>
      </c>
      <c r="E35" t="b">
        <f aca="1">Konsolidovan_izvjestaj</f>
        <v>0</v>
      </c>
      <c r="F35">
        <f>VLOOKUP($A35,Aop!$A$2:$P$453,4,0)</f>
        <v>925</v>
      </c>
      <c r="G35">
        <f aca="1">Godina</f>
        <v>2024</v>
      </c>
      <c r="H35" s="20">
        <f aca="1">Datum_Broj</f>
        <v>45382</v>
      </c>
      <c r="I35" t="n">
        <v>30</v>
      </c>
      <c r="J35" s="571">
        <f aca="1">IF(VLOOKUP($F35,INDIRECT("Lookup_"&amp;$B35),J$1-1,0)="","",VLOOKUP($F35,INDIRECT("Lookup_"&amp;$B35),J$1-1,0))</f>
        <v>6015177</v>
      </c>
      <c r="K35" s="571">
        <f aca="1">IF(VLOOKUP($F35,INDIRECT("Lookup_"&amp;$B35),K$1-1,0)="","",VLOOKUP($F35,INDIRECT("Lookup_"&amp;$B35),K$1-1,0))</f>
        <v>0</v>
      </c>
      <c r="L35" s="571">
        <f aca="1">IF(VLOOKUP($F35,INDIRECT("Lookup_"&amp;$B35),L$1-1,0)="","",VLOOKUP($F35,INDIRECT("Lookup_"&amp;$B35),L$1-1,0))</f>
        <v>0</v>
      </c>
      <c r="M35" s="571">
        <f aca="1">IF(VLOOKUP($F35,INDIRECT("Lookup_"&amp;$B35),M$1-1,0)="","",VLOOKUP($F35,INDIRECT("Lookup_"&amp;$B35),M$1-1,0))</f>
        <v>248947</v>
      </c>
      <c r="N35" s="571">
        <f aca="1">IF(VLOOKUP($F35,INDIRECT("Lookup_"&amp;$B35),N$1-1,0)="","",VLOOKUP($F35,INDIRECT("Lookup_"&amp;$B35),N$1-1,0))</f>
        <v>0</v>
      </c>
      <c r="O35" s="571">
        <f aca="1">IF(VLOOKUP($F35,INDIRECT("Lookup_"&amp;$B35),O$1-1,0)="","",VLOOKUP($F35,INDIRECT("Lookup_"&amp;$B35),O$1-1,0))</f>
        <v>869</v>
      </c>
      <c r="P35" s="571">
        <f aca="1">IF(VLOOKUP($F35,INDIRECT("Lookup_"&amp;$B35),P$1-1,0)="","",VLOOKUP($F35,INDIRECT("Lookup_"&amp;$B35),P$1-1,0))</f>
        <v>-5074479</v>
      </c>
      <c r="Q35" s="571">
        <f aca="1">IF(VLOOKUP($F35,INDIRECT("Lookup_"&amp;$B35),Q$1-1,0)="","",VLOOKUP($F35,INDIRECT("Lookup_"&amp;$B35),Q$1-1,0))</f>
        <v>1190514</v>
      </c>
      <c r="R35" s="571">
        <f aca="1">IF(VLOOKUP($F35,INDIRECT("Lookup_"&amp;$B35),R$1-1,0)="","",VLOOKUP($F35,INDIRECT("Lookup_"&amp;$B35),R$1-1,0))</f>
        <v>0</v>
      </c>
      <c r="S35" s="571">
        <f aca="1">IF(VLOOKUP($F35,INDIRECT("Lookup_"&amp;$B35),S$1-1,0)="","",VLOOKUP($F35,INDIRECT("Lookup_"&amp;$B35),S$1-1,0))</f>
        <v>1190514</v>
      </c>
    </row>
  </sheetData>
  <sheetProtection algorithmName="SHA-512" hashValue="N8KQiGhchAFVwnrPHbY6mQoOo7hLUP0jKjZu+ZYE8DGcKxZ2fYr9qrVJP2XphdFIvQx7TuGlhVCu8L6EDhdnZg==" saltValue="QZ1mApl38IRyH1yX1ZNq9w==" spinCount="100000" sheet="1" autoFilter="0"/>
  <printOptions>
    <extLst>
      <ext uri="smNativeData">
        <pm:pageFlags xmlns:pm="smNativeData" id="1714042646" printRowHead="0" printColHead="0" printHeadLine="0" printFootLine="0" autoHeightHeader="0" autoHeightFooter="0" fitToPageBoth="0"/>
      </ext>
    </extLst>
  </printOptions>
  <pageMargins left="0.700000" right="0.700000" top="0.750000" bottom="0.750000" header="0.300000" footer="0.300000"/>
  <pageSetup paperSize="9" fitToWidth="0" fitToHeight="1"/>
  <header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tableParts count="1">
    <tablePart r:id="rId1"/>
  </tableParts>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79646"/>
    <pageSetUpPr autoPageBreaks="0"/>
  </sheetPr>
  <dimension ref="B1:W441"/>
  <sheetViews>
    <sheetView showGridLines="0" showRowColHeaders="0" view="normal" zoomScale="115" workbookViewId="0">
      <pane ySplit="1" topLeftCell="A2" activePane="bottomLeft" state="frozen"/>
      <selection pane="bottomLeft" activeCell="D1" sqref="D1"/>
    </sheetView>
  </sheetViews>
  <sheetFormatPr defaultRowHeight="14.20"/>
  <cols>
    <col min="1" max="1" width="9.138614" customWidth="1" style="22"/>
    <col min="2" max="3" width="8.287129" customWidth="1" style="22"/>
    <col min="4" max="4" width="10.000000" customWidth="1" style="22"/>
    <col min="5" max="11" width="9.564356" customWidth="1" style="22"/>
    <col min="12" max="13" width="10.564356" customWidth="1" style="22"/>
    <col min="14" max="14" width="9.564356" customWidth="1" style="22"/>
    <col min="15" max="15" width="0.198020" customWidth="1" style="22"/>
    <col min="16" max="16" width="12.564356" hidden="1" customWidth="1" style="22">
      <extLst>
        <ext uri="smNativeData">
          <pm:columnDef xmlns:pm="smNativeData" id="1714042646" min="16" max="16" hidden="1" collapsedDB="0" collapsedOL="0"/>
        </ext>
      </extLst>
    </col>
    <col min="17" max="17" width="12.425743" customWidth="1" style="22"/>
    <col min="18" max="18" width="8.564356" customWidth="1" style="22"/>
    <col min="19" max="19" width="13.138614" customWidth="1" style="22"/>
    <col min="20" max="20" width="13.287129" customWidth="1" style="22"/>
    <col min="21" max="16384" width="9.138614" customWidth="1" style="22"/>
  </cols>
  <sheetData>
    <row r="1" spans="2:17" ht="29.25" customHeight="1">
      <c r="B1" s="115" t="s">
        <v>3076</v>
      </c>
      <c r="C1" s="115" t="s">
        <v>404</v>
      </c>
      <c r="D1" s="115" t="s">
        <v>397</v>
      </c>
      <c r="E1" s="115" t="s">
        <v>3057</v>
      </c>
      <c r="F1" s="115" t="s">
        <v>3059</v>
      </c>
      <c r="G1" s="115" t="s">
        <v>3062</v>
      </c>
      <c r="H1" s="115" t="s">
        <v>3063</v>
      </c>
      <c r="I1" s="115" t="s">
        <v>3064</v>
      </c>
      <c r="J1" s="115" t="s">
        <v>3065</v>
      </c>
      <c r="K1" s="115" t="s">
        <v>3066</v>
      </c>
      <c r="L1" s="115" t="s">
        <v>3067</v>
      </c>
      <c r="M1" s="115" t="s">
        <v>3068</v>
      </c>
      <c r="N1" s="115" t="s">
        <v>3069</v>
      </c>
      <c r="O1" s="115" t="s">
        <v>3077</v>
      </c>
      <c r="P1" s="115" t="s">
        <v>587</v>
      </c>
      <c r="Q1" s="142" t="s">
        <v>3078</v>
      </c>
    </row>
    <row r="2" spans="2:17">
      <c r="B2" s="52">
        <f>VLOOKUP(T_ApifImport[[#This Row],[Bilans]],T_Bilansi[],4,0)</f>
        <v>25</v>
      </c>
      <c r="C2" s="173">
        <f>VLOOKUP(T_ApifImport[[#This Row],[ld]],T_Aop[],4,0)</f>
        <v>1</v>
      </c>
      <c r="D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9008083</v>
      </c>
      <c r="F2" s="573">
        <f aca="1">IF(ISNA(VLOOKUP(T_ApifImport[[#This Row],[Bilans]:[Bilans]]&amp;T_ApifImport[[#Headers],[Kolona2]],T_ApifKolone[],4,0)),"",VLOOKUP(T_ApifImport[[#This Row],[AOP]:[AOP]],INDIRECT("Lookup_"&amp;T_ApifImport[[#This Row],[Bilans]:[Bilans]]),VLOOKUP(T_ApifImport[[#This Row],[Bilans]:[Bilans]]&amp;T_ApifImport[[#Headers],[Kolona2]],T_ApifKolone[],4,0),0))</f>
        <v>6068635</v>
      </c>
      <c r="G2" s="573">
        <f aca="1">IF(ISNA(VLOOKUP(T_ApifImport[[#This Row],[Bilans]:[Bilans]]&amp;T_ApifImport[[#Headers],[Kolona3]],T_ApifKolone[],4,0)),"",VLOOKUP(T_ApifImport[[#This Row],[AOP]:[AOP]],INDIRECT("Lookup_"&amp;T_ApifImport[[#This Row],[Bilans]:[Bilans]]),VLOOKUP(T_ApifImport[[#This Row],[Bilans]:[Bilans]]&amp;T_ApifImport[[#Headers],[Kolona3]],T_ApifKolone[],4,0),0))</f>
        <v>2939448</v>
      </c>
      <c r="H2" s="573">
        <f aca="1">IF(ISNA(VLOOKUP(T_ApifImport[[#This Row],[Bilans]:[Bilans]]&amp;T_ApifImport[[#Headers],[Kolona4]],T_ApifKolone[],4,0)),"",VLOOKUP(T_ApifImport[[#This Row],[AOP]:[AOP]],INDIRECT("Lookup_"&amp;T_ApifImport[[#This Row],[Bilans]:[Bilans]]),VLOOKUP(T_ApifImport[[#This Row],[Bilans]:[Bilans]]&amp;T_ApifImport[[#Headers],[Kolona4]],T_ApifKolone[],4,0),0))</f>
        <v>3001606</v>
      </c>
      <c r="I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 s="22" t="n">
        <v>1</v>
      </c>
      <c r="P2" s="25" t="s">
        <v>601</v>
      </c>
      <c r="Q2" s="22" t="s">
        <v>3079</v>
      </c>
    </row>
    <row r="3" spans="2:16">
      <c r="B3" s="52">
        <f>VLOOKUP(T_ApifImport[[#This Row],[Bilans]],T_Bilansi[],4,0)</f>
        <v>25</v>
      </c>
      <c r="C3" s="173">
        <f>VLOOKUP(T_ApifImport[[#This Row],[ld]],T_Aop[],4,0)</f>
        <v>2</v>
      </c>
      <c r="D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 s="573">
        <f aca="1">IF(ISNA(VLOOKUP(T_ApifImport[[#This Row],[Bilans]:[Bilans]]&amp;T_ApifImport[[#Headers],[Kolona2]],T_ApifKolone[],4,0)),"",VLOOKUP(T_ApifImport[[#This Row],[AOP]:[AOP]],INDIRECT("Lookup_"&amp;T_ApifImport[[#This Row],[Bilans]:[Bilans]]),VLOOKUP(T_ApifImport[[#This Row],[Bilans]:[Bilans]]&amp;T_ApifImport[[#Headers],[Kolona2]],T_ApifKolone[],4,0),0))</f>
        <v>0</v>
      </c>
      <c r="G3" s="573">
        <f aca="1">IF(ISNA(VLOOKUP(T_ApifImport[[#This Row],[Bilans]:[Bilans]]&amp;T_ApifImport[[#Headers],[Kolona3]],T_ApifKolone[],4,0)),"",VLOOKUP(T_ApifImport[[#This Row],[AOP]:[AOP]],INDIRECT("Lookup_"&amp;T_ApifImport[[#This Row],[Bilans]:[Bilans]]),VLOOKUP(T_ApifImport[[#This Row],[Bilans]:[Bilans]]&amp;T_ApifImport[[#Headers],[Kolona3]],T_ApifKolone[],4,0),0))</f>
        <v>0</v>
      </c>
      <c r="H3" s="573">
        <f aca="1">IF(ISNA(VLOOKUP(T_ApifImport[[#This Row],[Bilans]:[Bilans]]&amp;T_ApifImport[[#Headers],[Kolona4]],T_ApifKolone[],4,0)),"",VLOOKUP(T_ApifImport[[#This Row],[AOP]:[AOP]],INDIRECT("Lookup_"&amp;T_ApifImport[[#This Row],[Bilans]:[Bilans]]),VLOOKUP(T_ApifImport[[#This Row],[Bilans]:[Bilans]]&amp;T_ApifImport[[#Headers],[Kolona4]],T_ApifKolone[],4,0),0))</f>
        <v>0</v>
      </c>
      <c r="I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 s="22" t="n">
        <v>2</v>
      </c>
      <c r="P3" s="25" t="s">
        <v>601</v>
      </c>
    </row>
    <row r="4" spans="2:16">
      <c r="B4" s="52">
        <f>VLOOKUP(T_ApifImport[[#This Row],[Bilans]],T_Bilansi[],4,0)</f>
        <v>25</v>
      </c>
      <c r="C4" s="173">
        <f>VLOOKUP(T_ApifImport[[#This Row],[ld]],T_Aop[],4,0)</f>
        <v>3</v>
      </c>
      <c r="D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 s="25">
        <f aca="1">IF(ISNA(VLOOKUP(T_ApifImport[[#This Row],[Bilans]:[Bilans]]&amp;T_ApifImport[[#Headers],[Kolona2]],T_ApifKolone[],4,0)),"",VLOOKUP(T_ApifImport[[#This Row],[AOP]:[AOP]],INDIRECT("Lookup_"&amp;T_ApifImport[[#This Row],[Bilans]:[Bilans]]),VLOOKUP(T_ApifImport[[#This Row],[Bilans]:[Bilans]]&amp;T_ApifImport[[#Headers],[Kolona2]],T_ApifKolone[],4,0),0))</f>
        <v>0</v>
      </c>
      <c r="G4" s="573">
        <f aca="1">IF(ISNA(VLOOKUP(T_ApifImport[[#This Row],[Bilans]:[Bilans]]&amp;T_ApifImport[[#Headers],[Kolona3]],T_ApifKolone[],4,0)),"",VLOOKUP(T_ApifImport[[#This Row],[AOP]:[AOP]],INDIRECT("Lookup_"&amp;T_ApifImport[[#This Row],[Bilans]:[Bilans]]),VLOOKUP(T_ApifImport[[#This Row],[Bilans]:[Bilans]]&amp;T_ApifImport[[#Headers],[Kolona3]],T_ApifKolone[],4,0),0))</f>
        <v>0</v>
      </c>
      <c r="H4" s="25">
        <f aca="1">IF(ISNA(VLOOKUP(T_ApifImport[[#This Row],[Bilans]:[Bilans]]&amp;T_ApifImport[[#Headers],[Kolona4]],T_ApifKolone[],4,0)),"",VLOOKUP(T_ApifImport[[#This Row],[AOP]:[AOP]],INDIRECT("Lookup_"&amp;T_ApifImport[[#This Row],[Bilans]:[Bilans]]),VLOOKUP(T_ApifImport[[#This Row],[Bilans]:[Bilans]]&amp;T_ApifImport[[#Headers],[Kolona4]],T_ApifKolone[],4,0),0))</f>
        <v>0</v>
      </c>
      <c r="I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 s="22" t="n">
        <v>3</v>
      </c>
      <c r="P4" s="25" t="s">
        <v>601</v>
      </c>
    </row>
    <row r="5" spans="2:16">
      <c r="B5" s="52">
        <f>VLOOKUP(T_ApifImport[[#This Row],[Bilans]],T_Bilansi[],4,0)</f>
        <v>25</v>
      </c>
      <c r="C5" s="173">
        <f>VLOOKUP(T_ApifImport[[#This Row],[ld]],T_Aop[],4,0)</f>
        <v>4</v>
      </c>
      <c r="D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5" s="25">
        <f aca="1">IF(ISNA(VLOOKUP(T_ApifImport[[#This Row],[Bilans]:[Bilans]]&amp;T_ApifImport[[#Headers],[Kolona2]],T_ApifKolone[],4,0)),"",VLOOKUP(T_ApifImport[[#This Row],[AOP]:[AOP]],INDIRECT("Lookup_"&amp;T_ApifImport[[#This Row],[Bilans]:[Bilans]]),VLOOKUP(T_ApifImport[[#This Row],[Bilans]:[Bilans]]&amp;T_ApifImport[[#Headers],[Kolona2]],T_ApifKolone[],4,0),0))</f>
        <v>0</v>
      </c>
      <c r="G5" s="573">
        <f aca="1">IF(ISNA(VLOOKUP(T_ApifImport[[#This Row],[Bilans]:[Bilans]]&amp;T_ApifImport[[#Headers],[Kolona3]],T_ApifKolone[],4,0)),"",VLOOKUP(T_ApifImport[[#This Row],[AOP]:[AOP]],INDIRECT("Lookup_"&amp;T_ApifImport[[#This Row],[Bilans]:[Bilans]]),VLOOKUP(T_ApifImport[[#This Row],[Bilans]:[Bilans]]&amp;T_ApifImport[[#Headers],[Kolona3]],T_ApifKolone[],4,0),0))</f>
        <v>0</v>
      </c>
      <c r="H5" s="25">
        <f aca="1">IF(ISNA(VLOOKUP(T_ApifImport[[#This Row],[Bilans]:[Bilans]]&amp;T_ApifImport[[#Headers],[Kolona4]],T_ApifKolone[],4,0)),"",VLOOKUP(T_ApifImport[[#This Row],[AOP]:[AOP]],INDIRECT("Lookup_"&amp;T_ApifImport[[#This Row],[Bilans]:[Bilans]]),VLOOKUP(T_ApifImport[[#This Row],[Bilans]:[Bilans]]&amp;T_ApifImport[[#Headers],[Kolona4]],T_ApifKolone[],4,0),0))</f>
        <v>0</v>
      </c>
      <c r="I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 s="22" t="n">
        <v>4</v>
      </c>
      <c r="P5" s="25" t="s">
        <v>601</v>
      </c>
    </row>
    <row r="6" spans="2:16">
      <c r="B6" s="52">
        <f>VLOOKUP(T_ApifImport[[#This Row],[Bilans]],T_Bilansi[],4,0)</f>
        <v>25</v>
      </c>
      <c r="C6" s="173">
        <f>VLOOKUP(T_ApifImport[[#This Row],[ld]],T_Aop[],4,0)</f>
        <v>5</v>
      </c>
      <c r="D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6" s="25">
        <f aca="1">IF(ISNA(VLOOKUP(T_ApifImport[[#This Row],[Bilans]:[Bilans]]&amp;T_ApifImport[[#Headers],[Kolona2]],T_ApifKolone[],4,0)),"",VLOOKUP(T_ApifImport[[#This Row],[AOP]:[AOP]],INDIRECT("Lookup_"&amp;T_ApifImport[[#This Row],[Bilans]:[Bilans]]),VLOOKUP(T_ApifImport[[#This Row],[Bilans]:[Bilans]]&amp;T_ApifImport[[#Headers],[Kolona2]],T_ApifKolone[],4,0),0))</f>
        <v>0</v>
      </c>
      <c r="G6" s="573">
        <f aca="1">IF(ISNA(VLOOKUP(T_ApifImport[[#This Row],[Bilans]:[Bilans]]&amp;T_ApifImport[[#Headers],[Kolona3]],T_ApifKolone[],4,0)),"",VLOOKUP(T_ApifImport[[#This Row],[AOP]:[AOP]],INDIRECT("Lookup_"&amp;T_ApifImport[[#This Row],[Bilans]:[Bilans]]),VLOOKUP(T_ApifImport[[#This Row],[Bilans]:[Bilans]]&amp;T_ApifImport[[#Headers],[Kolona3]],T_ApifKolone[],4,0),0))</f>
        <v>0</v>
      </c>
      <c r="H6" s="25">
        <f aca="1">IF(ISNA(VLOOKUP(T_ApifImport[[#This Row],[Bilans]:[Bilans]]&amp;T_ApifImport[[#Headers],[Kolona4]],T_ApifKolone[],4,0)),"",VLOOKUP(T_ApifImport[[#This Row],[AOP]:[AOP]],INDIRECT("Lookup_"&amp;T_ApifImport[[#This Row],[Bilans]:[Bilans]]),VLOOKUP(T_ApifImport[[#This Row],[Bilans]:[Bilans]]&amp;T_ApifImport[[#Headers],[Kolona4]],T_ApifKolone[],4,0),0))</f>
        <v>0</v>
      </c>
      <c r="I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 s="22" t="n">
        <v>5</v>
      </c>
      <c r="P6" s="25" t="s">
        <v>601</v>
      </c>
    </row>
    <row r="7" spans="2:16">
      <c r="B7" s="52">
        <f>VLOOKUP(T_ApifImport[[#This Row],[Bilans]],T_Bilansi[],4,0)</f>
        <v>25</v>
      </c>
      <c r="C7" s="173">
        <f>VLOOKUP(T_ApifImport[[#This Row],[ld]],T_Aop[],4,0)</f>
        <v>6</v>
      </c>
      <c r="D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7" s="25">
        <f aca="1">IF(ISNA(VLOOKUP(T_ApifImport[[#This Row],[Bilans]:[Bilans]]&amp;T_ApifImport[[#Headers],[Kolona2]],T_ApifKolone[],4,0)),"",VLOOKUP(T_ApifImport[[#This Row],[AOP]:[AOP]],INDIRECT("Lookup_"&amp;T_ApifImport[[#This Row],[Bilans]:[Bilans]]),VLOOKUP(T_ApifImport[[#This Row],[Bilans]:[Bilans]]&amp;T_ApifImport[[#Headers],[Kolona2]],T_ApifKolone[],4,0),0))</f>
        <v>0</v>
      </c>
      <c r="G7" s="573">
        <f aca="1">IF(ISNA(VLOOKUP(T_ApifImport[[#This Row],[Bilans]:[Bilans]]&amp;T_ApifImport[[#Headers],[Kolona3]],T_ApifKolone[],4,0)),"",VLOOKUP(T_ApifImport[[#This Row],[AOP]:[AOP]],INDIRECT("Lookup_"&amp;T_ApifImport[[#This Row],[Bilans]:[Bilans]]),VLOOKUP(T_ApifImport[[#This Row],[Bilans]:[Bilans]]&amp;T_ApifImport[[#Headers],[Kolona3]],T_ApifKolone[],4,0),0))</f>
        <v>0</v>
      </c>
      <c r="H7" s="25">
        <f aca="1">IF(ISNA(VLOOKUP(T_ApifImport[[#This Row],[Bilans]:[Bilans]]&amp;T_ApifImport[[#Headers],[Kolona4]],T_ApifKolone[],4,0)),"",VLOOKUP(T_ApifImport[[#This Row],[AOP]:[AOP]],INDIRECT("Lookup_"&amp;T_ApifImport[[#This Row],[Bilans]:[Bilans]]),VLOOKUP(T_ApifImport[[#This Row],[Bilans]:[Bilans]]&amp;T_ApifImport[[#Headers],[Kolona4]],T_ApifKolone[],4,0),0))</f>
        <v>0</v>
      </c>
      <c r="I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 s="22" t="n">
        <v>6</v>
      </c>
      <c r="P7" s="25" t="s">
        <v>601</v>
      </c>
    </row>
    <row r="8" spans="2:16">
      <c r="B8" s="52">
        <f>VLOOKUP(T_ApifImport[[#This Row],[Bilans]],T_Bilansi[],4,0)</f>
        <v>25</v>
      </c>
      <c r="C8" s="173">
        <f>VLOOKUP(T_ApifImport[[#This Row],[ld]],T_Aop[],4,0)</f>
        <v>7</v>
      </c>
      <c r="D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8" s="25">
        <f aca="1">IF(ISNA(VLOOKUP(T_ApifImport[[#This Row],[Bilans]:[Bilans]]&amp;T_ApifImport[[#Headers],[Kolona2]],T_ApifKolone[],4,0)),"",VLOOKUP(T_ApifImport[[#This Row],[AOP]:[AOP]],INDIRECT("Lookup_"&amp;T_ApifImport[[#This Row],[Bilans]:[Bilans]]),VLOOKUP(T_ApifImport[[#This Row],[Bilans]:[Bilans]]&amp;T_ApifImport[[#Headers],[Kolona2]],T_ApifKolone[],4,0),0))</f>
        <v>0</v>
      </c>
      <c r="G8" s="573">
        <f aca="1">IF(ISNA(VLOOKUP(T_ApifImport[[#This Row],[Bilans]:[Bilans]]&amp;T_ApifImport[[#Headers],[Kolona3]],T_ApifKolone[],4,0)),"",VLOOKUP(T_ApifImport[[#This Row],[AOP]:[AOP]],INDIRECT("Lookup_"&amp;T_ApifImport[[#This Row],[Bilans]:[Bilans]]),VLOOKUP(T_ApifImport[[#This Row],[Bilans]:[Bilans]]&amp;T_ApifImport[[#Headers],[Kolona3]],T_ApifKolone[],4,0),0))</f>
        <v>0</v>
      </c>
      <c r="H8" s="25">
        <f aca="1">IF(ISNA(VLOOKUP(T_ApifImport[[#This Row],[Bilans]:[Bilans]]&amp;T_ApifImport[[#Headers],[Kolona4]],T_ApifKolone[],4,0)),"",VLOOKUP(T_ApifImport[[#This Row],[AOP]:[AOP]],INDIRECT("Lookup_"&amp;T_ApifImport[[#This Row],[Bilans]:[Bilans]]),VLOOKUP(T_ApifImport[[#This Row],[Bilans]:[Bilans]]&amp;T_ApifImport[[#Headers],[Kolona4]],T_ApifKolone[],4,0),0))</f>
        <v>0</v>
      </c>
      <c r="I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 s="22" t="n">
        <v>7</v>
      </c>
      <c r="P8" s="25" t="s">
        <v>601</v>
      </c>
    </row>
    <row r="9" spans="2:16">
      <c r="B9" s="52">
        <f>VLOOKUP(T_ApifImport[[#This Row],[Bilans]],T_Bilansi[],4,0)</f>
        <v>25</v>
      </c>
      <c r="C9" s="173">
        <f>VLOOKUP(T_ApifImport[[#This Row],[ld]],T_Aop[],4,0)</f>
        <v>8</v>
      </c>
      <c r="D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9008083</v>
      </c>
      <c r="F9" s="573">
        <f aca="1">IF(ISNA(VLOOKUP(T_ApifImport[[#This Row],[Bilans]:[Bilans]]&amp;T_ApifImport[[#Headers],[Kolona2]],T_ApifKolone[],4,0)),"",VLOOKUP(T_ApifImport[[#This Row],[AOP]:[AOP]],INDIRECT("Lookup_"&amp;T_ApifImport[[#This Row],[Bilans]:[Bilans]]),VLOOKUP(T_ApifImport[[#This Row],[Bilans]:[Bilans]]&amp;T_ApifImport[[#Headers],[Kolona2]],T_ApifKolone[],4,0),0))</f>
        <v>6068635</v>
      </c>
      <c r="G9" s="573">
        <f aca="1">IF(ISNA(VLOOKUP(T_ApifImport[[#This Row],[Bilans]:[Bilans]]&amp;T_ApifImport[[#Headers],[Kolona3]],T_ApifKolone[],4,0)),"",VLOOKUP(T_ApifImport[[#This Row],[AOP]:[AOP]],INDIRECT("Lookup_"&amp;T_ApifImport[[#This Row],[Bilans]:[Bilans]]),VLOOKUP(T_ApifImport[[#This Row],[Bilans]:[Bilans]]&amp;T_ApifImport[[#Headers],[Kolona3]],T_ApifKolone[],4,0),0))</f>
        <v>2939448</v>
      </c>
      <c r="H9" s="573">
        <f aca="1">IF(ISNA(VLOOKUP(T_ApifImport[[#This Row],[Bilans]:[Bilans]]&amp;T_ApifImport[[#Headers],[Kolona4]],T_ApifKolone[],4,0)),"",VLOOKUP(T_ApifImport[[#This Row],[AOP]:[AOP]],INDIRECT("Lookup_"&amp;T_ApifImport[[#This Row],[Bilans]:[Bilans]]),VLOOKUP(T_ApifImport[[#This Row],[Bilans]:[Bilans]]&amp;T_ApifImport[[#Headers],[Kolona4]],T_ApifKolone[],4,0),0))</f>
        <v>3001606</v>
      </c>
      <c r="I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 s="22" t="n">
        <v>8</v>
      </c>
      <c r="P9" s="25" t="s">
        <v>601</v>
      </c>
    </row>
    <row r="10" spans="2:16">
      <c r="B10" s="52">
        <f>VLOOKUP(T_ApifImport[[#This Row],[Bilans]],T_Bilansi[],4,0)</f>
        <v>25</v>
      </c>
      <c r="C10" s="173">
        <f>VLOOKUP(T_ApifImport[[#This Row],[ld]],T_Aop[],4,0)</f>
        <v>9</v>
      </c>
      <c r="D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761073</v>
      </c>
      <c r="F10" s="25">
        <f aca="1">IF(ISNA(VLOOKUP(T_ApifImport[[#This Row],[Bilans]:[Bilans]]&amp;T_ApifImport[[#Headers],[Kolona2]],T_ApifKolone[],4,0)),"",VLOOKUP(T_ApifImport[[#This Row],[AOP]:[AOP]],INDIRECT("Lookup_"&amp;T_ApifImport[[#This Row],[Bilans]:[Bilans]]),VLOOKUP(T_ApifImport[[#This Row],[Bilans]:[Bilans]]&amp;T_ApifImport[[#Headers],[Kolona2]],T_ApifKolone[],4,0),0))</f>
        <v>0</v>
      </c>
      <c r="G10" s="573">
        <f aca="1">IF(ISNA(VLOOKUP(T_ApifImport[[#This Row],[Bilans]:[Bilans]]&amp;T_ApifImport[[#Headers],[Kolona3]],T_ApifKolone[],4,0)),"",VLOOKUP(T_ApifImport[[#This Row],[AOP]:[AOP]],INDIRECT("Lookup_"&amp;T_ApifImport[[#This Row],[Bilans]:[Bilans]]),VLOOKUP(T_ApifImport[[#This Row],[Bilans]:[Bilans]]&amp;T_ApifImport[[#Headers],[Kolona3]],T_ApifKolone[],4,0),0))</f>
        <v>761073</v>
      </c>
      <c r="H10" s="573">
        <f aca="1">IF(ISNA(VLOOKUP(T_ApifImport[[#This Row],[Bilans]:[Bilans]]&amp;T_ApifImport[[#Headers],[Kolona4]],T_ApifKolone[],4,0)),"",VLOOKUP(T_ApifImport[[#This Row],[AOP]:[AOP]],INDIRECT("Lookup_"&amp;T_ApifImport[[#This Row],[Bilans]:[Bilans]]),VLOOKUP(T_ApifImport[[#This Row],[Bilans]:[Bilans]]&amp;T_ApifImport[[#Headers],[Kolona4]],T_ApifKolone[],4,0),0))</f>
        <v>761073</v>
      </c>
      <c r="I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 s="22" t="n">
        <v>9</v>
      </c>
      <c r="P10" s="25" t="s">
        <v>601</v>
      </c>
    </row>
    <row r="11" spans="2:16">
      <c r="B11" s="52">
        <f>VLOOKUP(T_ApifImport[[#This Row],[Bilans]],T_Bilansi[],4,0)</f>
        <v>25</v>
      </c>
      <c r="C11" s="173">
        <f>VLOOKUP(T_ApifImport[[#This Row],[ld]],T_Aop[],4,0)</f>
        <v>10</v>
      </c>
      <c r="D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6103063</v>
      </c>
      <c r="F11" s="577">
        <f aca="1">IF(ISNA(VLOOKUP(T_ApifImport[[#This Row],[Bilans]:[Bilans]]&amp;T_ApifImport[[#Headers],[Kolona2]],T_ApifKolone[],4,0)),"",VLOOKUP(T_ApifImport[[#This Row],[AOP]:[AOP]],INDIRECT("Lookup_"&amp;T_ApifImport[[#This Row],[Bilans]:[Bilans]]),VLOOKUP(T_ApifImport[[#This Row],[Bilans]:[Bilans]]&amp;T_ApifImport[[#Headers],[Kolona2]],T_ApifKolone[],4,0),0))</f>
        <v>4340726</v>
      </c>
      <c r="G11" s="573">
        <f aca="1">IF(ISNA(VLOOKUP(T_ApifImport[[#This Row],[Bilans]:[Bilans]]&amp;T_ApifImport[[#Headers],[Kolona3]],T_ApifKolone[],4,0)),"",VLOOKUP(T_ApifImport[[#This Row],[AOP]:[AOP]],INDIRECT("Lookup_"&amp;T_ApifImport[[#This Row],[Bilans]:[Bilans]]),VLOOKUP(T_ApifImport[[#This Row],[Bilans]:[Bilans]]&amp;T_ApifImport[[#Headers],[Kolona3]],T_ApifKolone[],4,0),0))</f>
        <v>1762337</v>
      </c>
      <c r="H11" s="573">
        <f aca="1">IF(ISNA(VLOOKUP(T_ApifImport[[#This Row],[Bilans]:[Bilans]]&amp;T_ApifImport[[#Headers],[Kolona4]],T_ApifKolone[],4,0)),"",VLOOKUP(T_ApifImport[[#This Row],[AOP]:[AOP]],INDIRECT("Lookup_"&amp;T_ApifImport[[#This Row],[Bilans]:[Bilans]]),VLOOKUP(T_ApifImport[[#This Row],[Bilans]:[Bilans]]&amp;T_ApifImport[[#Headers],[Kolona4]],T_ApifKolone[],4,0),0))</f>
        <v>1796490</v>
      </c>
      <c r="I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 s="22" t="n">
        <v>10</v>
      </c>
      <c r="P11" s="25" t="s">
        <v>601</v>
      </c>
    </row>
    <row r="12" spans="2:16">
      <c r="B12" s="52">
        <f>VLOOKUP(T_ApifImport[[#This Row],[Bilans]],T_Bilansi[],4,0)</f>
        <v>25</v>
      </c>
      <c r="C12" s="173">
        <f>VLOOKUP(T_ApifImport[[#This Row],[ld]],T_Aop[],4,0)</f>
        <v>11</v>
      </c>
      <c r="D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2143947</v>
      </c>
      <c r="F12" s="577">
        <f aca="1">IF(ISNA(VLOOKUP(T_ApifImport[[#This Row],[Bilans]:[Bilans]]&amp;T_ApifImport[[#Headers],[Kolona2]],T_ApifKolone[],4,0)),"",VLOOKUP(T_ApifImport[[#This Row],[AOP]:[AOP]],INDIRECT("Lookup_"&amp;T_ApifImport[[#This Row],[Bilans]:[Bilans]]),VLOOKUP(T_ApifImport[[#This Row],[Bilans]:[Bilans]]&amp;T_ApifImport[[#Headers],[Kolona2]],T_ApifKolone[],4,0),0))</f>
        <v>1727909</v>
      </c>
      <c r="G12" s="573">
        <f aca="1">IF(ISNA(VLOOKUP(T_ApifImport[[#This Row],[Bilans]:[Bilans]]&amp;T_ApifImport[[#Headers],[Kolona3]],T_ApifKolone[],4,0)),"",VLOOKUP(T_ApifImport[[#This Row],[AOP]:[AOP]],INDIRECT("Lookup_"&amp;T_ApifImport[[#This Row],[Bilans]:[Bilans]]),VLOOKUP(T_ApifImport[[#This Row],[Bilans]:[Bilans]]&amp;T_ApifImport[[#Headers],[Kolona3]],T_ApifKolone[],4,0),0))</f>
        <v>416038</v>
      </c>
      <c r="H12" s="573">
        <f aca="1">IF(ISNA(VLOOKUP(T_ApifImport[[#This Row],[Bilans]:[Bilans]]&amp;T_ApifImport[[#Headers],[Kolona4]],T_ApifKolone[],4,0)),"",VLOOKUP(T_ApifImport[[#This Row],[AOP]:[AOP]],INDIRECT("Lookup_"&amp;T_ApifImport[[#This Row],[Bilans]:[Bilans]]),VLOOKUP(T_ApifImport[[#This Row],[Bilans]:[Bilans]]&amp;T_ApifImport[[#Headers],[Kolona4]],T_ApifKolone[],4,0),0))</f>
        <v>436863</v>
      </c>
      <c r="I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 s="22" t="n">
        <v>11</v>
      </c>
      <c r="P12" s="25" t="s">
        <v>601</v>
      </c>
    </row>
    <row r="13" spans="2:16">
      <c r="B13" s="52">
        <f>VLOOKUP(T_ApifImport[[#This Row],[Bilans]],T_Bilansi[],4,0)</f>
        <v>25</v>
      </c>
      <c r="C13" s="173">
        <f>VLOOKUP(T_ApifImport[[#This Row],[ld]],T_Aop[],4,0)</f>
        <v>12</v>
      </c>
      <c r="D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3" s="25">
        <f aca="1">IF(ISNA(VLOOKUP(T_ApifImport[[#This Row],[Bilans]:[Bilans]]&amp;T_ApifImport[[#Headers],[Kolona2]],T_ApifKolone[],4,0)),"",VLOOKUP(T_ApifImport[[#This Row],[AOP]:[AOP]],INDIRECT("Lookup_"&amp;T_ApifImport[[#This Row],[Bilans]:[Bilans]]),VLOOKUP(T_ApifImport[[#This Row],[Bilans]:[Bilans]]&amp;T_ApifImport[[#Headers],[Kolona2]],T_ApifKolone[],4,0),0))</f>
        <v>0</v>
      </c>
      <c r="G13" s="573">
        <f aca="1">IF(ISNA(VLOOKUP(T_ApifImport[[#This Row],[Bilans]:[Bilans]]&amp;T_ApifImport[[#Headers],[Kolona3]],T_ApifKolone[],4,0)),"",VLOOKUP(T_ApifImport[[#This Row],[AOP]:[AOP]],INDIRECT("Lookup_"&amp;T_ApifImport[[#This Row],[Bilans]:[Bilans]]),VLOOKUP(T_ApifImport[[#This Row],[Bilans]:[Bilans]]&amp;T_ApifImport[[#Headers],[Kolona3]],T_ApifKolone[],4,0),0))</f>
        <v>0</v>
      </c>
      <c r="H13" s="25">
        <f aca="1">IF(ISNA(VLOOKUP(T_ApifImport[[#This Row],[Bilans]:[Bilans]]&amp;T_ApifImport[[#Headers],[Kolona4]],T_ApifKolone[],4,0)),"",VLOOKUP(T_ApifImport[[#This Row],[AOP]:[AOP]],INDIRECT("Lookup_"&amp;T_ApifImport[[#This Row],[Bilans]:[Bilans]]),VLOOKUP(T_ApifImport[[#This Row],[Bilans]:[Bilans]]&amp;T_ApifImport[[#Headers],[Kolona4]],T_ApifKolone[],4,0),0))</f>
        <v>0</v>
      </c>
      <c r="I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 s="22" t="n">
        <v>12</v>
      </c>
      <c r="P13" s="25" t="s">
        <v>601</v>
      </c>
    </row>
    <row r="14" spans="2:16">
      <c r="B14" s="52">
        <f>VLOOKUP(T_ApifImport[[#This Row],[Bilans]],T_Bilansi[],4,0)</f>
        <v>25</v>
      </c>
      <c r="C14" s="173">
        <f>VLOOKUP(T_ApifImport[[#This Row],[ld]],T_Aop[],4,0)</f>
        <v>13</v>
      </c>
      <c r="D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4" s="25">
        <f aca="1">IF(ISNA(VLOOKUP(T_ApifImport[[#This Row],[Bilans]:[Bilans]]&amp;T_ApifImport[[#Headers],[Kolona2]],T_ApifKolone[],4,0)),"",VLOOKUP(T_ApifImport[[#This Row],[AOP]:[AOP]],INDIRECT("Lookup_"&amp;T_ApifImport[[#This Row],[Bilans]:[Bilans]]),VLOOKUP(T_ApifImport[[#This Row],[Bilans]:[Bilans]]&amp;T_ApifImport[[#Headers],[Kolona2]],T_ApifKolone[],4,0),0))</f>
        <v>0</v>
      </c>
      <c r="G14" s="573">
        <f aca="1">IF(ISNA(VLOOKUP(T_ApifImport[[#This Row],[Bilans]:[Bilans]]&amp;T_ApifImport[[#Headers],[Kolona3]],T_ApifKolone[],4,0)),"",VLOOKUP(T_ApifImport[[#This Row],[AOP]:[AOP]],INDIRECT("Lookup_"&amp;T_ApifImport[[#This Row],[Bilans]:[Bilans]]),VLOOKUP(T_ApifImport[[#This Row],[Bilans]:[Bilans]]&amp;T_ApifImport[[#Headers],[Kolona3]],T_ApifKolone[],4,0),0))</f>
        <v>0</v>
      </c>
      <c r="H14" s="25">
        <f aca="1">IF(ISNA(VLOOKUP(T_ApifImport[[#This Row],[Bilans]:[Bilans]]&amp;T_ApifImport[[#Headers],[Kolona4]],T_ApifKolone[],4,0)),"",VLOOKUP(T_ApifImport[[#This Row],[AOP]:[AOP]],INDIRECT("Lookup_"&amp;T_ApifImport[[#This Row],[Bilans]:[Bilans]]),VLOOKUP(T_ApifImport[[#This Row],[Bilans]:[Bilans]]&amp;T_ApifImport[[#Headers],[Kolona4]],T_ApifKolone[],4,0),0))</f>
        <v>0</v>
      </c>
      <c r="I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 s="22" t="n">
        <v>13</v>
      </c>
      <c r="P14" s="25" t="s">
        <v>601</v>
      </c>
    </row>
    <row r="15" spans="2:23">
      <c r="B15" s="52">
        <f>VLOOKUP(T_ApifImport[[#This Row],[Bilans]],T_Bilansi[],4,0)</f>
        <v>25</v>
      </c>
      <c r="C15" s="173">
        <f>VLOOKUP(T_ApifImport[[#This Row],[ld]],T_Aop[],4,0)</f>
        <v>14</v>
      </c>
      <c r="D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5" s="25">
        <f aca="1">IF(ISNA(VLOOKUP(T_ApifImport[[#This Row],[Bilans]:[Bilans]]&amp;T_ApifImport[[#Headers],[Kolona2]],T_ApifKolone[],4,0)),"",VLOOKUP(T_ApifImport[[#This Row],[AOP]:[AOP]],INDIRECT("Lookup_"&amp;T_ApifImport[[#This Row],[Bilans]:[Bilans]]),VLOOKUP(T_ApifImport[[#This Row],[Bilans]:[Bilans]]&amp;T_ApifImport[[#Headers],[Kolona2]],T_ApifKolone[],4,0),0))</f>
        <v>0</v>
      </c>
      <c r="G15" s="573">
        <f aca="1">IF(ISNA(VLOOKUP(T_ApifImport[[#This Row],[Bilans]:[Bilans]]&amp;T_ApifImport[[#Headers],[Kolona3]],T_ApifKolone[],4,0)),"",VLOOKUP(T_ApifImport[[#This Row],[AOP]:[AOP]],INDIRECT("Lookup_"&amp;T_ApifImport[[#This Row],[Bilans]:[Bilans]]),VLOOKUP(T_ApifImport[[#This Row],[Bilans]:[Bilans]]&amp;T_ApifImport[[#Headers],[Kolona3]],T_ApifKolone[],4,0),0))</f>
        <v>0</v>
      </c>
      <c r="H15" s="573">
        <f aca="1">IF(ISNA(VLOOKUP(T_ApifImport[[#This Row],[Bilans]:[Bilans]]&amp;T_ApifImport[[#Headers],[Kolona4]],T_ApifKolone[],4,0)),"",VLOOKUP(T_ApifImport[[#This Row],[AOP]:[AOP]],INDIRECT("Lookup_"&amp;T_ApifImport[[#This Row],[Bilans]:[Bilans]]),VLOOKUP(T_ApifImport[[#This Row],[Bilans]:[Bilans]]&amp;T_ApifImport[[#Headers],[Kolona4]],T_ApifKolone[],4,0),0))</f>
        <v>7180</v>
      </c>
      <c r="I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 s="22" t="n">
        <v>14</v>
      </c>
      <c r="P15" s="25" t="s">
        <v>601</v>
      </c>
      <c r="Q15" s="375"/>
      <c r="R15" s="375"/>
      <c r="S15" s="375"/>
      <c r="T15" s="375"/>
      <c r="U15" s="375"/>
      <c r="V15" s="375"/>
      <c r="W15" s="375"/>
    </row>
    <row r="16" spans="2:23">
      <c r="B16" s="52">
        <f>VLOOKUP(T_ApifImport[[#This Row],[Bilans]],T_Bilansi[],4,0)</f>
        <v>25</v>
      </c>
      <c r="C16" s="173">
        <f>VLOOKUP(T_ApifImport[[#This Row],[ld]],T_Aop[],4,0)</f>
        <v>15</v>
      </c>
      <c r="D1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6" s="25">
        <f aca="1">IF(ISNA(VLOOKUP(T_ApifImport[[#This Row],[Bilans]:[Bilans]]&amp;T_ApifImport[[#Headers],[Kolona2]],T_ApifKolone[],4,0)),"",VLOOKUP(T_ApifImport[[#This Row],[AOP]:[AOP]],INDIRECT("Lookup_"&amp;T_ApifImport[[#This Row],[Bilans]:[Bilans]]),VLOOKUP(T_ApifImport[[#This Row],[Bilans]:[Bilans]]&amp;T_ApifImport[[#Headers],[Kolona2]],T_ApifKolone[],4,0),0))</f>
        <v>0</v>
      </c>
      <c r="G16" s="573">
        <f aca="1">IF(ISNA(VLOOKUP(T_ApifImport[[#This Row],[Bilans]:[Bilans]]&amp;T_ApifImport[[#Headers],[Kolona3]],T_ApifKolone[],4,0)),"",VLOOKUP(T_ApifImport[[#This Row],[AOP]:[AOP]],INDIRECT("Lookup_"&amp;T_ApifImport[[#This Row],[Bilans]:[Bilans]]),VLOOKUP(T_ApifImport[[#This Row],[Bilans]:[Bilans]]&amp;T_ApifImport[[#Headers],[Kolona3]],T_ApifKolone[],4,0),0))</f>
        <v>0</v>
      </c>
      <c r="H16" s="25">
        <f aca="1">IF(ISNA(VLOOKUP(T_ApifImport[[#This Row],[Bilans]:[Bilans]]&amp;T_ApifImport[[#Headers],[Kolona4]],T_ApifKolone[],4,0)),"",VLOOKUP(T_ApifImport[[#This Row],[AOP]:[AOP]],INDIRECT("Lookup_"&amp;T_ApifImport[[#This Row],[Bilans]:[Bilans]]),VLOOKUP(T_ApifImport[[#This Row],[Bilans]:[Bilans]]&amp;T_ApifImport[[#Headers],[Kolona4]],T_ApifKolone[],4,0),0))</f>
        <v>0</v>
      </c>
      <c r="I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 s="22" t="n">
        <v>15</v>
      </c>
      <c r="P16" s="25" t="s">
        <v>601</v>
      </c>
      <c r="Q16" s="22" t="s">
        <v>3080</v>
      </c>
      <c r="R16" s="375"/>
      <c r="S16" s="375"/>
      <c r="T16" s="375"/>
      <c r="U16" s="375"/>
      <c r="V16" s="375"/>
      <c r="W16" s="375"/>
    </row>
    <row r="17" spans="2:17">
      <c r="B17" s="52">
        <f>VLOOKUP(T_ApifImport[[#This Row],[Bilans]],T_Bilansi[],4,0)</f>
        <v>25</v>
      </c>
      <c r="C17" s="173">
        <f>VLOOKUP(T_ApifImport[[#This Row],[ld]],T_Aop[],4,0)</f>
        <v>16</v>
      </c>
      <c r="D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7" s="25">
        <f aca="1">IF(ISNA(VLOOKUP(T_ApifImport[[#This Row],[Bilans]:[Bilans]]&amp;T_ApifImport[[#Headers],[Kolona2]],T_ApifKolone[],4,0)),"",VLOOKUP(T_ApifImport[[#This Row],[AOP]:[AOP]],INDIRECT("Lookup_"&amp;T_ApifImport[[#This Row],[Bilans]:[Bilans]]),VLOOKUP(T_ApifImport[[#This Row],[Bilans]:[Bilans]]&amp;T_ApifImport[[#Headers],[Kolona2]],T_ApifKolone[],4,0),0))</f>
        <v>0</v>
      </c>
      <c r="G17" s="573">
        <f aca="1">IF(ISNA(VLOOKUP(T_ApifImport[[#This Row],[Bilans]:[Bilans]]&amp;T_ApifImport[[#Headers],[Kolona3]],T_ApifKolone[],4,0)),"",VLOOKUP(T_ApifImport[[#This Row],[AOP]:[AOP]],INDIRECT("Lookup_"&amp;T_ApifImport[[#This Row],[Bilans]:[Bilans]]),VLOOKUP(T_ApifImport[[#This Row],[Bilans]:[Bilans]]&amp;T_ApifImport[[#Headers],[Kolona3]],T_ApifKolone[],4,0),0))</f>
        <v>0</v>
      </c>
      <c r="H17" s="25">
        <f aca="1">IF(ISNA(VLOOKUP(T_ApifImport[[#This Row],[Bilans]:[Bilans]]&amp;T_ApifImport[[#Headers],[Kolona4]],T_ApifKolone[],4,0)),"",VLOOKUP(T_ApifImport[[#This Row],[AOP]:[AOP]],INDIRECT("Lookup_"&amp;T_ApifImport[[#This Row],[Bilans]:[Bilans]]),VLOOKUP(T_ApifImport[[#This Row],[Bilans]:[Bilans]]&amp;T_ApifImport[[#Headers],[Kolona4]],T_ApifKolone[],4,0),0))</f>
        <v>0</v>
      </c>
      <c r="I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 s="22" t="n">
        <v>16</v>
      </c>
      <c r="P17" s="25" t="s">
        <v>601</v>
      </c>
      <c r="Q17" s="22" t="s">
        <v>3081</v>
      </c>
    </row>
    <row r="18" spans="2:16">
      <c r="B18" s="52">
        <f>VLOOKUP(T_ApifImport[[#This Row],[Bilans]],T_Bilansi[],4,0)</f>
        <v>25</v>
      </c>
      <c r="C18" s="173">
        <f>VLOOKUP(T_ApifImport[[#This Row],[ld]],T_Aop[],4,0)</f>
        <v>17</v>
      </c>
      <c r="D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8" s="573">
        <f aca="1">IF(ISNA(VLOOKUP(T_ApifImport[[#This Row],[Bilans]:[Bilans]]&amp;T_ApifImport[[#Headers],[Kolona2]],T_ApifKolone[],4,0)),"",VLOOKUP(T_ApifImport[[#This Row],[AOP]:[AOP]],INDIRECT("Lookup_"&amp;T_ApifImport[[#This Row],[Bilans]:[Bilans]]),VLOOKUP(T_ApifImport[[#This Row],[Bilans]:[Bilans]]&amp;T_ApifImport[[#Headers],[Kolona2]],T_ApifKolone[],4,0),0))</f>
        <v>0</v>
      </c>
      <c r="G18" s="573">
        <f aca="1">IF(ISNA(VLOOKUP(T_ApifImport[[#This Row],[Bilans]:[Bilans]]&amp;T_ApifImport[[#Headers],[Kolona3]],T_ApifKolone[],4,0)),"",VLOOKUP(T_ApifImport[[#This Row],[AOP]:[AOP]],INDIRECT("Lookup_"&amp;T_ApifImport[[#This Row],[Bilans]:[Bilans]]),VLOOKUP(T_ApifImport[[#This Row],[Bilans]:[Bilans]]&amp;T_ApifImport[[#Headers],[Kolona3]],T_ApifKolone[],4,0),0))</f>
        <v>0</v>
      </c>
      <c r="H18" s="573">
        <f aca="1">IF(ISNA(VLOOKUP(T_ApifImport[[#This Row],[Bilans]:[Bilans]]&amp;T_ApifImport[[#Headers],[Kolona4]],T_ApifKolone[],4,0)),"",VLOOKUP(T_ApifImport[[#This Row],[AOP]:[AOP]],INDIRECT("Lookup_"&amp;T_ApifImport[[#This Row],[Bilans]:[Bilans]]),VLOOKUP(T_ApifImport[[#This Row],[Bilans]:[Bilans]]&amp;T_ApifImport[[#Headers],[Kolona4]],T_ApifKolone[],4,0),0))</f>
        <v>0</v>
      </c>
      <c r="I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 s="22" t="n">
        <v>17</v>
      </c>
      <c r="P18" s="25" t="s">
        <v>601</v>
      </c>
    </row>
    <row r="19" spans="2:16">
      <c r="B19" s="52">
        <f>VLOOKUP(T_ApifImport[[#This Row],[Bilans]],T_Bilansi[],4,0)</f>
        <v>25</v>
      </c>
      <c r="C19" s="173">
        <f>VLOOKUP(T_ApifImport[[#This Row],[ld]],T_Aop[],4,0)</f>
        <v>18</v>
      </c>
      <c r="D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9" s="25">
        <f aca="1">IF(ISNA(VLOOKUP(T_ApifImport[[#This Row],[Bilans]:[Bilans]]&amp;T_ApifImport[[#Headers],[Kolona2]],T_ApifKolone[],4,0)),"",VLOOKUP(T_ApifImport[[#This Row],[AOP]:[AOP]],INDIRECT("Lookup_"&amp;T_ApifImport[[#This Row],[Bilans]:[Bilans]]),VLOOKUP(T_ApifImport[[#This Row],[Bilans]:[Bilans]]&amp;T_ApifImport[[#Headers],[Kolona2]],T_ApifKolone[],4,0),0))</f>
        <v>0</v>
      </c>
      <c r="G19" s="573">
        <f aca="1">IF(ISNA(VLOOKUP(T_ApifImport[[#This Row],[Bilans]:[Bilans]]&amp;T_ApifImport[[#Headers],[Kolona3]],T_ApifKolone[],4,0)),"",VLOOKUP(T_ApifImport[[#This Row],[AOP]:[AOP]],INDIRECT("Lookup_"&amp;T_ApifImport[[#This Row],[Bilans]:[Bilans]]),VLOOKUP(T_ApifImport[[#This Row],[Bilans]:[Bilans]]&amp;T_ApifImport[[#Headers],[Kolona3]],T_ApifKolone[],4,0),0))</f>
        <v>0</v>
      </c>
      <c r="H19" s="25">
        <f aca="1">IF(ISNA(VLOOKUP(T_ApifImport[[#This Row],[Bilans]:[Bilans]]&amp;T_ApifImport[[#Headers],[Kolona4]],T_ApifKolone[],4,0)),"",VLOOKUP(T_ApifImport[[#This Row],[AOP]:[AOP]],INDIRECT("Lookup_"&amp;T_ApifImport[[#This Row],[Bilans]:[Bilans]]),VLOOKUP(T_ApifImport[[#This Row],[Bilans]:[Bilans]]&amp;T_ApifImport[[#Headers],[Kolona4]],T_ApifKolone[],4,0),0))</f>
        <v>0</v>
      </c>
      <c r="I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 s="22" t="n">
        <v>18</v>
      </c>
      <c r="P19" s="25" t="s">
        <v>601</v>
      </c>
    </row>
    <row r="20" spans="2:16">
      <c r="B20" s="52">
        <f>VLOOKUP(T_ApifImport[[#This Row],[Bilans]],T_Bilansi[],4,0)</f>
        <v>25</v>
      </c>
      <c r="C20" s="173">
        <f>VLOOKUP(T_ApifImport[[#This Row],[ld]],T_Aop[],4,0)</f>
        <v>19</v>
      </c>
      <c r="D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 s="25">
        <f aca="1">IF(ISNA(VLOOKUP(T_ApifImport[[#This Row],[Bilans]:[Bilans]]&amp;T_ApifImport[[#Headers],[Kolona2]],T_ApifKolone[],4,0)),"",VLOOKUP(T_ApifImport[[#This Row],[AOP]:[AOP]],INDIRECT("Lookup_"&amp;T_ApifImport[[#This Row],[Bilans]:[Bilans]]),VLOOKUP(T_ApifImport[[#This Row],[Bilans]:[Bilans]]&amp;T_ApifImport[[#Headers],[Kolona2]],T_ApifKolone[],4,0),0))</f>
        <v>0</v>
      </c>
      <c r="G20" s="573">
        <f aca="1">IF(ISNA(VLOOKUP(T_ApifImport[[#This Row],[Bilans]:[Bilans]]&amp;T_ApifImport[[#Headers],[Kolona3]],T_ApifKolone[],4,0)),"",VLOOKUP(T_ApifImport[[#This Row],[AOP]:[AOP]],INDIRECT("Lookup_"&amp;T_ApifImport[[#This Row],[Bilans]:[Bilans]]),VLOOKUP(T_ApifImport[[#This Row],[Bilans]:[Bilans]]&amp;T_ApifImport[[#Headers],[Kolona3]],T_ApifKolone[],4,0),0))</f>
        <v>0</v>
      </c>
      <c r="H20" s="25">
        <f aca="1">IF(ISNA(VLOOKUP(T_ApifImport[[#This Row],[Bilans]:[Bilans]]&amp;T_ApifImport[[#Headers],[Kolona4]],T_ApifKolone[],4,0)),"",VLOOKUP(T_ApifImport[[#This Row],[AOP]:[AOP]],INDIRECT("Lookup_"&amp;T_ApifImport[[#This Row],[Bilans]:[Bilans]]),VLOOKUP(T_ApifImport[[#This Row],[Bilans]:[Bilans]]&amp;T_ApifImport[[#Headers],[Kolona4]],T_ApifKolone[],4,0),0))</f>
        <v>0</v>
      </c>
      <c r="I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 s="22" t="n">
        <v>19</v>
      </c>
      <c r="P20" s="25" t="s">
        <v>601</v>
      </c>
    </row>
    <row r="21" spans="2:16">
      <c r="B21" s="52" t="e">
        <v>#VALUE!</v>
      </c>
      <c r="C21" s="173">
        <f>VLOOKUP(T_ApifImport[[#This Row],[ld]],T_Aop[],4,0)</f>
        <v>20</v>
      </c>
      <c r="D21" s="173" t="e">
        <v>#VALUE!</v>
      </c>
      <c r="E2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 s="25">
        <f aca="1">IF(ISNA(VLOOKUP(T_ApifImport[[#This Row],[Bilans]:[Bilans]]&amp;T_ApifImport[[#Headers],[Kolona2]],T_ApifKolone[],4,0)),"",VLOOKUP(T_ApifImport[[#This Row],[AOP]:[AOP]],INDIRECT("Lookup_"&amp;T_ApifImport[[#This Row],[Bilans]:[Bilans]]),VLOOKUP(T_ApifImport[[#This Row],[Bilans]:[Bilans]]&amp;T_ApifImport[[#Headers],[Kolona2]],T_ApifKolone[],4,0),0))</f>
        <v>0</v>
      </c>
      <c r="G21" s="573">
        <f aca="1">IF(ISNA(VLOOKUP(T_ApifImport[[#This Row],[Bilans]:[Bilans]]&amp;T_ApifImport[[#Headers],[Kolona3]],T_ApifKolone[],4,0)),"",VLOOKUP(T_ApifImport[[#This Row],[AOP]:[AOP]],INDIRECT("Lookup_"&amp;T_ApifImport[[#This Row],[Bilans]:[Bilans]]),VLOOKUP(T_ApifImport[[#This Row],[Bilans]:[Bilans]]&amp;T_ApifImport[[#Headers],[Kolona3]],T_ApifKolone[],4,0),0))</f>
        <v>0</v>
      </c>
      <c r="H21" s="25">
        <f aca="1">IF(ISNA(VLOOKUP(T_ApifImport[[#This Row],[Bilans]:[Bilans]]&amp;T_ApifImport[[#Headers],[Kolona4]],T_ApifKolone[],4,0)),"",VLOOKUP(T_ApifImport[[#This Row],[AOP]:[AOP]],INDIRECT("Lookup_"&amp;T_ApifImport[[#This Row],[Bilans]:[Bilans]]),VLOOKUP(T_ApifImport[[#This Row],[Bilans]:[Bilans]]&amp;T_ApifImport[[#Headers],[Kolona4]],T_ApifKolone[],4,0),0))</f>
        <v>0</v>
      </c>
      <c r="I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 s="22" t="n">
        <v>20</v>
      </c>
      <c r="P21" s="25" t="s">
        <v>601</v>
      </c>
    </row>
    <row r="22" spans="2:16">
      <c r="B22" s="52" t="e">
        <v>#VALUE!</v>
      </c>
      <c r="C22" s="173">
        <f>VLOOKUP(T_ApifImport[[#This Row],[ld]],T_Aop[],4,0)</f>
        <v>21</v>
      </c>
      <c r="D22" s="173" t="e">
        <v>#VALUE!</v>
      </c>
      <c r="E2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 s="25">
        <f aca="1">IF(ISNA(VLOOKUP(T_ApifImport[[#This Row],[Bilans]:[Bilans]]&amp;T_ApifImport[[#Headers],[Kolona2]],T_ApifKolone[],4,0)),"",VLOOKUP(T_ApifImport[[#This Row],[AOP]:[AOP]],INDIRECT("Lookup_"&amp;T_ApifImport[[#This Row],[Bilans]:[Bilans]]),VLOOKUP(T_ApifImport[[#This Row],[Bilans]:[Bilans]]&amp;T_ApifImport[[#Headers],[Kolona2]],T_ApifKolone[],4,0),0))</f>
        <v>0</v>
      </c>
      <c r="G22" s="573">
        <f aca="1">IF(ISNA(VLOOKUP(T_ApifImport[[#This Row],[Bilans]:[Bilans]]&amp;T_ApifImport[[#Headers],[Kolona3]],T_ApifKolone[],4,0)),"",VLOOKUP(T_ApifImport[[#This Row],[AOP]:[AOP]],INDIRECT("Lookup_"&amp;T_ApifImport[[#This Row],[Bilans]:[Bilans]]),VLOOKUP(T_ApifImport[[#This Row],[Bilans]:[Bilans]]&amp;T_ApifImport[[#Headers],[Kolona3]],T_ApifKolone[],4,0),0))</f>
        <v>0</v>
      </c>
      <c r="H22" s="25">
        <f aca="1">IF(ISNA(VLOOKUP(T_ApifImport[[#This Row],[Bilans]:[Bilans]]&amp;T_ApifImport[[#Headers],[Kolona4]],T_ApifKolone[],4,0)),"",VLOOKUP(T_ApifImport[[#This Row],[AOP]:[AOP]],INDIRECT("Lookup_"&amp;T_ApifImport[[#This Row],[Bilans]:[Bilans]]),VLOOKUP(T_ApifImport[[#This Row],[Bilans]:[Bilans]]&amp;T_ApifImport[[#Headers],[Kolona4]],T_ApifKolone[],4,0),0))</f>
        <v>0</v>
      </c>
      <c r="I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 s="22" t="n">
        <v>21</v>
      </c>
      <c r="P22" s="25" t="s">
        <v>601</v>
      </c>
    </row>
    <row r="23" spans="2:16">
      <c r="B23" s="52" t="e">
        <v>#VALUE!</v>
      </c>
      <c r="C23" s="173">
        <f>VLOOKUP(T_ApifImport[[#This Row],[ld]],T_Aop[],4,0)</f>
        <v>22</v>
      </c>
      <c r="D23" s="173" t="e">
        <v>#VALUE!</v>
      </c>
      <c r="E2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 s="573">
        <f aca="1">IF(ISNA(VLOOKUP(T_ApifImport[[#This Row],[Bilans]:[Bilans]]&amp;T_ApifImport[[#Headers],[Kolona2]],T_ApifKolone[],4,0)),"",VLOOKUP(T_ApifImport[[#This Row],[AOP]:[AOP]],INDIRECT("Lookup_"&amp;T_ApifImport[[#This Row],[Bilans]:[Bilans]]),VLOOKUP(T_ApifImport[[#This Row],[Bilans]:[Bilans]]&amp;T_ApifImport[[#Headers],[Kolona2]],T_ApifKolone[],4,0),0))</f>
        <v>0</v>
      </c>
      <c r="G23" s="573">
        <f aca="1">IF(ISNA(VLOOKUP(T_ApifImport[[#This Row],[Bilans]:[Bilans]]&amp;T_ApifImport[[#Headers],[Kolona3]],T_ApifKolone[],4,0)),"",VLOOKUP(T_ApifImport[[#This Row],[AOP]:[AOP]],INDIRECT("Lookup_"&amp;T_ApifImport[[#This Row],[Bilans]:[Bilans]]),VLOOKUP(T_ApifImport[[#This Row],[Bilans]:[Bilans]]&amp;T_ApifImport[[#Headers],[Kolona3]],T_ApifKolone[],4,0),0))</f>
        <v>0</v>
      </c>
      <c r="H23" s="573">
        <f aca="1">IF(ISNA(VLOOKUP(T_ApifImport[[#This Row],[Bilans]:[Bilans]]&amp;T_ApifImport[[#Headers],[Kolona4]],T_ApifKolone[],4,0)),"",VLOOKUP(T_ApifImport[[#This Row],[AOP]:[AOP]],INDIRECT("Lookup_"&amp;T_ApifImport[[#This Row],[Bilans]:[Bilans]]),VLOOKUP(T_ApifImport[[#This Row],[Bilans]:[Bilans]]&amp;T_ApifImport[[#Headers],[Kolona4]],T_ApifKolone[],4,0),0))</f>
        <v>0</v>
      </c>
      <c r="I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 s="22" t="n">
        <v>22</v>
      </c>
      <c r="P23" s="25" t="s">
        <v>601</v>
      </c>
    </row>
    <row r="24" spans="2:16">
      <c r="B24" s="52" t="e">
        <v>#VALUE!</v>
      </c>
      <c r="C24" s="173">
        <f>VLOOKUP(T_ApifImport[[#This Row],[ld]],T_Aop[],4,0)</f>
        <v>23</v>
      </c>
      <c r="D24" s="173" t="e">
        <v>#VALUE!</v>
      </c>
      <c r="E2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 s="25">
        <f aca="1">IF(ISNA(VLOOKUP(T_ApifImport[[#This Row],[Bilans]:[Bilans]]&amp;T_ApifImport[[#Headers],[Kolona2]],T_ApifKolone[],4,0)),"",VLOOKUP(T_ApifImport[[#This Row],[AOP]:[AOP]],INDIRECT("Lookup_"&amp;T_ApifImport[[#This Row],[Bilans]:[Bilans]]),VLOOKUP(T_ApifImport[[#This Row],[Bilans]:[Bilans]]&amp;T_ApifImport[[#Headers],[Kolona2]],T_ApifKolone[],4,0),0))</f>
        <v>0</v>
      </c>
      <c r="G24" s="573">
        <f aca="1">IF(ISNA(VLOOKUP(T_ApifImport[[#This Row],[Bilans]:[Bilans]]&amp;T_ApifImport[[#Headers],[Kolona3]],T_ApifKolone[],4,0)),"",VLOOKUP(T_ApifImport[[#This Row],[AOP]:[AOP]],INDIRECT("Lookup_"&amp;T_ApifImport[[#This Row],[Bilans]:[Bilans]]),VLOOKUP(T_ApifImport[[#This Row],[Bilans]:[Bilans]]&amp;T_ApifImport[[#Headers],[Kolona3]],T_ApifKolone[],4,0),0))</f>
        <v>0</v>
      </c>
      <c r="H24" s="25">
        <f aca="1">IF(ISNA(VLOOKUP(T_ApifImport[[#This Row],[Bilans]:[Bilans]]&amp;T_ApifImport[[#Headers],[Kolona4]],T_ApifKolone[],4,0)),"",VLOOKUP(T_ApifImport[[#This Row],[AOP]:[AOP]],INDIRECT("Lookup_"&amp;T_ApifImport[[#This Row],[Bilans]:[Bilans]]),VLOOKUP(T_ApifImport[[#This Row],[Bilans]:[Bilans]]&amp;T_ApifImport[[#Headers],[Kolona4]],T_ApifKolone[],4,0),0))</f>
        <v>0</v>
      </c>
      <c r="I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 s="22" t="n">
        <v>23</v>
      </c>
      <c r="P24" s="25" t="s">
        <v>601</v>
      </c>
    </row>
    <row r="25" spans="2:16">
      <c r="B25" s="52" t="e">
        <v>#VALUE!</v>
      </c>
      <c r="C25" s="173">
        <f>VLOOKUP(T_ApifImport[[#This Row],[ld]],T_Aop[],4,0)</f>
        <v>24</v>
      </c>
      <c r="D25" s="173" t="e">
        <v>#VALUE!</v>
      </c>
      <c r="E2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 s="25">
        <f aca="1">IF(ISNA(VLOOKUP(T_ApifImport[[#This Row],[Bilans]:[Bilans]]&amp;T_ApifImport[[#Headers],[Kolona2]],T_ApifKolone[],4,0)),"",VLOOKUP(T_ApifImport[[#This Row],[AOP]:[AOP]],INDIRECT("Lookup_"&amp;T_ApifImport[[#This Row],[Bilans]:[Bilans]]),VLOOKUP(T_ApifImport[[#This Row],[Bilans]:[Bilans]]&amp;T_ApifImport[[#Headers],[Kolona2]],T_ApifKolone[],4,0),0))</f>
        <v>0</v>
      </c>
      <c r="G25" s="573">
        <f aca="1">IF(ISNA(VLOOKUP(T_ApifImport[[#This Row],[Bilans]:[Bilans]]&amp;T_ApifImport[[#Headers],[Kolona3]],T_ApifKolone[],4,0)),"",VLOOKUP(T_ApifImport[[#This Row],[AOP]:[AOP]],INDIRECT("Lookup_"&amp;T_ApifImport[[#This Row],[Bilans]:[Bilans]]),VLOOKUP(T_ApifImport[[#This Row],[Bilans]:[Bilans]]&amp;T_ApifImport[[#Headers],[Kolona3]],T_ApifKolone[],4,0),0))</f>
        <v>0</v>
      </c>
      <c r="H25" s="25">
        <f aca="1">IF(ISNA(VLOOKUP(T_ApifImport[[#This Row],[Bilans]:[Bilans]]&amp;T_ApifImport[[#Headers],[Kolona4]],T_ApifKolone[],4,0)),"",VLOOKUP(T_ApifImport[[#This Row],[AOP]:[AOP]],INDIRECT("Lookup_"&amp;T_ApifImport[[#This Row],[Bilans]:[Bilans]]),VLOOKUP(T_ApifImport[[#This Row],[Bilans]:[Bilans]]&amp;T_ApifImport[[#Headers],[Kolona4]],T_ApifKolone[],4,0),0))</f>
        <v>0</v>
      </c>
      <c r="I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 s="22" t="n">
        <v>24</v>
      </c>
      <c r="P25" s="25" t="s">
        <v>601</v>
      </c>
    </row>
    <row r="26" spans="2:16">
      <c r="B26" s="52" t="e">
        <v>#VALUE!</v>
      </c>
      <c r="C26" s="173">
        <f>VLOOKUP(T_ApifImport[[#This Row],[ld]],T_Aop[],4,0)</f>
        <v>25</v>
      </c>
      <c r="D26" s="173" t="e">
        <v>#VALUE!</v>
      </c>
      <c r="E2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 s="573">
        <f aca="1">IF(ISNA(VLOOKUP(T_ApifImport[[#This Row],[Bilans]:[Bilans]]&amp;T_ApifImport[[#Headers],[Kolona2]],T_ApifKolone[],4,0)),"",VLOOKUP(T_ApifImport[[#This Row],[AOP]:[AOP]],INDIRECT("Lookup_"&amp;T_ApifImport[[#This Row],[Bilans]:[Bilans]]),VLOOKUP(T_ApifImport[[#This Row],[Bilans]:[Bilans]]&amp;T_ApifImport[[#Headers],[Kolona2]],T_ApifKolone[],4,0),0))</f>
        <v>0</v>
      </c>
      <c r="G26" s="573">
        <f aca="1">IF(ISNA(VLOOKUP(T_ApifImport[[#This Row],[Bilans]:[Bilans]]&amp;T_ApifImport[[#Headers],[Kolona3]],T_ApifKolone[],4,0)),"",VLOOKUP(T_ApifImport[[#This Row],[AOP]:[AOP]],INDIRECT("Lookup_"&amp;T_ApifImport[[#This Row],[Bilans]:[Bilans]]),VLOOKUP(T_ApifImport[[#This Row],[Bilans]:[Bilans]]&amp;T_ApifImport[[#Headers],[Kolona3]],T_ApifKolone[],4,0),0))</f>
        <v>0</v>
      </c>
      <c r="H26" s="573">
        <f aca="1">IF(ISNA(VLOOKUP(T_ApifImport[[#This Row],[Bilans]:[Bilans]]&amp;T_ApifImport[[#Headers],[Kolona4]],T_ApifKolone[],4,0)),"",VLOOKUP(T_ApifImport[[#This Row],[AOP]:[AOP]],INDIRECT("Lookup_"&amp;T_ApifImport[[#This Row],[Bilans]:[Bilans]]),VLOOKUP(T_ApifImport[[#This Row],[Bilans]:[Bilans]]&amp;T_ApifImport[[#Headers],[Kolona4]],T_ApifKolone[],4,0),0))</f>
        <v>0</v>
      </c>
      <c r="I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 s="22" t="n">
        <v>25</v>
      </c>
      <c r="P26" s="25" t="s">
        <v>601</v>
      </c>
    </row>
    <row r="27" spans="2:16">
      <c r="B27" s="52" t="e">
        <v>#VALUE!</v>
      </c>
      <c r="C27" s="173">
        <f>VLOOKUP(T_ApifImport[[#This Row],[ld]],T_Aop[],4,0)</f>
        <v>26</v>
      </c>
      <c r="D27" s="173" t="e">
        <v>#VALUE!</v>
      </c>
      <c r="E2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 s="25">
        <f aca="1">IF(ISNA(VLOOKUP(T_ApifImport[[#This Row],[Bilans]:[Bilans]]&amp;T_ApifImport[[#Headers],[Kolona2]],T_ApifKolone[],4,0)),"",VLOOKUP(T_ApifImport[[#This Row],[AOP]:[AOP]],INDIRECT("Lookup_"&amp;T_ApifImport[[#This Row],[Bilans]:[Bilans]]),VLOOKUP(T_ApifImport[[#This Row],[Bilans]:[Bilans]]&amp;T_ApifImport[[#Headers],[Kolona2]],T_ApifKolone[],4,0),0))</f>
        <v>0</v>
      </c>
      <c r="G27" s="573">
        <f aca="1">IF(ISNA(VLOOKUP(T_ApifImport[[#This Row],[Bilans]:[Bilans]]&amp;T_ApifImport[[#Headers],[Kolona3]],T_ApifKolone[],4,0)),"",VLOOKUP(T_ApifImport[[#This Row],[AOP]:[AOP]],INDIRECT("Lookup_"&amp;T_ApifImport[[#This Row],[Bilans]:[Bilans]]),VLOOKUP(T_ApifImport[[#This Row],[Bilans]:[Bilans]]&amp;T_ApifImport[[#Headers],[Kolona3]],T_ApifKolone[],4,0),0))</f>
        <v>0</v>
      </c>
      <c r="H27" s="25">
        <f aca="1">IF(ISNA(VLOOKUP(T_ApifImport[[#This Row],[Bilans]:[Bilans]]&amp;T_ApifImport[[#Headers],[Kolona4]],T_ApifKolone[],4,0)),"",VLOOKUP(T_ApifImport[[#This Row],[AOP]:[AOP]],INDIRECT("Lookup_"&amp;T_ApifImport[[#This Row],[Bilans]:[Bilans]]),VLOOKUP(T_ApifImport[[#This Row],[Bilans]:[Bilans]]&amp;T_ApifImport[[#Headers],[Kolona4]],T_ApifKolone[],4,0),0))</f>
        <v>0</v>
      </c>
      <c r="I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 s="22" t="n">
        <v>26</v>
      </c>
      <c r="P27" s="25" t="s">
        <v>601</v>
      </c>
    </row>
    <row r="28" spans="2:16">
      <c r="B28" s="52" t="e">
        <v>#VALUE!</v>
      </c>
      <c r="C28" s="173">
        <f>VLOOKUP(T_ApifImport[[#This Row],[ld]],T_Aop[],4,0)</f>
        <v>27</v>
      </c>
      <c r="D28" s="173" t="e">
        <v>#VALUE!</v>
      </c>
      <c r="E2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 s="25">
        <f aca="1">IF(ISNA(VLOOKUP(T_ApifImport[[#This Row],[Bilans]:[Bilans]]&amp;T_ApifImport[[#Headers],[Kolona2]],T_ApifKolone[],4,0)),"",VLOOKUP(T_ApifImport[[#This Row],[AOP]:[AOP]],INDIRECT("Lookup_"&amp;T_ApifImport[[#This Row],[Bilans]:[Bilans]]),VLOOKUP(T_ApifImport[[#This Row],[Bilans]:[Bilans]]&amp;T_ApifImport[[#Headers],[Kolona2]],T_ApifKolone[],4,0),0))</f>
        <v>0</v>
      </c>
      <c r="G28" s="573">
        <f aca="1">IF(ISNA(VLOOKUP(T_ApifImport[[#This Row],[Bilans]:[Bilans]]&amp;T_ApifImport[[#Headers],[Kolona3]],T_ApifKolone[],4,0)),"",VLOOKUP(T_ApifImport[[#This Row],[AOP]:[AOP]],INDIRECT("Lookup_"&amp;T_ApifImport[[#This Row],[Bilans]:[Bilans]]),VLOOKUP(T_ApifImport[[#This Row],[Bilans]:[Bilans]]&amp;T_ApifImport[[#Headers],[Kolona3]],T_ApifKolone[],4,0),0))</f>
        <v>0</v>
      </c>
      <c r="H28" s="25">
        <f aca="1">IF(ISNA(VLOOKUP(T_ApifImport[[#This Row],[Bilans]:[Bilans]]&amp;T_ApifImport[[#Headers],[Kolona4]],T_ApifKolone[],4,0)),"",VLOOKUP(T_ApifImport[[#This Row],[AOP]:[AOP]],INDIRECT("Lookup_"&amp;T_ApifImport[[#This Row],[Bilans]:[Bilans]]),VLOOKUP(T_ApifImport[[#This Row],[Bilans]:[Bilans]]&amp;T_ApifImport[[#Headers],[Kolona4]],T_ApifKolone[],4,0),0))</f>
        <v>0</v>
      </c>
      <c r="I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 s="22" t="n">
        <v>27</v>
      </c>
      <c r="P28" s="25" t="s">
        <v>601</v>
      </c>
    </row>
    <row r="29" spans="2:16">
      <c r="B29" s="52" t="e">
        <v>#VALUE!</v>
      </c>
      <c r="C29" s="173">
        <f>VLOOKUP(T_ApifImport[[#This Row],[ld]],T_Aop[],4,0)</f>
        <v>28</v>
      </c>
      <c r="D29" s="173" t="e">
        <v>#VALUE!</v>
      </c>
      <c r="E2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 s="25">
        <f aca="1">IF(ISNA(VLOOKUP(T_ApifImport[[#This Row],[Bilans]:[Bilans]]&amp;T_ApifImport[[#Headers],[Kolona2]],T_ApifKolone[],4,0)),"",VLOOKUP(T_ApifImport[[#This Row],[AOP]:[AOP]],INDIRECT("Lookup_"&amp;T_ApifImport[[#This Row],[Bilans]:[Bilans]]),VLOOKUP(T_ApifImport[[#This Row],[Bilans]:[Bilans]]&amp;T_ApifImport[[#Headers],[Kolona2]],T_ApifKolone[],4,0),0))</f>
        <v>0</v>
      </c>
      <c r="G29" s="573">
        <f aca="1">IF(ISNA(VLOOKUP(T_ApifImport[[#This Row],[Bilans]:[Bilans]]&amp;T_ApifImport[[#Headers],[Kolona3]],T_ApifKolone[],4,0)),"",VLOOKUP(T_ApifImport[[#This Row],[AOP]:[AOP]],INDIRECT("Lookup_"&amp;T_ApifImport[[#This Row],[Bilans]:[Bilans]]),VLOOKUP(T_ApifImport[[#This Row],[Bilans]:[Bilans]]&amp;T_ApifImport[[#Headers],[Kolona3]],T_ApifKolone[],4,0),0))</f>
        <v>0</v>
      </c>
      <c r="H29" s="25">
        <f aca="1">IF(ISNA(VLOOKUP(T_ApifImport[[#This Row],[Bilans]:[Bilans]]&amp;T_ApifImport[[#Headers],[Kolona4]],T_ApifKolone[],4,0)),"",VLOOKUP(T_ApifImport[[#This Row],[AOP]:[AOP]],INDIRECT("Lookup_"&amp;T_ApifImport[[#This Row],[Bilans]:[Bilans]]),VLOOKUP(T_ApifImport[[#This Row],[Bilans]:[Bilans]]&amp;T_ApifImport[[#Headers],[Kolona4]],T_ApifKolone[],4,0),0))</f>
        <v>0</v>
      </c>
      <c r="I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 s="22" t="n">
        <v>28</v>
      </c>
      <c r="P29" s="25" t="s">
        <v>601</v>
      </c>
    </row>
    <row r="30" spans="2:16">
      <c r="B30" s="52" t="e">
        <v>#VALUE!</v>
      </c>
      <c r="C30" s="173">
        <f>VLOOKUP(T_ApifImport[[#This Row],[ld]],T_Aop[],4,0)</f>
        <v>29</v>
      </c>
      <c r="D30" s="173" t="e">
        <v>#VALUE!</v>
      </c>
      <c r="E3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0" s="25">
        <f aca="1">IF(ISNA(VLOOKUP(T_ApifImport[[#This Row],[Bilans]:[Bilans]]&amp;T_ApifImport[[#Headers],[Kolona2]],T_ApifKolone[],4,0)),"",VLOOKUP(T_ApifImport[[#This Row],[AOP]:[AOP]],INDIRECT("Lookup_"&amp;T_ApifImport[[#This Row],[Bilans]:[Bilans]]),VLOOKUP(T_ApifImport[[#This Row],[Bilans]:[Bilans]]&amp;T_ApifImport[[#Headers],[Kolona2]],T_ApifKolone[],4,0),0))</f>
        <v>0</v>
      </c>
      <c r="G30" s="573">
        <f aca="1">IF(ISNA(VLOOKUP(T_ApifImport[[#This Row],[Bilans]:[Bilans]]&amp;T_ApifImport[[#Headers],[Kolona3]],T_ApifKolone[],4,0)),"",VLOOKUP(T_ApifImport[[#This Row],[AOP]:[AOP]],INDIRECT("Lookup_"&amp;T_ApifImport[[#This Row],[Bilans]:[Bilans]]),VLOOKUP(T_ApifImport[[#This Row],[Bilans]:[Bilans]]&amp;T_ApifImport[[#Headers],[Kolona3]],T_ApifKolone[],4,0),0))</f>
        <v>0</v>
      </c>
      <c r="H30" s="25">
        <f aca="1">IF(ISNA(VLOOKUP(T_ApifImport[[#This Row],[Bilans]:[Bilans]]&amp;T_ApifImport[[#Headers],[Kolona4]],T_ApifKolone[],4,0)),"",VLOOKUP(T_ApifImport[[#This Row],[AOP]:[AOP]],INDIRECT("Lookup_"&amp;T_ApifImport[[#This Row],[Bilans]:[Bilans]]),VLOOKUP(T_ApifImport[[#This Row],[Bilans]:[Bilans]]&amp;T_ApifImport[[#Headers],[Kolona4]],T_ApifKolone[],4,0),0))</f>
        <v>0</v>
      </c>
      <c r="I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 s="22" t="n">
        <v>29</v>
      </c>
      <c r="P30" s="25" t="s">
        <v>601</v>
      </c>
    </row>
    <row r="31" spans="2:16">
      <c r="B31" s="52" t="e">
        <v>#VALUE!</v>
      </c>
      <c r="C31" s="173">
        <f>VLOOKUP(T_ApifImport[[#This Row],[ld]],T_Aop[],4,0)</f>
        <v>30</v>
      </c>
      <c r="D31" s="173" t="e">
        <v>#VALUE!</v>
      </c>
      <c r="E3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1" s="573">
        <f aca="1">IF(ISNA(VLOOKUP(T_ApifImport[[#This Row],[Bilans]:[Bilans]]&amp;T_ApifImport[[#Headers],[Kolona2]],T_ApifKolone[],4,0)),"",VLOOKUP(T_ApifImport[[#This Row],[AOP]:[AOP]],INDIRECT("Lookup_"&amp;T_ApifImport[[#This Row],[Bilans]:[Bilans]]),VLOOKUP(T_ApifImport[[#This Row],[Bilans]:[Bilans]]&amp;T_ApifImport[[#Headers],[Kolona2]],T_ApifKolone[],4,0),0))</f>
        <v>0</v>
      </c>
      <c r="G31" s="573">
        <f aca="1">IF(ISNA(VLOOKUP(T_ApifImport[[#This Row],[Bilans]:[Bilans]]&amp;T_ApifImport[[#Headers],[Kolona3]],T_ApifKolone[],4,0)),"",VLOOKUP(T_ApifImport[[#This Row],[AOP]:[AOP]],INDIRECT("Lookup_"&amp;T_ApifImport[[#This Row],[Bilans]:[Bilans]]),VLOOKUP(T_ApifImport[[#This Row],[Bilans]:[Bilans]]&amp;T_ApifImport[[#Headers],[Kolona3]],T_ApifKolone[],4,0),0))</f>
        <v>0</v>
      </c>
      <c r="H31" s="573">
        <f aca="1">IF(ISNA(VLOOKUP(T_ApifImport[[#This Row],[Bilans]:[Bilans]]&amp;T_ApifImport[[#Headers],[Kolona4]],T_ApifKolone[],4,0)),"",VLOOKUP(T_ApifImport[[#This Row],[AOP]:[AOP]],INDIRECT("Lookup_"&amp;T_ApifImport[[#This Row],[Bilans]:[Bilans]]),VLOOKUP(T_ApifImport[[#This Row],[Bilans]:[Bilans]]&amp;T_ApifImport[[#Headers],[Kolona4]],T_ApifKolone[],4,0),0))</f>
        <v>0</v>
      </c>
      <c r="I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 s="22" t="n">
        <v>30</v>
      </c>
      <c r="P31" s="25" t="s">
        <v>601</v>
      </c>
    </row>
    <row r="32" spans="2:16">
      <c r="B32" s="52" t="e">
        <v>#VALUE!</v>
      </c>
      <c r="C32" s="173">
        <f>VLOOKUP(T_ApifImport[[#This Row],[ld]],T_Aop[],4,0)</f>
        <v>31</v>
      </c>
      <c r="D32" s="173" t="e">
        <v>#VALUE!</v>
      </c>
      <c r="E3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2" s="25">
        <f aca="1">IF(ISNA(VLOOKUP(T_ApifImport[[#This Row],[Bilans]:[Bilans]]&amp;T_ApifImport[[#Headers],[Kolona2]],T_ApifKolone[],4,0)),"",VLOOKUP(T_ApifImport[[#This Row],[AOP]:[AOP]],INDIRECT("Lookup_"&amp;T_ApifImport[[#This Row],[Bilans]:[Bilans]]),VLOOKUP(T_ApifImport[[#This Row],[Bilans]:[Bilans]]&amp;T_ApifImport[[#Headers],[Kolona2]],T_ApifKolone[],4,0),0))</f>
        <v>0</v>
      </c>
      <c r="G32" s="573">
        <f aca="1">IF(ISNA(VLOOKUP(T_ApifImport[[#This Row],[Bilans]:[Bilans]]&amp;T_ApifImport[[#Headers],[Kolona3]],T_ApifKolone[],4,0)),"",VLOOKUP(T_ApifImport[[#This Row],[AOP]:[AOP]],INDIRECT("Lookup_"&amp;T_ApifImport[[#This Row],[Bilans]:[Bilans]]),VLOOKUP(T_ApifImport[[#This Row],[Bilans]:[Bilans]]&amp;T_ApifImport[[#Headers],[Kolona3]],T_ApifKolone[],4,0),0))</f>
        <v>0</v>
      </c>
      <c r="H32" s="25">
        <f aca="1">IF(ISNA(VLOOKUP(T_ApifImport[[#This Row],[Bilans]:[Bilans]]&amp;T_ApifImport[[#Headers],[Kolona4]],T_ApifKolone[],4,0)),"",VLOOKUP(T_ApifImport[[#This Row],[AOP]:[AOP]],INDIRECT("Lookup_"&amp;T_ApifImport[[#This Row],[Bilans]:[Bilans]]),VLOOKUP(T_ApifImport[[#This Row],[Bilans]:[Bilans]]&amp;T_ApifImport[[#Headers],[Kolona4]],T_ApifKolone[],4,0),0))</f>
        <v>0</v>
      </c>
      <c r="I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 s="22" t="n">
        <v>31</v>
      </c>
      <c r="P32" s="25" t="s">
        <v>601</v>
      </c>
    </row>
    <row r="33" spans="2:16">
      <c r="B33" s="52" t="e">
        <v>#VALUE!</v>
      </c>
      <c r="C33" s="173">
        <f>VLOOKUP(T_ApifImport[[#This Row],[ld]],T_Aop[],4,0)</f>
        <v>32</v>
      </c>
      <c r="D33" s="173" t="e">
        <v>#VALUE!</v>
      </c>
      <c r="E3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3" s="25">
        <f aca="1">IF(ISNA(VLOOKUP(T_ApifImport[[#This Row],[Bilans]:[Bilans]]&amp;T_ApifImport[[#Headers],[Kolona2]],T_ApifKolone[],4,0)),"",VLOOKUP(T_ApifImport[[#This Row],[AOP]:[AOP]],INDIRECT("Lookup_"&amp;T_ApifImport[[#This Row],[Bilans]:[Bilans]]),VLOOKUP(T_ApifImport[[#This Row],[Bilans]:[Bilans]]&amp;T_ApifImport[[#Headers],[Kolona2]],T_ApifKolone[],4,0),0))</f>
        <v>0</v>
      </c>
      <c r="G33" s="573">
        <f aca="1">IF(ISNA(VLOOKUP(T_ApifImport[[#This Row],[Bilans]:[Bilans]]&amp;T_ApifImport[[#Headers],[Kolona3]],T_ApifKolone[],4,0)),"",VLOOKUP(T_ApifImport[[#This Row],[AOP]:[AOP]],INDIRECT("Lookup_"&amp;T_ApifImport[[#This Row],[Bilans]:[Bilans]]),VLOOKUP(T_ApifImport[[#This Row],[Bilans]:[Bilans]]&amp;T_ApifImport[[#Headers],[Kolona3]],T_ApifKolone[],4,0),0))</f>
        <v>0</v>
      </c>
      <c r="H33" s="25">
        <f aca="1">IF(ISNA(VLOOKUP(T_ApifImport[[#This Row],[Bilans]:[Bilans]]&amp;T_ApifImport[[#Headers],[Kolona4]],T_ApifKolone[],4,0)),"",VLOOKUP(T_ApifImport[[#This Row],[AOP]:[AOP]],INDIRECT("Lookup_"&amp;T_ApifImport[[#This Row],[Bilans]:[Bilans]]),VLOOKUP(T_ApifImport[[#This Row],[Bilans]:[Bilans]]&amp;T_ApifImport[[#Headers],[Kolona4]],T_ApifKolone[],4,0),0))</f>
        <v>0</v>
      </c>
      <c r="I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 s="22" t="n">
        <v>32</v>
      </c>
      <c r="P33" s="25" t="s">
        <v>601</v>
      </c>
    </row>
    <row r="34" spans="2:16">
      <c r="B34" s="52" t="e">
        <v>#VALUE!</v>
      </c>
      <c r="C34" s="173">
        <f>VLOOKUP(T_ApifImport[[#This Row],[ld]],T_Aop[],4,0)</f>
        <v>33</v>
      </c>
      <c r="D34" s="173" t="e">
        <v>#VALUE!</v>
      </c>
      <c r="E3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4" s="25">
        <f aca="1">IF(ISNA(VLOOKUP(T_ApifImport[[#This Row],[Bilans]:[Bilans]]&amp;T_ApifImport[[#Headers],[Kolona2]],T_ApifKolone[],4,0)),"",VLOOKUP(T_ApifImport[[#This Row],[AOP]:[AOP]],INDIRECT("Lookup_"&amp;T_ApifImport[[#This Row],[Bilans]:[Bilans]]),VLOOKUP(T_ApifImport[[#This Row],[Bilans]:[Bilans]]&amp;T_ApifImport[[#Headers],[Kolona2]],T_ApifKolone[],4,0),0))</f>
        <v>0</v>
      </c>
      <c r="G34" s="573">
        <f aca="1">IF(ISNA(VLOOKUP(T_ApifImport[[#This Row],[Bilans]:[Bilans]]&amp;T_ApifImport[[#Headers],[Kolona3]],T_ApifKolone[],4,0)),"",VLOOKUP(T_ApifImport[[#This Row],[AOP]:[AOP]],INDIRECT("Lookup_"&amp;T_ApifImport[[#This Row],[Bilans]:[Bilans]]),VLOOKUP(T_ApifImport[[#This Row],[Bilans]:[Bilans]]&amp;T_ApifImport[[#Headers],[Kolona3]],T_ApifKolone[],4,0),0))</f>
        <v>0</v>
      </c>
      <c r="H34" s="25">
        <f aca="1">IF(ISNA(VLOOKUP(T_ApifImport[[#This Row],[Bilans]:[Bilans]]&amp;T_ApifImport[[#Headers],[Kolona4]],T_ApifKolone[],4,0)),"",VLOOKUP(T_ApifImport[[#This Row],[AOP]:[AOP]],INDIRECT("Lookup_"&amp;T_ApifImport[[#This Row],[Bilans]:[Bilans]]),VLOOKUP(T_ApifImport[[#This Row],[Bilans]:[Bilans]]&amp;T_ApifImport[[#Headers],[Kolona4]],T_ApifKolone[],4,0),0))</f>
        <v>0</v>
      </c>
      <c r="I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 s="22" t="n">
        <v>33</v>
      </c>
      <c r="P34" s="25" t="s">
        <v>601</v>
      </c>
    </row>
    <row r="35" spans="2:16">
      <c r="B35" s="52" t="e">
        <v>#VALUE!</v>
      </c>
      <c r="C35" s="173">
        <f>VLOOKUP(T_ApifImport[[#This Row],[ld]],T_Aop[],4,0)</f>
        <v>34</v>
      </c>
      <c r="D35" s="173" t="e">
        <v>#VALUE!</v>
      </c>
      <c r="E3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5" s="25">
        <f aca="1">IF(ISNA(VLOOKUP(T_ApifImport[[#This Row],[Bilans]:[Bilans]]&amp;T_ApifImport[[#Headers],[Kolona2]],T_ApifKolone[],4,0)),"",VLOOKUP(T_ApifImport[[#This Row],[AOP]:[AOP]],INDIRECT("Lookup_"&amp;T_ApifImport[[#This Row],[Bilans]:[Bilans]]),VLOOKUP(T_ApifImport[[#This Row],[Bilans]:[Bilans]]&amp;T_ApifImport[[#Headers],[Kolona2]],T_ApifKolone[],4,0),0))</f>
        <v>0</v>
      </c>
      <c r="G35" s="573">
        <f aca="1">IF(ISNA(VLOOKUP(T_ApifImport[[#This Row],[Bilans]:[Bilans]]&amp;T_ApifImport[[#Headers],[Kolona3]],T_ApifKolone[],4,0)),"",VLOOKUP(T_ApifImport[[#This Row],[AOP]:[AOP]],INDIRECT("Lookup_"&amp;T_ApifImport[[#This Row],[Bilans]:[Bilans]]),VLOOKUP(T_ApifImport[[#This Row],[Bilans]:[Bilans]]&amp;T_ApifImport[[#Headers],[Kolona3]],T_ApifKolone[],4,0),0))</f>
        <v>0</v>
      </c>
      <c r="H35" s="25">
        <f aca="1">IF(ISNA(VLOOKUP(T_ApifImport[[#This Row],[Bilans]:[Bilans]]&amp;T_ApifImport[[#Headers],[Kolona4]],T_ApifKolone[],4,0)),"",VLOOKUP(T_ApifImport[[#This Row],[AOP]:[AOP]],INDIRECT("Lookup_"&amp;T_ApifImport[[#This Row],[Bilans]:[Bilans]]),VLOOKUP(T_ApifImport[[#This Row],[Bilans]:[Bilans]]&amp;T_ApifImport[[#Headers],[Kolona4]],T_ApifKolone[],4,0),0))</f>
        <v>0</v>
      </c>
      <c r="I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 s="22" t="n">
        <v>34</v>
      </c>
      <c r="P35" s="25" t="s">
        <v>601</v>
      </c>
    </row>
    <row r="36" spans="2:16">
      <c r="B36" s="52" t="e">
        <v>#VALUE!</v>
      </c>
      <c r="C36" s="173">
        <f>VLOOKUP(T_ApifImport[[#This Row],[ld]],T_Aop[],4,0)</f>
        <v>35</v>
      </c>
      <c r="D36" s="173" t="e">
        <v>#VALUE!</v>
      </c>
      <c r="E3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3947</v>
      </c>
      <c r="F36" s="25">
        <f aca="1">IF(ISNA(VLOOKUP(T_ApifImport[[#This Row],[Bilans]:[Bilans]]&amp;T_ApifImport[[#Headers],[Kolona2]],T_ApifKolone[],4,0)),"",VLOOKUP(T_ApifImport[[#This Row],[AOP]:[AOP]],INDIRECT("Lookup_"&amp;T_ApifImport[[#This Row],[Bilans]:[Bilans]]),VLOOKUP(T_ApifImport[[#This Row],[Bilans]:[Bilans]]&amp;T_ApifImport[[#Headers],[Kolona2]],T_ApifKolone[],4,0),0))</f>
        <v>0</v>
      </c>
      <c r="G36" s="573">
        <f aca="1">IF(ISNA(VLOOKUP(T_ApifImport[[#This Row],[Bilans]:[Bilans]]&amp;T_ApifImport[[#Headers],[Kolona3]],T_ApifKolone[],4,0)),"",VLOOKUP(T_ApifImport[[#This Row],[AOP]:[AOP]],INDIRECT("Lookup_"&amp;T_ApifImport[[#This Row],[Bilans]:[Bilans]]),VLOOKUP(T_ApifImport[[#This Row],[Bilans]:[Bilans]]&amp;T_ApifImport[[#Headers],[Kolona3]],T_ApifKolone[],4,0),0))</f>
        <v>3947</v>
      </c>
      <c r="H36" s="573">
        <f aca="1">IF(ISNA(VLOOKUP(T_ApifImport[[#This Row],[Bilans]:[Bilans]]&amp;T_ApifImport[[#Headers],[Kolona4]],T_ApifKolone[],4,0)),"",VLOOKUP(T_ApifImport[[#This Row],[AOP]:[AOP]],INDIRECT("Lookup_"&amp;T_ApifImport[[#This Row],[Bilans]:[Bilans]]),VLOOKUP(T_ApifImport[[#This Row],[Bilans]:[Bilans]]&amp;T_ApifImport[[#Headers],[Kolona4]],T_ApifKolone[],4,0),0))</f>
        <v>3947</v>
      </c>
      <c r="I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 s="22" t="n">
        <v>35</v>
      </c>
      <c r="P36" s="25" t="s">
        <v>601</v>
      </c>
    </row>
    <row r="37" spans="2:16">
      <c r="B37" s="52" t="e">
        <v>#VALUE!</v>
      </c>
      <c r="C37" s="173">
        <f>VLOOKUP(T_ApifImport[[#This Row],[ld]],T_Aop[],4,0)</f>
        <v>36</v>
      </c>
      <c r="D37" s="173" t="e">
        <v>#VALUE!</v>
      </c>
      <c r="E3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4500318</v>
      </c>
      <c r="F37" s="573">
        <f aca="1">IF(ISNA(VLOOKUP(T_ApifImport[[#This Row],[Bilans]:[Bilans]]&amp;T_ApifImport[[#Headers],[Kolona2]],T_ApifKolone[],4,0)),"",VLOOKUP(T_ApifImport[[#This Row],[AOP]:[AOP]],INDIRECT("Lookup_"&amp;T_ApifImport[[#This Row],[Bilans]:[Bilans]]),VLOOKUP(T_ApifImport[[#This Row],[Bilans]:[Bilans]]&amp;T_ApifImport[[#Headers],[Kolona2]],T_ApifKolone[],4,0),0))</f>
        <v>44491</v>
      </c>
      <c r="G37" s="573">
        <f aca="1">IF(ISNA(VLOOKUP(T_ApifImport[[#This Row],[Bilans]:[Bilans]]&amp;T_ApifImport[[#Headers],[Kolona3]],T_ApifKolone[],4,0)),"",VLOOKUP(T_ApifImport[[#This Row],[AOP]:[AOP]],INDIRECT("Lookup_"&amp;T_ApifImport[[#This Row],[Bilans]:[Bilans]]),VLOOKUP(T_ApifImport[[#This Row],[Bilans]:[Bilans]]&amp;T_ApifImport[[#Headers],[Kolona3]],T_ApifKolone[],4,0),0))</f>
        <v>4455827</v>
      </c>
      <c r="H37" s="573">
        <f aca="1">IF(ISNA(VLOOKUP(T_ApifImport[[#This Row],[Bilans]:[Bilans]]&amp;T_ApifImport[[#Headers],[Kolona4]],T_ApifKolone[],4,0)),"",VLOOKUP(T_ApifImport[[#This Row],[AOP]:[AOP]],INDIRECT("Lookup_"&amp;T_ApifImport[[#This Row],[Bilans]:[Bilans]]),VLOOKUP(T_ApifImport[[#This Row],[Bilans]:[Bilans]]&amp;T_ApifImport[[#Headers],[Kolona4]],T_ApifKolone[],4,0),0))</f>
        <v>4153186</v>
      </c>
      <c r="I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 s="22" t="n">
        <v>36</v>
      </c>
      <c r="P37" s="25" t="s">
        <v>601</v>
      </c>
    </row>
    <row r="38" spans="2:16">
      <c r="B38" s="52" t="e">
        <v>#VALUE!</v>
      </c>
      <c r="C38" s="173">
        <f>VLOOKUP(T_ApifImport[[#This Row],[ld]],T_Aop[],4,0)</f>
        <v>37</v>
      </c>
      <c r="D38" s="173" t="e">
        <v>#VALUE!</v>
      </c>
      <c r="E3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3730969</v>
      </c>
      <c r="F38" s="573">
        <f aca="1">IF(ISNA(VLOOKUP(T_ApifImport[[#This Row],[Bilans]:[Bilans]]&amp;T_ApifImport[[#Headers],[Kolona2]],T_ApifKolone[],4,0)),"",VLOOKUP(T_ApifImport[[#This Row],[AOP]:[AOP]],INDIRECT("Lookup_"&amp;T_ApifImport[[#This Row],[Bilans]:[Bilans]]),VLOOKUP(T_ApifImport[[#This Row],[Bilans]:[Bilans]]&amp;T_ApifImport[[#Headers],[Kolona2]],T_ApifKolone[],4,0),0))</f>
        <v>0</v>
      </c>
      <c r="G38" s="573">
        <f aca="1">IF(ISNA(VLOOKUP(T_ApifImport[[#This Row],[Bilans]:[Bilans]]&amp;T_ApifImport[[#Headers],[Kolona3]],T_ApifKolone[],4,0)),"",VLOOKUP(T_ApifImport[[#This Row],[AOP]:[AOP]],INDIRECT("Lookup_"&amp;T_ApifImport[[#This Row],[Bilans]:[Bilans]]),VLOOKUP(T_ApifImport[[#This Row],[Bilans]:[Bilans]]&amp;T_ApifImport[[#Headers],[Kolona3]],T_ApifKolone[],4,0),0))</f>
        <v>3730969</v>
      </c>
      <c r="H38" s="573">
        <f aca="1">IF(ISNA(VLOOKUP(T_ApifImport[[#This Row],[Bilans]:[Bilans]]&amp;T_ApifImport[[#Headers],[Kolona4]],T_ApifKolone[],4,0)),"",VLOOKUP(T_ApifImport[[#This Row],[AOP]:[AOP]],INDIRECT("Lookup_"&amp;T_ApifImport[[#This Row],[Bilans]:[Bilans]]),VLOOKUP(T_ApifImport[[#This Row],[Bilans]:[Bilans]]&amp;T_ApifImport[[#Headers],[Kolona4]],T_ApifKolone[],4,0),0))</f>
        <v>3525656</v>
      </c>
      <c r="I3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 s="22" t="n">
        <v>37</v>
      </c>
      <c r="P38" s="25" t="s">
        <v>601</v>
      </c>
    </row>
    <row r="39" spans="2:16">
      <c r="B39" s="52" t="e">
        <v>#VALUE!</v>
      </c>
      <c r="C39" s="173">
        <f>VLOOKUP(T_ApifImport[[#This Row],[ld]],T_Aop[],4,0)</f>
        <v>38</v>
      </c>
      <c r="D39" s="173" t="e">
        <v>#VALUE!</v>
      </c>
      <c r="E3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267194</v>
      </c>
      <c r="F39" s="25">
        <f aca="1">IF(ISNA(VLOOKUP(T_ApifImport[[#This Row],[Bilans]:[Bilans]]&amp;T_ApifImport[[#Headers],[Kolona2]],T_ApifKolone[],4,0)),"",VLOOKUP(T_ApifImport[[#This Row],[AOP]:[AOP]],INDIRECT("Lookup_"&amp;T_ApifImport[[#This Row],[Bilans]:[Bilans]]),VLOOKUP(T_ApifImport[[#This Row],[Bilans]:[Bilans]]&amp;T_ApifImport[[#Headers],[Kolona2]],T_ApifKolone[],4,0),0))</f>
        <v>0</v>
      </c>
      <c r="G39" s="573">
        <f aca="1">IF(ISNA(VLOOKUP(T_ApifImport[[#This Row],[Bilans]:[Bilans]]&amp;T_ApifImport[[#Headers],[Kolona3]],T_ApifKolone[],4,0)),"",VLOOKUP(T_ApifImport[[#This Row],[AOP]:[AOP]],INDIRECT("Lookup_"&amp;T_ApifImport[[#This Row],[Bilans]:[Bilans]]),VLOOKUP(T_ApifImport[[#This Row],[Bilans]:[Bilans]]&amp;T_ApifImport[[#Headers],[Kolona3]],T_ApifKolone[],4,0),0))</f>
        <v>267194</v>
      </c>
      <c r="H39" s="573">
        <f aca="1">IF(ISNA(VLOOKUP(T_ApifImport[[#This Row],[Bilans]:[Bilans]]&amp;T_ApifImport[[#Headers],[Kolona4]],T_ApifKolone[],4,0)),"",VLOOKUP(T_ApifImport[[#This Row],[AOP]:[AOP]],INDIRECT("Lookup_"&amp;T_ApifImport[[#This Row],[Bilans]:[Bilans]]),VLOOKUP(T_ApifImport[[#This Row],[Bilans]:[Bilans]]&amp;T_ApifImport[[#Headers],[Kolona4]],T_ApifKolone[],4,0),0))</f>
        <v>155279</v>
      </c>
      <c r="I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 s="22" t="n">
        <v>38</v>
      </c>
      <c r="P39" s="25" t="s">
        <v>601</v>
      </c>
    </row>
    <row r="40" spans="2:16">
      <c r="B40" s="52" t="e">
        <v>#VALUE!</v>
      </c>
      <c r="C40" s="173">
        <f>VLOOKUP(T_ApifImport[[#This Row],[ld]],T_Aop[],4,0)</f>
        <v>39</v>
      </c>
      <c r="D40" s="173" t="e">
        <v>#VALUE!</v>
      </c>
      <c r="E4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3177550</v>
      </c>
      <c r="F40" s="25">
        <f aca="1">IF(ISNA(VLOOKUP(T_ApifImport[[#This Row],[Bilans]:[Bilans]]&amp;T_ApifImport[[#Headers],[Kolona2]],T_ApifKolone[],4,0)),"",VLOOKUP(T_ApifImport[[#This Row],[AOP]:[AOP]],INDIRECT("Lookup_"&amp;T_ApifImport[[#This Row],[Bilans]:[Bilans]]),VLOOKUP(T_ApifImport[[#This Row],[Bilans]:[Bilans]]&amp;T_ApifImport[[#Headers],[Kolona2]],T_ApifKolone[],4,0),0))</f>
        <v>0</v>
      </c>
      <c r="G40" s="573">
        <f aca="1">IF(ISNA(VLOOKUP(T_ApifImport[[#This Row],[Bilans]:[Bilans]]&amp;T_ApifImport[[#Headers],[Kolona3]],T_ApifKolone[],4,0)),"",VLOOKUP(T_ApifImport[[#This Row],[AOP]:[AOP]],INDIRECT("Lookup_"&amp;T_ApifImport[[#This Row],[Bilans]:[Bilans]]),VLOOKUP(T_ApifImport[[#This Row],[Bilans]:[Bilans]]&amp;T_ApifImport[[#Headers],[Kolona3]],T_ApifKolone[],4,0),0))</f>
        <v>3177550</v>
      </c>
      <c r="H40" s="573">
        <f aca="1">IF(ISNA(VLOOKUP(T_ApifImport[[#This Row],[Bilans]:[Bilans]]&amp;T_ApifImport[[#Headers],[Kolona4]],T_ApifKolone[],4,0)),"",VLOOKUP(T_ApifImport[[#This Row],[AOP]:[AOP]],INDIRECT("Lookup_"&amp;T_ApifImport[[#This Row],[Bilans]:[Bilans]]),VLOOKUP(T_ApifImport[[#This Row],[Bilans]:[Bilans]]&amp;T_ApifImport[[#Headers],[Kolona4]],T_ApifKolone[],4,0),0))</f>
        <v>2847550</v>
      </c>
      <c r="I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 s="22" t="n">
        <v>39</v>
      </c>
      <c r="P40" s="25" t="s">
        <v>601</v>
      </c>
    </row>
    <row r="41" spans="2:16">
      <c r="B41" s="52" t="e">
        <v>#VALUE!</v>
      </c>
      <c r="C41" s="173">
        <f>VLOOKUP(T_ApifImport[[#This Row],[ld]],T_Aop[],4,0)</f>
        <v>40</v>
      </c>
      <c r="D41" s="173" t="e">
        <v>#VALUE!</v>
      </c>
      <c r="E4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286225</v>
      </c>
      <c r="F41" s="25">
        <f aca="1">IF(ISNA(VLOOKUP(T_ApifImport[[#This Row],[Bilans]:[Bilans]]&amp;T_ApifImport[[#Headers],[Kolona2]],T_ApifKolone[],4,0)),"",VLOOKUP(T_ApifImport[[#This Row],[AOP]:[AOP]],INDIRECT("Lookup_"&amp;T_ApifImport[[#This Row],[Bilans]:[Bilans]]),VLOOKUP(T_ApifImport[[#This Row],[Bilans]:[Bilans]]&amp;T_ApifImport[[#Headers],[Kolona2]],T_ApifKolone[],4,0),0))</f>
        <v>0</v>
      </c>
      <c r="G41" s="573">
        <f aca="1">IF(ISNA(VLOOKUP(T_ApifImport[[#This Row],[Bilans]:[Bilans]]&amp;T_ApifImport[[#Headers],[Kolona3]],T_ApifKolone[],4,0)),"",VLOOKUP(T_ApifImport[[#This Row],[AOP]:[AOP]],INDIRECT("Lookup_"&amp;T_ApifImport[[#This Row],[Bilans]:[Bilans]]),VLOOKUP(T_ApifImport[[#This Row],[Bilans]:[Bilans]]&amp;T_ApifImport[[#Headers],[Kolona3]],T_ApifKolone[],4,0),0))</f>
        <v>286225</v>
      </c>
      <c r="H41" s="573">
        <f aca="1">IF(ISNA(VLOOKUP(T_ApifImport[[#This Row],[Bilans]:[Bilans]]&amp;T_ApifImport[[#Headers],[Kolona4]],T_ApifKolone[],4,0)),"",VLOOKUP(T_ApifImport[[#This Row],[AOP]:[AOP]],INDIRECT("Lookup_"&amp;T_ApifImport[[#This Row],[Bilans]:[Bilans]]),VLOOKUP(T_ApifImport[[#This Row],[Bilans]:[Bilans]]&amp;T_ApifImport[[#Headers],[Kolona4]],T_ApifKolone[],4,0),0))</f>
        <v>521813</v>
      </c>
      <c r="I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 s="22" t="n">
        <v>40</v>
      </c>
      <c r="P41" s="25" t="s">
        <v>601</v>
      </c>
    </row>
    <row r="42" spans="2:16">
      <c r="B42" s="52" t="e">
        <v>#VALUE!</v>
      </c>
      <c r="C42" s="173">
        <f>VLOOKUP(T_ApifImport[[#This Row],[ld]],T_Aop[],4,0)</f>
        <v>41</v>
      </c>
      <c r="D42" s="173" t="e">
        <v>#VALUE!</v>
      </c>
      <c r="E4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 s="25">
        <f aca="1">IF(ISNA(VLOOKUP(T_ApifImport[[#This Row],[Bilans]:[Bilans]]&amp;T_ApifImport[[#Headers],[Kolona2]],T_ApifKolone[],4,0)),"",VLOOKUP(T_ApifImport[[#This Row],[AOP]:[AOP]],INDIRECT("Lookup_"&amp;T_ApifImport[[#This Row],[Bilans]:[Bilans]]),VLOOKUP(T_ApifImport[[#This Row],[Bilans]:[Bilans]]&amp;T_ApifImport[[#Headers],[Kolona2]],T_ApifKolone[],4,0),0))</f>
        <v>0</v>
      </c>
      <c r="G42" s="573">
        <f aca="1">IF(ISNA(VLOOKUP(T_ApifImport[[#This Row],[Bilans]:[Bilans]]&amp;T_ApifImport[[#Headers],[Kolona3]],T_ApifKolone[],4,0)),"",VLOOKUP(T_ApifImport[[#This Row],[AOP]:[AOP]],INDIRECT("Lookup_"&amp;T_ApifImport[[#This Row],[Bilans]:[Bilans]]),VLOOKUP(T_ApifImport[[#This Row],[Bilans]:[Bilans]]&amp;T_ApifImport[[#Headers],[Kolona3]],T_ApifKolone[],4,0),0))</f>
        <v>0</v>
      </c>
      <c r="H42" s="25">
        <f aca="1">IF(ISNA(VLOOKUP(T_ApifImport[[#This Row],[Bilans]:[Bilans]]&amp;T_ApifImport[[#Headers],[Kolona4]],T_ApifKolone[],4,0)),"",VLOOKUP(T_ApifImport[[#This Row],[AOP]:[AOP]],INDIRECT("Lookup_"&amp;T_ApifImport[[#This Row],[Bilans]:[Bilans]]),VLOOKUP(T_ApifImport[[#This Row],[Bilans]:[Bilans]]&amp;T_ApifImport[[#Headers],[Kolona4]],T_ApifKolone[],4,0),0))</f>
        <v>0</v>
      </c>
      <c r="I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2" s="22" t="n">
        <v>41</v>
      </c>
      <c r="P42" s="25" t="s">
        <v>601</v>
      </c>
    </row>
    <row r="43" spans="2:16">
      <c r="B43" s="52" t="e">
        <v>#VALUE!</v>
      </c>
      <c r="C43" s="173">
        <f>VLOOKUP(T_ApifImport[[#This Row],[ld]],T_Aop[],4,0)</f>
        <v>42</v>
      </c>
      <c r="D43" s="173" t="e">
        <v>#VALUE!</v>
      </c>
      <c r="E4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 s="25">
        <f aca="1">IF(ISNA(VLOOKUP(T_ApifImport[[#This Row],[Bilans]:[Bilans]]&amp;T_ApifImport[[#Headers],[Kolona2]],T_ApifKolone[],4,0)),"",VLOOKUP(T_ApifImport[[#This Row],[AOP]:[AOP]],INDIRECT("Lookup_"&amp;T_ApifImport[[#This Row],[Bilans]:[Bilans]]),VLOOKUP(T_ApifImport[[#This Row],[Bilans]:[Bilans]]&amp;T_ApifImport[[#Headers],[Kolona2]],T_ApifKolone[],4,0),0))</f>
        <v>0</v>
      </c>
      <c r="G43" s="573">
        <f aca="1">IF(ISNA(VLOOKUP(T_ApifImport[[#This Row],[Bilans]:[Bilans]]&amp;T_ApifImport[[#Headers],[Kolona3]],T_ApifKolone[],4,0)),"",VLOOKUP(T_ApifImport[[#This Row],[AOP]:[AOP]],INDIRECT("Lookup_"&amp;T_ApifImport[[#This Row],[Bilans]:[Bilans]]),VLOOKUP(T_ApifImport[[#This Row],[Bilans]:[Bilans]]&amp;T_ApifImport[[#Headers],[Kolona3]],T_ApifKolone[],4,0),0))</f>
        <v>0</v>
      </c>
      <c r="H43" s="25">
        <f aca="1">IF(ISNA(VLOOKUP(T_ApifImport[[#This Row],[Bilans]:[Bilans]]&amp;T_ApifImport[[#Headers],[Kolona4]],T_ApifKolone[],4,0)),"",VLOOKUP(T_ApifImport[[#This Row],[AOP]:[AOP]],INDIRECT("Lookup_"&amp;T_ApifImport[[#This Row],[Bilans]:[Bilans]]),VLOOKUP(T_ApifImport[[#This Row],[Bilans]:[Bilans]]&amp;T_ApifImport[[#Headers],[Kolona4]],T_ApifKolone[],4,0),0))</f>
        <v>0</v>
      </c>
      <c r="I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3" s="22" t="n">
        <v>42</v>
      </c>
      <c r="P43" s="25" t="s">
        <v>601</v>
      </c>
    </row>
    <row r="44" spans="2:16">
      <c r="B44" s="52" t="e">
        <v>#VALUE!</v>
      </c>
      <c r="C44" s="173">
        <f>VLOOKUP(T_ApifImport[[#This Row],[ld]],T_Aop[],4,0)</f>
        <v>43</v>
      </c>
      <c r="D44" s="173" t="e">
        <v>#VALUE!</v>
      </c>
      <c r="E4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4" s="25">
        <f aca="1">IF(ISNA(VLOOKUP(T_ApifImport[[#This Row],[Bilans]:[Bilans]]&amp;T_ApifImport[[#Headers],[Kolona2]],T_ApifKolone[],4,0)),"",VLOOKUP(T_ApifImport[[#This Row],[AOP]:[AOP]],INDIRECT("Lookup_"&amp;T_ApifImport[[#This Row],[Bilans]:[Bilans]]),VLOOKUP(T_ApifImport[[#This Row],[Bilans]:[Bilans]]&amp;T_ApifImport[[#Headers],[Kolona2]],T_ApifKolone[],4,0),0))</f>
        <v>0</v>
      </c>
      <c r="G44" s="573">
        <f aca="1">IF(ISNA(VLOOKUP(T_ApifImport[[#This Row],[Bilans]:[Bilans]]&amp;T_ApifImport[[#Headers],[Kolona3]],T_ApifKolone[],4,0)),"",VLOOKUP(T_ApifImport[[#This Row],[AOP]:[AOP]],INDIRECT("Lookup_"&amp;T_ApifImport[[#This Row],[Bilans]:[Bilans]]),VLOOKUP(T_ApifImport[[#This Row],[Bilans]:[Bilans]]&amp;T_ApifImport[[#Headers],[Kolona3]],T_ApifKolone[],4,0),0))</f>
        <v>0</v>
      </c>
      <c r="H44" s="573">
        <f aca="1">IF(ISNA(VLOOKUP(T_ApifImport[[#This Row],[Bilans]:[Bilans]]&amp;T_ApifImport[[#Headers],[Kolona4]],T_ApifKolone[],4,0)),"",VLOOKUP(T_ApifImport[[#This Row],[AOP]:[AOP]],INDIRECT("Lookup_"&amp;T_ApifImport[[#This Row],[Bilans]:[Bilans]]),VLOOKUP(T_ApifImport[[#This Row],[Bilans]:[Bilans]]&amp;T_ApifImport[[#Headers],[Kolona4]],T_ApifKolone[],4,0),0))</f>
        <v>1014</v>
      </c>
      <c r="I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4" s="22" t="n">
        <v>43</v>
      </c>
      <c r="P44" s="25" t="s">
        <v>601</v>
      </c>
    </row>
    <row r="45" spans="2:16">
      <c r="B45" s="52" t="e">
        <v>#VALUE!</v>
      </c>
      <c r="C45" s="173">
        <f>VLOOKUP(T_ApifImport[[#This Row],[ld]],T_Aop[],4,0)</f>
        <v>44</v>
      </c>
      <c r="D45" s="173" t="e">
        <v>#VALUE!</v>
      </c>
      <c r="E4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769349</v>
      </c>
      <c r="F45" s="573">
        <f aca="1">IF(ISNA(VLOOKUP(T_ApifImport[[#This Row],[Bilans]:[Bilans]]&amp;T_ApifImport[[#Headers],[Kolona2]],T_ApifKolone[],4,0)),"",VLOOKUP(T_ApifImport[[#This Row],[AOP]:[AOP]],INDIRECT("Lookup_"&amp;T_ApifImport[[#This Row],[Bilans]:[Bilans]]),VLOOKUP(T_ApifImport[[#This Row],[Bilans]:[Bilans]]&amp;T_ApifImport[[#Headers],[Kolona2]],T_ApifKolone[],4,0),0))</f>
        <v>44491</v>
      </c>
      <c r="G45" s="573">
        <f aca="1">IF(ISNA(VLOOKUP(T_ApifImport[[#This Row],[Bilans]:[Bilans]]&amp;T_ApifImport[[#Headers],[Kolona3]],T_ApifKolone[],4,0)),"",VLOOKUP(T_ApifImport[[#This Row],[AOP]:[AOP]],INDIRECT("Lookup_"&amp;T_ApifImport[[#This Row],[Bilans]:[Bilans]]),VLOOKUP(T_ApifImport[[#This Row],[Bilans]:[Bilans]]&amp;T_ApifImport[[#Headers],[Kolona3]],T_ApifKolone[],4,0),0))</f>
        <v>724858</v>
      </c>
      <c r="H45" s="573">
        <f aca="1">IF(ISNA(VLOOKUP(T_ApifImport[[#This Row],[Bilans]:[Bilans]]&amp;T_ApifImport[[#Headers],[Kolona4]],T_ApifKolone[],4,0)),"",VLOOKUP(T_ApifImport[[#This Row],[AOP]:[AOP]],INDIRECT("Lookup_"&amp;T_ApifImport[[#This Row],[Bilans]:[Bilans]]),VLOOKUP(T_ApifImport[[#This Row],[Bilans]:[Bilans]]&amp;T_ApifImport[[#Headers],[Kolona4]],T_ApifKolone[],4,0),0))</f>
        <v>627530</v>
      </c>
      <c r="I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5" s="22" t="n">
        <v>44</v>
      </c>
      <c r="P45" s="25" t="s">
        <v>601</v>
      </c>
    </row>
    <row r="46" spans="2:16">
      <c r="B46" s="52" t="e">
        <v>#VALUE!</v>
      </c>
      <c r="C46" s="173">
        <f>VLOOKUP(T_ApifImport[[#This Row],[ld]],T_Aop[],4,0)</f>
        <v>45</v>
      </c>
      <c r="D46" s="173" t="e">
        <v>#VALUE!</v>
      </c>
      <c r="E4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397064</v>
      </c>
      <c r="F46" s="573">
        <f aca="1">IF(ISNA(VLOOKUP(T_ApifImport[[#This Row],[Bilans]:[Bilans]]&amp;T_ApifImport[[#Headers],[Kolona2]],T_ApifKolone[],4,0)),"",VLOOKUP(T_ApifImport[[#This Row],[AOP]:[AOP]],INDIRECT("Lookup_"&amp;T_ApifImport[[#This Row],[Bilans]:[Bilans]]),VLOOKUP(T_ApifImport[[#This Row],[Bilans]:[Bilans]]&amp;T_ApifImport[[#Headers],[Kolona2]],T_ApifKolone[],4,0),0))</f>
        <v>44491</v>
      </c>
      <c r="G46" s="573">
        <f aca="1">IF(ISNA(VLOOKUP(T_ApifImport[[#This Row],[Bilans]:[Bilans]]&amp;T_ApifImport[[#Headers],[Kolona3]],T_ApifKolone[],4,0)),"",VLOOKUP(T_ApifImport[[#This Row],[AOP]:[AOP]],INDIRECT("Lookup_"&amp;T_ApifImport[[#This Row],[Bilans]:[Bilans]]),VLOOKUP(T_ApifImport[[#This Row],[Bilans]:[Bilans]]&amp;T_ApifImport[[#Headers],[Kolona3]],T_ApifKolone[],4,0),0))</f>
        <v>352573</v>
      </c>
      <c r="H46" s="573">
        <f aca="1">IF(ISNA(VLOOKUP(T_ApifImport[[#This Row],[Bilans]:[Bilans]]&amp;T_ApifImport[[#Headers],[Kolona4]],T_ApifKolone[],4,0)),"",VLOOKUP(T_ApifImport[[#This Row],[AOP]:[AOP]],INDIRECT("Lookup_"&amp;T_ApifImport[[#This Row],[Bilans]:[Bilans]]),VLOOKUP(T_ApifImport[[#This Row],[Bilans]:[Bilans]]&amp;T_ApifImport[[#Headers],[Kolona4]],T_ApifKolone[],4,0),0))</f>
        <v>359265</v>
      </c>
      <c r="I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6" s="22" t="n">
        <v>45</v>
      </c>
      <c r="P46" s="25" t="s">
        <v>601</v>
      </c>
    </row>
    <row r="47" spans="2:16">
      <c r="B47" s="52" t="e">
        <v>#VALUE!</v>
      </c>
      <c r="C47" s="173">
        <f>VLOOKUP(T_ApifImport[[#This Row],[ld]],T_Aop[],4,0)</f>
        <v>46</v>
      </c>
      <c r="D47" s="173" t="e">
        <v>#VALUE!</v>
      </c>
      <c r="E4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7" s="25">
        <f aca="1">IF(ISNA(VLOOKUP(T_ApifImport[[#This Row],[Bilans]:[Bilans]]&amp;T_ApifImport[[#Headers],[Kolona2]],T_ApifKolone[],4,0)),"",VLOOKUP(T_ApifImport[[#This Row],[AOP]:[AOP]],INDIRECT("Lookup_"&amp;T_ApifImport[[#This Row],[Bilans]:[Bilans]]),VLOOKUP(T_ApifImport[[#This Row],[Bilans]:[Bilans]]&amp;T_ApifImport[[#Headers],[Kolona2]],T_ApifKolone[],4,0),0))</f>
        <v>0</v>
      </c>
      <c r="G47" s="573">
        <f aca="1">IF(ISNA(VLOOKUP(T_ApifImport[[#This Row],[Bilans]:[Bilans]]&amp;T_ApifImport[[#Headers],[Kolona3]],T_ApifKolone[],4,0)),"",VLOOKUP(T_ApifImport[[#This Row],[AOP]:[AOP]],INDIRECT("Lookup_"&amp;T_ApifImport[[#This Row],[Bilans]:[Bilans]]),VLOOKUP(T_ApifImport[[#This Row],[Bilans]:[Bilans]]&amp;T_ApifImport[[#Headers],[Kolona3]],T_ApifKolone[],4,0),0))</f>
        <v>0</v>
      </c>
      <c r="H47" s="573">
        <f aca="1">IF(ISNA(VLOOKUP(T_ApifImport[[#This Row],[Bilans]:[Bilans]]&amp;T_ApifImport[[#Headers],[Kolona4]],T_ApifKolone[],4,0)),"",VLOOKUP(T_ApifImport[[#This Row],[AOP]:[AOP]],INDIRECT("Lookup_"&amp;T_ApifImport[[#This Row],[Bilans]:[Bilans]]),VLOOKUP(T_ApifImport[[#This Row],[Bilans]:[Bilans]]&amp;T_ApifImport[[#Headers],[Kolona4]],T_ApifKolone[],4,0),0))</f>
        <v>31993</v>
      </c>
      <c r="I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7" s="22" t="n">
        <v>46</v>
      </c>
      <c r="P47" s="25" t="s">
        <v>601</v>
      </c>
    </row>
    <row r="48" spans="2:16">
      <c r="B48" s="52" t="e">
        <v>#VALUE!</v>
      </c>
      <c r="C48" s="173">
        <f>VLOOKUP(T_ApifImport[[#This Row],[ld]],T_Aop[],4,0)</f>
        <v>47</v>
      </c>
      <c r="D48" s="173" t="e">
        <v>#VALUE!</v>
      </c>
      <c r="E4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311544</v>
      </c>
      <c r="F48" s="577">
        <f aca="1">IF(ISNA(VLOOKUP(T_ApifImport[[#This Row],[Bilans]:[Bilans]]&amp;T_ApifImport[[#Headers],[Kolona2]],T_ApifKolone[],4,0)),"",VLOOKUP(T_ApifImport[[#This Row],[AOP]:[AOP]],INDIRECT("Lookup_"&amp;T_ApifImport[[#This Row],[Bilans]:[Bilans]]),VLOOKUP(T_ApifImport[[#This Row],[Bilans]:[Bilans]]&amp;T_ApifImport[[#Headers],[Kolona2]],T_ApifKolone[],4,0),0))</f>
        <v>44161</v>
      </c>
      <c r="G48" s="573">
        <f aca="1">IF(ISNA(VLOOKUP(T_ApifImport[[#This Row],[Bilans]:[Bilans]]&amp;T_ApifImport[[#Headers],[Kolona3]],T_ApifKolone[],4,0)),"",VLOOKUP(T_ApifImport[[#This Row],[AOP]:[AOP]],INDIRECT("Lookup_"&amp;T_ApifImport[[#This Row],[Bilans]:[Bilans]]),VLOOKUP(T_ApifImport[[#This Row],[Bilans]:[Bilans]]&amp;T_ApifImport[[#Headers],[Kolona3]],T_ApifKolone[],4,0),0))</f>
        <v>267383</v>
      </c>
      <c r="H48" s="573">
        <f aca="1">IF(ISNA(VLOOKUP(T_ApifImport[[#This Row],[Bilans]:[Bilans]]&amp;T_ApifImport[[#Headers],[Kolona4]],T_ApifKolone[],4,0)),"",VLOOKUP(T_ApifImport[[#This Row],[AOP]:[AOP]],INDIRECT("Lookup_"&amp;T_ApifImport[[#This Row],[Bilans]:[Bilans]]),VLOOKUP(T_ApifImport[[#This Row],[Bilans]:[Bilans]]&amp;T_ApifImport[[#Headers],[Kolona4]],T_ApifKolone[],4,0),0))</f>
        <v>243890</v>
      </c>
      <c r="I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8" s="22" t="n">
        <v>47</v>
      </c>
      <c r="P48" s="25" t="s">
        <v>601</v>
      </c>
    </row>
    <row r="49" spans="2:16">
      <c r="B49" s="52" t="e">
        <v>#VALUE!</v>
      </c>
      <c r="C49" s="173">
        <f>VLOOKUP(T_ApifImport[[#This Row],[ld]],T_Aop[],4,0)</f>
        <v>48</v>
      </c>
      <c r="D49" s="173" t="e">
        <v>#VALUE!</v>
      </c>
      <c r="E4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9" s="25">
        <f aca="1">IF(ISNA(VLOOKUP(T_ApifImport[[#This Row],[Bilans]:[Bilans]]&amp;T_ApifImport[[#Headers],[Kolona2]],T_ApifKolone[],4,0)),"",VLOOKUP(T_ApifImport[[#This Row],[AOP]:[AOP]],INDIRECT("Lookup_"&amp;T_ApifImport[[#This Row],[Bilans]:[Bilans]]),VLOOKUP(T_ApifImport[[#This Row],[Bilans]:[Bilans]]&amp;T_ApifImport[[#Headers],[Kolona2]],T_ApifKolone[],4,0),0))</f>
        <v>0</v>
      </c>
      <c r="G49" s="573">
        <f aca="1">IF(ISNA(VLOOKUP(T_ApifImport[[#This Row],[Bilans]:[Bilans]]&amp;T_ApifImport[[#Headers],[Kolona3]],T_ApifKolone[],4,0)),"",VLOOKUP(T_ApifImport[[#This Row],[AOP]:[AOP]],INDIRECT("Lookup_"&amp;T_ApifImport[[#This Row],[Bilans]:[Bilans]]),VLOOKUP(T_ApifImport[[#This Row],[Bilans]:[Bilans]]&amp;T_ApifImport[[#Headers],[Kolona3]],T_ApifKolone[],4,0),0))</f>
        <v>0</v>
      </c>
      <c r="H49" s="25">
        <f aca="1">IF(ISNA(VLOOKUP(T_ApifImport[[#This Row],[Bilans]:[Bilans]]&amp;T_ApifImport[[#Headers],[Kolona4]],T_ApifKolone[],4,0)),"",VLOOKUP(T_ApifImport[[#This Row],[AOP]:[AOP]],INDIRECT("Lookup_"&amp;T_ApifImport[[#This Row],[Bilans]:[Bilans]]),VLOOKUP(T_ApifImport[[#This Row],[Bilans]:[Bilans]]&amp;T_ApifImport[[#Headers],[Kolona4]],T_ApifKolone[],4,0),0))</f>
        <v>0</v>
      </c>
      <c r="I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9" s="22" t="n">
        <v>48</v>
      </c>
      <c r="P49" s="25" t="s">
        <v>601</v>
      </c>
    </row>
    <row r="50" spans="2:16">
      <c r="B50" s="52" t="e">
        <v>#VALUE!</v>
      </c>
      <c r="C50" s="173" t="e">
        <v>#VALUE!</v>
      </c>
      <c r="D50" s="173" t="e">
        <v>#VALUE!</v>
      </c>
      <c r="E5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0"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0"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0" s="22" t="n">
        <v>49</v>
      </c>
      <c r="P50" s="25" t="s">
        <v>601</v>
      </c>
    </row>
    <row r="51" spans="2:16">
      <c r="B51" s="52" t="e">
        <v>#VALUE!</v>
      </c>
      <c r="C51" s="173" t="e">
        <v>#VALUE!</v>
      </c>
      <c r="D51" s="173" t="e">
        <v>#VALUE!</v>
      </c>
      <c r="E5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1"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1"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1" s="22" t="n">
        <v>50</v>
      </c>
      <c r="P51" s="25" t="s">
        <v>601</v>
      </c>
    </row>
    <row r="52" spans="2:16">
      <c r="B52" s="52" t="e">
        <v>#VALUE!</v>
      </c>
      <c r="C52" s="173" t="e">
        <v>#VALUE!</v>
      </c>
      <c r="D52" s="173" t="e">
        <v>#VALUE!</v>
      </c>
      <c r="E5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2"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2"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2" s="22" t="n">
        <v>51</v>
      </c>
      <c r="P52" s="25" t="s">
        <v>601</v>
      </c>
    </row>
    <row r="53" spans="2:16">
      <c r="B53" s="52" t="e">
        <v>#VALUE!</v>
      </c>
      <c r="C53" s="173" t="e">
        <v>#VALUE!</v>
      </c>
      <c r="D53" s="173" t="e">
        <v>#VALUE!</v>
      </c>
      <c r="E5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3"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3"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3" s="22" t="n">
        <v>52</v>
      </c>
      <c r="P53" s="25" t="s">
        <v>601</v>
      </c>
    </row>
    <row r="54" spans="2:16">
      <c r="B54" s="52" t="e">
        <v>#VALUE!</v>
      </c>
      <c r="C54" s="173" t="e">
        <v>#VALUE!</v>
      </c>
      <c r="D54" s="173" t="e">
        <v>#VALUE!</v>
      </c>
      <c r="E5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4"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4"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4" s="22" t="n">
        <v>53</v>
      </c>
      <c r="P54" s="25" t="s">
        <v>601</v>
      </c>
    </row>
    <row r="55" spans="2:16">
      <c r="B55" s="52" t="e">
        <v>#VALUE!</v>
      </c>
      <c r="C55" s="173" t="e">
        <v>#VALUE!</v>
      </c>
      <c r="D55" s="173" t="e">
        <v>#VALUE!</v>
      </c>
      <c r="E5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5"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5"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5" s="22" t="n">
        <v>54</v>
      </c>
      <c r="P55" s="25" t="s">
        <v>601</v>
      </c>
    </row>
    <row r="56" spans="2:16">
      <c r="B56" s="52" t="e">
        <v>#VALUE!</v>
      </c>
      <c r="C56" s="173" t="e">
        <v>#VALUE!</v>
      </c>
      <c r="D56" s="173" t="e">
        <v>#VALUE!</v>
      </c>
      <c r="E5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6"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6"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6" s="22" t="n">
        <v>55</v>
      </c>
      <c r="P56" s="25" t="s">
        <v>601</v>
      </c>
    </row>
    <row r="57" spans="2:16">
      <c r="B57" s="52" t="e">
        <v>#VALUE!</v>
      </c>
      <c r="C57" s="173" t="e">
        <v>#VALUE!</v>
      </c>
      <c r="D57" s="173" t="e">
        <v>#VALUE!</v>
      </c>
      <c r="E5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7"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7"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7" s="22" t="n">
        <v>56</v>
      </c>
      <c r="P57" s="25" t="s">
        <v>601</v>
      </c>
    </row>
    <row r="58" spans="2:16">
      <c r="B58" s="52" t="e">
        <v>#VALUE!</v>
      </c>
      <c r="C58" s="173" t="e">
        <v>#VALUE!</v>
      </c>
      <c r="D58" s="173" t="e">
        <v>#VALUE!</v>
      </c>
      <c r="E5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8"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8"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8" s="22" t="n">
        <v>57</v>
      </c>
      <c r="P58" s="25" t="s">
        <v>601</v>
      </c>
    </row>
    <row r="59" spans="2:16">
      <c r="B59" s="52" t="e">
        <v>#VALUE!</v>
      </c>
      <c r="C59" s="173" t="e">
        <v>#VALUE!</v>
      </c>
      <c r="D59" s="173" t="e">
        <v>#VALUE!</v>
      </c>
      <c r="E5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9"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9"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9" s="22" t="n">
        <v>58</v>
      </c>
      <c r="P59" s="25" t="s">
        <v>601</v>
      </c>
    </row>
    <row r="60" spans="2:16">
      <c r="B60" s="52" t="e">
        <v>#VALUE!</v>
      </c>
      <c r="C60" s="173" t="e">
        <v>#VALUE!</v>
      </c>
      <c r="D60" s="173" t="e">
        <v>#VALUE!</v>
      </c>
      <c r="E6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0"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0"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0" s="22" t="n">
        <v>59</v>
      </c>
      <c r="P60" s="25" t="s">
        <v>601</v>
      </c>
    </row>
    <row r="61" spans="2:16">
      <c r="B61" s="52" t="e">
        <v>#VALUE!</v>
      </c>
      <c r="C61" s="173" t="e">
        <v>#VALUE!</v>
      </c>
      <c r="D61" s="173" t="e">
        <v>#VALUE!</v>
      </c>
      <c r="E6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1"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1"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1" s="22" t="n">
        <v>60</v>
      </c>
      <c r="P61" s="25" t="s">
        <v>601</v>
      </c>
    </row>
    <row r="62" spans="2:16">
      <c r="B62" s="52" t="e">
        <v>#VALUE!</v>
      </c>
      <c r="C62" s="173" t="e">
        <v>#VALUE!</v>
      </c>
      <c r="D62" s="173" t="e">
        <v>#VALUE!</v>
      </c>
      <c r="E6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2"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2"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2" s="22" t="n">
        <v>61</v>
      </c>
      <c r="P62" s="25" t="s">
        <v>601</v>
      </c>
    </row>
    <row r="63" spans="2:16">
      <c r="B63" s="52" t="e">
        <v>#VALUE!</v>
      </c>
      <c r="C63" s="173" t="e">
        <v>#VALUE!</v>
      </c>
      <c r="D63" s="173" t="e">
        <v>#VALUE!</v>
      </c>
      <c r="E6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3"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3"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3" s="22" t="n">
        <v>62</v>
      </c>
      <c r="P63" s="25" t="s">
        <v>601</v>
      </c>
    </row>
    <row r="64" spans="2:16">
      <c r="B64" s="52" t="e">
        <v>#VALUE!</v>
      </c>
      <c r="C64" s="173" t="e">
        <v>#VALUE!</v>
      </c>
      <c r="D64" s="173" t="e">
        <v>#VALUE!</v>
      </c>
      <c r="E6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4"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4"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4" s="22" t="n">
        <v>63</v>
      </c>
      <c r="P64" s="25" t="s">
        <v>601</v>
      </c>
    </row>
    <row r="65" spans="2:16">
      <c r="B65" s="52" t="e">
        <v>#VALUE!</v>
      </c>
      <c r="C65" s="173" t="e">
        <v>#VALUE!</v>
      </c>
      <c r="D65" s="173" t="e">
        <v>#VALUE!</v>
      </c>
      <c r="E6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5"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5"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5" s="22" t="n">
        <v>64</v>
      </c>
      <c r="P65" s="25" t="s">
        <v>601</v>
      </c>
    </row>
    <row r="66" spans="2:16">
      <c r="B66" s="52" t="e">
        <v>#VALUE!</v>
      </c>
      <c r="C66" s="173" t="e">
        <v>#VALUE!</v>
      </c>
      <c r="D66" s="173" t="e">
        <v>#VALUE!</v>
      </c>
      <c r="E6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6"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6"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6" s="22" t="n">
        <v>65</v>
      </c>
      <c r="P66" s="25" t="s">
        <v>601</v>
      </c>
    </row>
    <row r="67" spans="2:16">
      <c r="B67" s="52" t="e">
        <v>#VALUE!</v>
      </c>
      <c r="C67" s="173" t="e">
        <v>#VALUE!</v>
      </c>
      <c r="D67" s="173" t="e">
        <v>#VALUE!</v>
      </c>
      <c r="E6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7"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7"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7" s="22" t="n">
        <v>66</v>
      </c>
      <c r="P67" s="25" t="s">
        <v>601</v>
      </c>
    </row>
    <row r="68" spans="2:16">
      <c r="B68" s="372" t="e">
        <v>#VALUE!</v>
      </c>
      <c r="C68" s="173" t="e">
        <v>#VALUE!</v>
      </c>
      <c r="D68" s="173" t="e">
        <v>#VALUE!</v>
      </c>
      <c r="E6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8"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8"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8" s="22" t="n">
        <v>67</v>
      </c>
      <c r="P68" s="25" t="s">
        <v>601</v>
      </c>
    </row>
    <row r="69" spans="2:16">
      <c r="B69" s="52" t="e">
        <v>#VALUE!</v>
      </c>
      <c r="C69" s="173" t="e">
        <v>#VALUE!</v>
      </c>
      <c r="D69" s="173" t="e">
        <v>#VALUE!</v>
      </c>
      <c r="E6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9" s="22" t="n">
        <v>68</v>
      </c>
      <c r="P69" s="25" t="s">
        <v>1056</v>
      </c>
    </row>
    <row r="70" spans="2:16">
      <c r="B70" s="52" t="e">
        <v>#VALUE!</v>
      </c>
      <c r="C70" s="173" t="e">
        <v>#VALUE!</v>
      </c>
      <c r="D70" s="173" t="e">
        <v>#VALUE!</v>
      </c>
      <c r="E7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0" s="22" t="n">
        <v>69</v>
      </c>
      <c r="P70" s="25" t="s">
        <v>1056</v>
      </c>
    </row>
    <row r="71" spans="2:16">
      <c r="B71" s="52" t="e">
        <v>#VALUE!</v>
      </c>
      <c r="C71" s="173" t="e">
        <v>#VALUE!</v>
      </c>
      <c r="D71" s="173" t="e">
        <v>#VALUE!</v>
      </c>
      <c r="E7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1" s="22" t="n">
        <v>70</v>
      </c>
      <c r="P71" s="25" t="s">
        <v>1056</v>
      </c>
    </row>
    <row r="72" spans="2:16">
      <c r="B72" s="52" t="e">
        <v>#VALUE!</v>
      </c>
      <c r="C72" s="173" t="e">
        <v>#VALUE!</v>
      </c>
      <c r="D72" s="173" t="e">
        <v>#VALUE!</v>
      </c>
      <c r="E7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2" s="22" t="n">
        <v>71</v>
      </c>
      <c r="P72" s="25" t="s">
        <v>1056</v>
      </c>
    </row>
    <row r="73" spans="2:16">
      <c r="B73" s="52" t="e">
        <v>#VALUE!</v>
      </c>
      <c r="C73" s="173" t="e">
        <v>#VALUE!</v>
      </c>
      <c r="D73" s="173" t="e">
        <v>#VALUE!</v>
      </c>
      <c r="E7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3" s="22" t="n">
        <v>72</v>
      </c>
      <c r="P73" s="25" t="s">
        <v>1056</v>
      </c>
    </row>
    <row r="74" spans="2:16">
      <c r="B74" s="52" t="e">
        <v>#VALUE!</v>
      </c>
      <c r="C74" s="173" t="e">
        <v>#VALUE!</v>
      </c>
      <c r="D74" s="173" t="e">
        <v>#VALUE!</v>
      </c>
      <c r="E7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4" s="22" t="n">
        <v>73</v>
      </c>
      <c r="P74" s="25" t="s">
        <v>1056</v>
      </c>
    </row>
    <row r="75" spans="2:16">
      <c r="B75" s="52" t="e">
        <v>#VALUE!</v>
      </c>
      <c r="C75" s="173" t="e">
        <v>#VALUE!</v>
      </c>
      <c r="D75" s="173" t="e">
        <v>#VALUE!</v>
      </c>
      <c r="E7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5" s="22" t="n">
        <v>74</v>
      </c>
      <c r="P75" s="25" t="s">
        <v>1056</v>
      </c>
    </row>
    <row r="76" spans="2:16">
      <c r="B76" s="52" t="e">
        <v>#VALUE!</v>
      </c>
      <c r="C76" s="173" t="e">
        <v>#VALUE!</v>
      </c>
      <c r="D76" s="173" t="e">
        <v>#VALUE!</v>
      </c>
      <c r="E7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6" s="22" t="n">
        <v>75</v>
      </c>
      <c r="P76" s="25" t="s">
        <v>1056</v>
      </c>
    </row>
    <row r="77" spans="2:16">
      <c r="B77" s="52" t="e">
        <v>#VALUE!</v>
      </c>
      <c r="C77" s="173" t="e">
        <v>#VALUE!</v>
      </c>
      <c r="D77" s="173" t="e">
        <v>#VALUE!</v>
      </c>
      <c r="E7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7" s="22" t="n">
        <v>76</v>
      </c>
      <c r="P77" s="25" t="s">
        <v>1056</v>
      </c>
    </row>
    <row r="78" spans="2:16">
      <c r="B78" s="52" t="e">
        <v>#VALUE!</v>
      </c>
      <c r="C78" s="173" t="e">
        <v>#VALUE!</v>
      </c>
      <c r="D78" s="173" t="e">
        <v>#VALUE!</v>
      </c>
      <c r="E7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8" s="22" t="n">
        <v>77</v>
      </c>
      <c r="P78" s="25" t="s">
        <v>1056</v>
      </c>
    </row>
    <row r="79" spans="2:16">
      <c r="B79" s="52" t="e">
        <v>#VALUE!</v>
      </c>
      <c r="C79" s="173" t="e">
        <v>#VALUE!</v>
      </c>
      <c r="D79" s="173" t="e">
        <v>#VALUE!</v>
      </c>
      <c r="E7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9" s="22" t="n">
        <v>78</v>
      </c>
      <c r="P79" s="25" t="s">
        <v>1056</v>
      </c>
    </row>
    <row r="80" spans="2:16">
      <c r="B80" s="52" t="e">
        <v>#VALUE!</v>
      </c>
      <c r="C80" s="173" t="e">
        <v>#VALUE!</v>
      </c>
      <c r="D80" s="173" t="e">
        <v>#VALUE!</v>
      </c>
      <c r="E8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0" s="22" t="n">
        <v>79</v>
      </c>
      <c r="P80" s="25" t="s">
        <v>1056</v>
      </c>
    </row>
    <row r="81" spans="2:16">
      <c r="B81" s="52" t="e">
        <v>#VALUE!</v>
      </c>
      <c r="C81" s="173" t="e">
        <v>#VALUE!</v>
      </c>
      <c r="D81" s="173" t="e">
        <v>#VALUE!</v>
      </c>
      <c r="E8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1" s="22" t="n">
        <v>80</v>
      </c>
      <c r="P81" s="25" t="s">
        <v>1056</v>
      </c>
    </row>
    <row r="82" spans="2:16">
      <c r="B82" s="52" t="e">
        <v>#VALUE!</v>
      </c>
      <c r="C82" s="173" t="e">
        <v>#VALUE!</v>
      </c>
      <c r="D82" s="173" t="e">
        <v>#VALUE!</v>
      </c>
      <c r="E8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2" s="22" t="n">
        <v>81</v>
      </c>
      <c r="P82" s="25" t="s">
        <v>1056</v>
      </c>
    </row>
    <row r="83" spans="2:16">
      <c r="B83" s="52" t="e">
        <v>#VALUE!</v>
      </c>
      <c r="C83" s="173" t="e">
        <v>#VALUE!</v>
      </c>
      <c r="D83" s="173" t="e">
        <v>#VALUE!</v>
      </c>
      <c r="E8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3" s="22" t="n">
        <v>82</v>
      </c>
      <c r="P83" s="25" t="s">
        <v>1056</v>
      </c>
    </row>
    <row r="84" spans="2:16">
      <c r="B84" s="52" t="e">
        <v>#VALUE!</v>
      </c>
      <c r="C84" s="173" t="e">
        <v>#VALUE!</v>
      </c>
      <c r="D84" s="173" t="e">
        <v>#VALUE!</v>
      </c>
      <c r="E8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4" s="22" t="n">
        <v>83</v>
      </c>
      <c r="P84" s="25" t="s">
        <v>1056</v>
      </c>
    </row>
    <row r="85" spans="2:16">
      <c r="B85" s="52" t="e">
        <v>#VALUE!</v>
      </c>
      <c r="C85" s="173" t="e">
        <v>#VALUE!</v>
      </c>
      <c r="D85" s="173" t="e">
        <v>#VALUE!</v>
      </c>
      <c r="E8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5" s="22" t="n">
        <v>84</v>
      </c>
      <c r="P85" s="25" t="s">
        <v>1056</v>
      </c>
    </row>
    <row r="86" spans="2:16">
      <c r="B86" s="52" t="e">
        <v>#VALUE!</v>
      </c>
      <c r="C86" s="173" t="e">
        <v>#VALUE!</v>
      </c>
      <c r="D86" s="173" t="e">
        <v>#VALUE!</v>
      </c>
      <c r="E8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6" s="22" t="n">
        <v>85</v>
      </c>
      <c r="P86" s="25" t="s">
        <v>1056</v>
      </c>
    </row>
    <row r="87" spans="2:16">
      <c r="B87" s="52" t="e">
        <v>#VALUE!</v>
      </c>
      <c r="C87" s="173" t="e">
        <v>#VALUE!</v>
      </c>
      <c r="D87" s="173" t="e">
        <v>#VALUE!</v>
      </c>
      <c r="E8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7" s="22" t="n">
        <v>86</v>
      </c>
      <c r="P87" s="25" t="s">
        <v>1056</v>
      </c>
    </row>
    <row r="88" spans="2:16">
      <c r="B88" s="52" t="e">
        <v>#VALUE!</v>
      </c>
      <c r="C88" s="173" t="e">
        <v>#VALUE!</v>
      </c>
      <c r="D88" s="173" t="e">
        <v>#VALUE!</v>
      </c>
      <c r="E8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8" s="22" t="n">
        <v>87</v>
      </c>
      <c r="P88" s="25" t="s">
        <v>1056</v>
      </c>
    </row>
    <row r="89" spans="2:16">
      <c r="B89" s="52" t="e">
        <v>#VALUE!</v>
      </c>
      <c r="C89" s="173" t="e">
        <v>#VALUE!</v>
      </c>
      <c r="D89" s="173" t="e">
        <v>#VALUE!</v>
      </c>
      <c r="E8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9" s="22" t="n">
        <v>88</v>
      </c>
      <c r="P89" s="25" t="s">
        <v>1056</v>
      </c>
    </row>
    <row r="90" spans="2:16">
      <c r="B90" s="52" t="e">
        <v>#VALUE!</v>
      </c>
      <c r="C90" s="173" t="e">
        <v>#VALUE!</v>
      </c>
      <c r="D90" s="173" t="e">
        <v>#VALUE!</v>
      </c>
      <c r="E9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0" s="22" t="n">
        <v>89</v>
      </c>
      <c r="P90" s="25" t="s">
        <v>1056</v>
      </c>
    </row>
    <row r="91" spans="2:16">
      <c r="B91" s="52" t="e">
        <v>#VALUE!</v>
      </c>
      <c r="C91" s="173" t="e">
        <v>#VALUE!</v>
      </c>
      <c r="D91" s="173" t="e">
        <v>#VALUE!</v>
      </c>
      <c r="E9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1" s="22" t="n">
        <v>90</v>
      </c>
      <c r="P91" s="25" t="s">
        <v>1056</v>
      </c>
    </row>
    <row r="92" spans="2:16">
      <c r="B92" s="52" t="e">
        <v>#VALUE!</v>
      </c>
      <c r="C92" s="173" t="e">
        <v>#VALUE!</v>
      </c>
      <c r="D92" s="173" t="e">
        <v>#VALUE!</v>
      </c>
      <c r="E9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2" s="22" t="n">
        <v>91</v>
      </c>
      <c r="P92" s="25" t="s">
        <v>1056</v>
      </c>
    </row>
    <row r="93" spans="2:16">
      <c r="B93" s="52" t="e">
        <v>#VALUE!</v>
      </c>
      <c r="C93" s="173" t="e">
        <v>#VALUE!</v>
      </c>
      <c r="D93" s="173" t="e">
        <v>#VALUE!</v>
      </c>
      <c r="E9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3" s="22" t="n">
        <v>92</v>
      </c>
      <c r="P93" s="25" t="s">
        <v>1056</v>
      </c>
    </row>
    <row r="94" spans="2:16">
      <c r="B94" s="52" t="e">
        <v>#VALUE!</v>
      </c>
      <c r="C94" s="173" t="e">
        <v>#VALUE!</v>
      </c>
      <c r="D94" s="173" t="e">
        <v>#VALUE!</v>
      </c>
      <c r="E9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4" s="22" t="n">
        <v>93</v>
      </c>
      <c r="P94" s="25" t="s">
        <v>1056</v>
      </c>
    </row>
    <row r="95" spans="2:16">
      <c r="B95" s="52" t="e">
        <v>#VALUE!</v>
      </c>
      <c r="C95" s="173" t="e">
        <v>#VALUE!</v>
      </c>
      <c r="D95" s="173" t="e">
        <v>#VALUE!</v>
      </c>
      <c r="E9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5" s="22" t="n">
        <v>94</v>
      </c>
      <c r="P95" s="25" t="s">
        <v>1056</v>
      </c>
    </row>
    <row r="96" spans="2:16">
      <c r="B96" s="52" t="e">
        <v>#VALUE!</v>
      </c>
      <c r="C96" s="173" t="e">
        <v>#VALUE!</v>
      </c>
      <c r="D96" s="173" t="e">
        <v>#VALUE!</v>
      </c>
      <c r="E9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6" s="22" t="n">
        <v>95</v>
      </c>
      <c r="P96" s="25" t="s">
        <v>1056</v>
      </c>
    </row>
    <row r="97" spans="2:16">
      <c r="B97" s="52" t="e">
        <v>#VALUE!</v>
      </c>
      <c r="C97" s="173" t="e">
        <v>#VALUE!</v>
      </c>
      <c r="D97" s="173" t="e">
        <v>#VALUE!</v>
      </c>
      <c r="E9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7" s="22" t="n">
        <v>96</v>
      </c>
      <c r="P97" s="25" t="s">
        <v>1056</v>
      </c>
    </row>
    <row r="98" spans="2:16">
      <c r="B98" s="52" t="e">
        <v>#VALUE!</v>
      </c>
      <c r="C98" s="173" t="e">
        <v>#VALUE!</v>
      </c>
      <c r="D98" s="173" t="e">
        <v>#VALUE!</v>
      </c>
      <c r="E9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8" s="22" t="n">
        <v>97</v>
      </c>
      <c r="P98" s="25" t="s">
        <v>1056</v>
      </c>
    </row>
    <row r="99" spans="2:16">
      <c r="B99" s="52" t="e">
        <v>#VALUE!</v>
      </c>
      <c r="C99" s="173" t="e">
        <v>#VALUE!</v>
      </c>
      <c r="D99" s="173" t="e">
        <v>#VALUE!</v>
      </c>
      <c r="E9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9" s="22" t="n">
        <v>98</v>
      </c>
      <c r="P99" s="25" t="s">
        <v>1056</v>
      </c>
    </row>
    <row r="100" spans="2:16">
      <c r="B100" s="52" t="e">
        <v>#VALUE!</v>
      </c>
      <c r="C100" s="173" t="e">
        <v>#VALUE!</v>
      </c>
      <c r="D100" s="173" t="e">
        <v>#VALUE!</v>
      </c>
      <c r="E10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0" s="22" t="n">
        <v>99</v>
      </c>
      <c r="P100" s="25" t="s">
        <v>1056</v>
      </c>
    </row>
    <row r="101" spans="2:16">
      <c r="B101" s="52">
        <f>VLOOKUP(T_ApifImport[[#This Row],[Bilans]],T_Bilansi[],4,0)</f>
        <v>26</v>
      </c>
      <c r="C101" s="173" t="e">
        <v>#VALUE!</v>
      </c>
      <c r="D10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1" s="22" t="n">
        <v>100</v>
      </c>
      <c r="P101" s="25" t="s">
        <v>1056</v>
      </c>
    </row>
    <row r="102" spans="2:16">
      <c r="B102" s="52">
        <f>VLOOKUP(T_ApifImport[[#This Row],[Bilans]],T_Bilansi[],4,0)</f>
        <v>26</v>
      </c>
      <c r="C102" s="173" t="e">
        <v>#VALUE!</v>
      </c>
      <c r="D10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2" s="22" t="n">
        <v>101</v>
      </c>
      <c r="P102" s="25" t="s">
        <v>1056</v>
      </c>
    </row>
    <row r="103" spans="2:16">
      <c r="B103" s="52">
        <f>VLOOKUP(T_ApifImport[[#This Row],[Bilans]],T_Bilansi[],4,0)</f>
        <v>26</v>
      </c>
      <c r="C103" s="173" t="e">
        <v>#VALUE!</v>
      </c>
      <c r="D10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3" s="22" t="n">
        <v>102</v>
      </c>
      <c r="P103" s="25" t="s">
        <v>1056</v>
      </c>
    </row>
    <row r="104" spans="2:16">
      <c r="B104" s="52">
        <f>VLOOKUP(T_ApifImport[[#This Row],[Bilans]],T_Bilansi[],4,0)</f>
        <v>26</v>
      </c>
      <c r="C104" s="173" t="e">
        <v>#VALUE!</v>
      </c>
      <c r="D10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4" s="22" t="n">
        <v>103</v>
      </c>
      <c r="P104" s="25" t="s">
        <v>1056</v>
      </c>
    </row>
    <row r="105" spans="2:16">
      <c r="B105" s="52">
        <f>VLOOKUP(T_ApifImport[[#This Row],[Bilans]],T_Bilansi[],4,0)</f>
        <v>26</v>
      </c>
      <c r="C105" s="173" t="e">
        <v>#VALUE!</v>
      </c>
      <c r="D10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5" s="22" t="n">
        <v>104</v>
      </c>
      <c r="P105" s="25" t="s">
        <v>1056</v>
      </c>
    </row>
    <row r="106" spans="2:16">
      <c r="B106" s="52">
        <f>VLOOKUP(T_ApifImport[[#This Row],[Bilans]],T_Bilansi[],4,0)</f>
        <v>26</v>
      </c>
      <c r="C106" s="173" t="e">
        <v>#VALUE!</v>
      </c>
      <c r="D10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6" s="22" t="n">
        <v>105</v>
      </c>
      <c r="P106" s="25" t="s">
        <v>1056</v>
      </c>
    </row>
    <row r="107" spans="2:16">
      <c r="B107" s="52">
        <f>VLOOKUP(T_ApifImport[[#This Row],[Bilans]],T_Bilansi[],4,0)</f>
        <v>26</v>
      </c>
      <c r="C107" s="173" t="e">
        <v>#VALUE!</v>
      </c>
      <c r="D10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7" s="22" t="n">
        <v>106</v>
      </c>
      <c r="P107" s="25" t="s">
        <v>1056</v>
      </c>
    </row>
    <row r="108" spans="2:16">
      <c r="B108" s="52">
        <f>VLOOKUP(T_ApifImport[[#This Row],[Bilans]],T_Bilansi[],4,0)</f>
        <v>26</v>
      </c>
      <c r="C108" s="173" t="e">
        <v>#VALUE!</v>
      </c>
      <c r="D10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8" s="22" t="n">
        <v>107</v>
      </c>
      <c r="P108" s="25" t="s">
        <v>1056</v>
      </c>
    </row>
    <row r="109" spans="2:16">
      <c r="B109" s="52">
        <f>VLOOKUP(T_ApifImport[[#This Row],[Bilans]],T_Bilansi[],4,0)</f>
        <v>26</v>
      </c>
      <c r="C109" s="173" t="e">
        <v>#VALUE!</v>
      </c>
      <c r="D10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9" s="22" t="n">
        <v>108</v>
      </c>
      <c r="P109" s="25" t="s">
        <v>1056</v>
      </c>
    </row>
    <row r="110" spans="2:16">
      <c r="B110" s="52">
        <f>VLOOKUP(T_ApifImport[[#This Row],[Bilans]],T_Bilansi[],4,0)</f>
        <v>26</v>
      </c>
      <c r="C110" s="173" t="e">
        <v>#VALUE!</v>
      </c>
      <c r="D11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0" s="22" t="n">
        <v>109</v>
      </c>
      <c r="P110" s="25" t="s">
        <v>1056</v>
      </c>
    </row>
    <row r="111" spans="2:16">
      <c r="B111" s="52">
        <f>VLOOKUP(T_ApifImport[[#This Row],[Bilans]],T_Bilansi[],4,0)</f>
        <v>26</v>
      </c>
      <c r="C111" s="173" t="e">
        <v>#VALUE!</v>
      </c>
      <c r="D11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1" s="22" t="n">
        <v>110</v>
      </c>
      <c r="P111" s="25" t="s">
        <v>1056</v>
      </c>
    </row>
    <row r="112" spans="2:16">
      <c r="B112" s="52">
        <f>VLOOKUP(T_ApifImport[[#This Row],[Bilans]],T_Bilansi[],4,0)</f>
        <v>26</v>
      </c>
      <c r="C112" s="173" t="e">
        <v>#VALUE!</v>
      </c>
      <c r="D11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2" s="22" t="n">
        <v>111</v>
      </c>
      <c r="P112" s="25" t="s">
        <v>1056</v>
      </c>
    </row>
    <row r="113" spans="2:16">
      <c r="B113" s="52">
        <f>VLOOKUP(T_ApifImport[[#This Row],[Bilans]],T_Bilansi[],4,0)</f>
        <v>26</v>
      </c>
      <c r="C113" s="173" t="e">
        <v>#VALUE!</v>
      </c>
      <c r="D11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3" s="22" t="n">
        <v>112</v>
      </c>
      <c r="P113" s="25" t="s">
        <v>1056</v>
      </c>
    </row>
    <row r="114" spans="2:16">
      <c r="B114" s="52">
        <f>VLOOKUP(T_ApifImport[[#This Row],[Bilans]],T_Bilansi[],4,0)</f>
        <v>26</v>
      </c>
      <c r="C114" s="173" t="e">
        <v>#VALUE!</v>
      </c>
      <c r="D11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4" s="22" t="n">
        <v>113</v>
      </c>
      <c r="P114" s="25" t="s">
        <v>1056</v>
      </c>
    </row>
    <row r="115" spans="2:16">
      <c r="B115" s="52">
        <f>VLOOKUP(T_ApifImport[[#This Row],[Bilans]],T_Bilansi[],4,0)</f>
        <v>26</v>
      </c>
      <c r="C115" s="173" t="e">
        <v>#VALUE!</v>
      </c>
      <c r="D11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5" s="22" t="n">
        <v>114</v>
      </c>
      <c r="P115" s="25" t="s">
        <v>1056</v>
      </c>
    </row>
    <row r="116" spans="2:16">
      <c r="B116" s="52">
        <f>VLOOKUP(T_ApifImport[[#This Row],[Bilans]],T_Bilansi[],4,0)</f>
        <v>26</v>
      </c>
      <c r="C116" s="173" t="e">
        <v>#VALUE!</v>
      </c>
      <c r="D11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6" s="22" t="n">
        <v>115</v>
      </c>
      <c r="P116" s="25" t="s">
        <v>1056</v>
      </c>
    </row>
    <row r="117" spans="2:16">
      <c r="B117" s="52">
        <f>VLOOKUP(T_ApifImport[[#This Row],[Bilans]],T_Bilansi[],4,0)</f>
        <v>26</v>
      </c>
      <c r="C117" s="173" t="e">
        <v>#VALUE!</v>
      </c>
      <c r="D11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7" s="22" t="n">
        <v>116</v>
      </c>
      <c r="P117" s="25" t="s">
        <v>1056</v>
      </c>
    </row>
    <row r="118" spans="2:16">
      <c r="B118" s="52">
        <f>VLOOKUP(T_ApifImport[[#This Row],[Bilans]],T_Bilansi[],4,0)</f>
        <v>26</v>
      </c>
      <c r="C118" s="173" t="e">
        <v>#VALUE!</v>
      </c>
      <c r="D11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8" s="22" t="n">
        <v>117</v>
      </c>
      <c r="P118" s="25" t="s">
        <v>1056</v>
      </c>
    </row>
    <row r="119" spans="2:16">
      <c r="B119" s="52">
        <f>VLOOKUP(T_ApifImport[[#This Row],[Bilans]],T_Bilansi[],4,0)</f>
        <v>26</v>
      </c>
      <c r="C119" s="173" t="e">
        <v>#VALUE!</v>
      </c>
      <c r="D11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9" s="22" t="n">
        <v>118</v>
      </c>
      <c r="P119" s="25" t="s">
        <v>1056</v>
      </c>
    </row>
    <row r="120" spans="2:16">
      <c r="B120" s="52">
        <f>VLOOKUP(T_ApifImport[[#This Row],[Bilans]],T_Bilansi[],4,0)</f>
        <v>26</v>
      </c>
      <c r="C120" s="173" t="e">
        <v>#VALUE!</v>
      </c>
      <c r="D12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0" s="22" t="n">
        <v>119</v>
      </c>
      <c r="P120" s="25" t="s">
        <v>1056</v>
      </c>
    </row>
    <row r="121" spans="2:16">
      <c r="B121" s="52">
        <f>VLOOKUP(T_ApifImport[[#This Row],[Bilans]],T_Bilansi[],4,0)</f>
        <v>26</v>
      </c>
      <c r="C121" s="173" t="e">
        <v>#VALUE!</v>
      </c>
      <c r="D12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1" s="22" t="n">
        <v>120</v>
      </c>
      <c r="P121" s="25" t="s">
        <v>1056</v>
      </c>
    </row>
    <row r="122" spans="2:16">
      <c r="B122" s="52">
        <f>VLOOKUP(T_ApifImport[[#This Row],[Bilans]],T_Bilansi[],4,0)</f>
        <v>26</v>
      </c>
      <c r="C122" s="173" t="e">
        <v>#VALUE!</v>
      </c>
      <c r="D12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2" s="22" t="n">
        <v>121</v>
      </c>
      <c r="P122" s="25" t="s">
        <v>1056</v>
      </c>
    </row>
    <row r="123" spans="2:16">
      <c r="B123" s="52">
        <f>VLOOKUP(T_ApifImport[[#This Row],[Bilans]],T_Bilansi[],4,0)</f>
        <v>26</v>
      </c>
      <c r="C123" s="173" t="e">
        <v>#VALUE!</v>
      </c>
      <c r="D12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3" s="22" t="n">
        <v>122</v>
      </c>
      <c r="P123" s="25" t="s">
        <v>1056</v>
      </c>
    </row>
    <row r="124" spans="2:16">
      <c r="B124" s="52">
        <f>VLOOKUP(T_ApifImport[[#This Row],[Bilans]],T_Bilansi[],4,0)</f>
        <v>26</v>
      </c>
      <c r="C124" s="173" t="e">
        <v>#VALUE!</v>
      </c>
      <c r="D12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4" s="22" t="n">
        <v>123</v>
      </c>
      <c r="P124" s="25" t="s">
        <v>1056</v>
      </c>
    </row>
    <row r="125" spans="2:16">
      <c r="B125" s="52">
        <f>VLOOKUP(T_ApifImport[[#This Row],[Bilans]],T_Bilansi[],4,0)</f>
        <v>26</v>
      </c>
      <c r="C125" s="173" t="e">
        <v>#VALUE!</v>
      </c>
      <c r="D12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5" s="22" t="n">
        <v>124</v>
      </c>
      <c r="P125" s="25" t="s">
        <v>1056</v>
      </c>
    </row>
    <row r="126" spans="2:16">
      <c r="B126" s="52">
        <f>VLOOKUP(T_ApifImport[[#This Row],[Bilans]],T_Bilansi[],4,0)</f>
        <v>26</v>
      </c>
      <c r="C126" s="173" t="e">
        <v>#VALUE!</v>
      </c>
      <c r="D12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6" s="22" t="n">
        <v>125</v>
      </c>
      <c r="P126" s="25" t="s">
        <v>1056</v>
      </c>
    </row>
    <row r="127" spans="2:16">
      <c r="B127" s="52">
        <f>VLOOKUP(T_ApifImport[[#This Row],[Bilans]],T_Bilansi[],4,0)</f>
        <v>26</v>
      </c>
      <c r="C127" s="173" t="e">
        <v>#VALUE!</v>
      </c>
      <c r="D12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7" s="22" t="n">
        <v>126</v>
      </c>
      <c r="P127" s="25" t="s">
        <v>1056</v>
      </c>
    </row>
    <row r="128" spans="2:16">
      <c r="B128" s="52">
        <f>VLOOKUP(T_ApifImport[[#This Row],[Bilans]],T_Bilansi[],4,0)</f>
        <v>26</v>
      </c>
      <c r="C128" s="173" t="e">
        <v>#VALUE!</v>
      </c>
      <c r="D12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8" s="22" t="n">
        <v>127</v>
      </c>
      <c r="P128" s="25" t="s">
        <v>1056</v>
      </c>
    </row>
    <row r="129" spans="2:16">
      <c r="B129" s="52">
        <f>VLOOKUP(T_ApifImport[[#This Row],[Bilans]],T_Bilansi[],4,0)</f>
        <v>26</v>
      </c>
      <c r="C129" s="173" t="e">
        <v>#VALUE!</v>
      </c>
      <c r="D12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9" s="22" t="n">
        <v>128</v>
      </c>
      <c r="P129" s="25" t="s">
        <v>1056</v>
      </c>
    </row>
    <row r="130" spans="2:16">
      <c r="B130" s="52">
        <f>VLOOKUP(T_ApifImport[[#This Row],[Bilans]],T_Bilansi[],4,0)</f>
        <v>26</v>
      </c>
      <c r="C130" s="173" t="e">
        <v>#VALUE!</v>
      </c>
      <c r="D13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0" s="22" t="n">
        <v>129</v>
      </c>
      <c r="P130" s="25" t="s">
        <v>1056</v>
      </c>
    </row>
    <row r="131" spans="2:16">
      <c r="B131" s="52">
        <f>VLOOKUP(T_ApifImport[[#This Row],[Bilans]],T_Bilansi[],4,0)</f>
        <v>26</v>
      </c>
      <c r="C131" s="173" t="e">
        <v>#VALUE!</v>
      </c>
      <c r="D13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1" s="22" t="n">
        <v>130</v>
      </c>
      <c r="P131" s="25" t="s">
        <v>1056</v>
      </c>
    </row>
    <row r="132" spans="2:16">
      <c r="B132" s="52">
        <f>VLOOKUP(T_ApifImport[[#This Row],[Bilans]],T_Bilansi[],4,0)</f>
        <v>26</v>
      </c>
      <c r="C132" s="173" t="e">
        <v>#VALUE!</v>
      </c>
      <c r="D13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2" s="22" t="n">
        <v>131</v>
      </c>
      <c r="P132" s="25" t="s">
        <v>1056</v>
      </c>
    </row>
    <row r="133" spans="2:16">
      <c r="B133" s="52">
        <f>VLOOKUP(T_ApifImport[[#This Row],[Bilans]],T_Bilansi[],4,0)</f>
        <v>26</v>
      </c>
      <c r="C133" s="173" t="e">
        <v>#VALUE!</v>
      </c>
      <c r="D13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3" s="22" t="n">
        <v>132</v>
      </c>
      <c r="P133" s="25" t="s">
        <v>1056</v>
      </c>
    </row>
    <row r="134" spans="2:16">
      <c r="B134" s="52">
        <f>VLOOKUP(T_ApifImport[[#This Row],[Bilans]],T_Bilansi[],4,0)</f>
        <v>26</v>
      </c>
      <c r="C134" s="173" t="e">
        <v>#VALUE!</v>
      </c>
      <c r="D13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4" s="22" t="n">
        <v>133</v>
      </c>
      <c r="P134" s="25" t="s">
        <v>1056</v>
      </c>
    </row>
    <row r="135" spans="2:16">
      <c r="B135" s="52">
        <f>VLOOKUP(T_ApifImport[[#This Row],[Bilans]],T_Bilansi[],4,0)</f>
        <v>26</v>
      </c>
      <c r="C135" s="173" t="e">
        <v>#VALUE!</v>
      </c>
      <c r="D13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5" s="22" t="n">
        <v>134</v>
      </c>
      <c r="P135" s="25" t="s">
        <v>1056</v>
      </c>
    </row>
    <row r="136" spans="2:16">
      <c r="B136" s="52">
        <f>VLOOKUP(T_ApifImport[[#This Row],[Bilans]],T_Bilansi[],4,0)</f>
        <v>26</v>
      </c>
      <c r="C136" s="173" t="e">
        <v>#VALUE!</v>
      </c>
      <c r="D13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6" s="22" t="n">
        <v>135</v>
      </c>
      <c r="P136" s="25" t="s">
        <v>1056</v>
      </c>
    </row>
    <row r="137" spans="2:16">
      <c r="B137" s="52">
        <f>VLOOKUP(T_ApifImport[[#This Row],[Bilans]],T_Bilansi[],4,0)</f>
        <v>26</v>
      </c>
      <c r="C137" s="173" t="e">
        <v>#VALUE!</v>
      </c>
      <c r="D13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7" s="22" t="n">
        <v>137</v>
      </c>
      <c r="P137" s="25" t="s">
        <v>1056</v>
      </c>
    </row>
    <row r="138" spans="2:16">
      <c r="B138" s="372">
        <f>VLOOKUP(T_ApifImport[[#This Row],[Bilans]],T_Bilansi[],4,0)</f>
        <v>26</v>
      </c>
      <c r="C138" s="196" t="e">
        <v>#VALUE!</v>
      </c>
      <c r="D13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8" s="197"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8" s="197" t="e">
        <f aca="1">IF(ISNA(VLOOKUP(T_ApifImport[[#This Row],[Bilans]:[Bilans]]&amp;T_ApifImport[[#Headers],[Kolona2]],T_ApifKolone[],4,0)),"",VLOOKUP(T_ApifImport[[#This Row],[AOP]:[AOP]],INDIRECT("Lookup_"&amp;T_ApifImport[[#This Row],[Bilans]:[Bilans]]),VLOOKUP(T_ApifImport[[#This Row],[Bilans]:[Bilans]]&amp;T_ApifImport[[#Headers],[Kolona2]],T_ApifKolone[],4,0),0))</f>
        <v>#N/A</v>
      </c>
      <c r="G138" s="197" t="str">
        <f aca="1">IF(ISNA(VLOOKUP(T_ApifImport[[#This Row],[Bilans]:[Bilans]]&amp;T_ApifImport[[#Headers],[Kolona3]],T_ApifKolone[],4,0)),"",VLOOKUP(T_ApifImport[[#This Row],[AOP]:[AOP]],INDIRECT("Lookup_"&amp;T_ApifImport[[#This Row],[Bilans]:[Bilans]]),VLOOKUP(T_ApifImport[[#This Row],[Bilans]:[Bilans]]&amp;T_ApifImport[[#Headers],[Kolona3]],T_ApifKolone[],4,0),0))</f>
        <v/>
      </c>
      <c r="H138" s="197" t="str">
        <f aca="1">IF(ISNA(VLOOKUP(T_ApifImport[[#This Row],[Bilans]:[Bilans]]&amp;T_ApifImport[[#Headers],[Kolona4]],T_ApifKolone[],4,0)),"",VLOOKUP(T_ApifImport[[#This Row],[AOP]:[AOP]],INDIRECT("Lookup_"&amp;T_ApifImport[[#This Row],[Bilans]:[Bilans]]),VLOOKUP(T_ApifImport[[#This Row],[Bilans]:[Bilans]]&amp;T_ApifImport[[#Headers],[Kolona4]],T_ApifKolone[],4,0),0))</f>
        <v/>
      </c>
      <c r="I138" s="197" t="str">
        <f aca="1">IF(ISNA(VLOOKUP(T_ApifImport[[#This Row],[Bilans]:[Bilans]]&amp;T_ApifImport[[#Headers],[Kolona5]],T_ApifKolone[],4,0)),"",VLOOKUP(T_ApifImport[[#This Row],[AOP]:[AOP]],INDIRECT("Lookup_"&amp;T_ApifImport[[#This Row],[Bilans]:[Bilans]]),VLOOKUP(T_ApifImport[[#This Row],[Bilans]:[Bilans]]&amp;T_ApifImport[[#Headers],[Kolona5]],T_ApifKolone[],4,0),0))</f>
        <v/>
      </c>
      <c r="J1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8" s="195" t="n">
        <v>138</v>
      </c>
      <c r="P138" s="197" t="s">
        <v>1056</v>
      </c>
    </row>
    <row r="139" spans="2:16">
      <c r="B139" s="52">
        <f>VLOOKUP(T_ApifImport[[#This Row],[Bilans]],T_Bilansi[],4,0)</f>
        <v>27</v>
      </c>
      <c r="C139" s="173" t="e">
        <v>#VALUE!</v>
      </c>
      <c r="D13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9" s="22" t="n">
        <v>139</v>
      </c>
      <c r="P139" s="25" t="s">
        <v>297</v>
      </c>
    </row>
    <row r="140" spans="2:16">
      <c r="B140" s="52">
        <f>VLOOKUP(T_ApifImport[[#This Row],[Bilans]],T_Bilansi[],4,0)</f>
        <v>27</v>
      </c>
      <c r="C140" s="173" t="e">
        <v>#VALUE!</v>
      </c>
      <c r="D14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0" s="22" t="n">
        <v>140</v>
      </c>
      <c r="P140" s="25" t="s">
        <v>297</v>
      </c>
    </row>
    <row r="141" spans="2:16">
      <c r="B141" s="52">
        <f>VLOOKUP(T_ApifImport[[#This Row],[Bilans]],T_Bilansi[],4,0)</f>
        <v>27</v>
      </c>
      <c r="C141" s="173" t="e">
        <v>#VALUE!</v>
      </c>
      <c r="D14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1" s="22" t="n">
        <v>141</v>
      </c>
      <c r="P141" s="25" t="s">
        <v>297</v>
      </c>
    </row>
    <row r="142" spans="2:16">
      <c r="B142" s="52">
        <f>VLOOKUP(T_ApifImport[[#This Row],[Bilans]],T_Bilansi[],4,0)</f>
        <v>27</v>
      </c>
      <c r="C142" s="173" t="e">
        <v>#VALUE!</v>
      </c>
      <c r="D14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2" s="22" t="n">
        <v>142</v>
      </c>
      <c r="P142" s="25" t="s">
        <v>297</v>
      </c>
    </row>
    <row r="143" spans="2:16">
      <c r="B143" s="52">
        <f>VLOOKUP(T_ApifImport[[#This Row],[Bilans]],T_Bilansi[],4,0)</f>
        <v>27</v>
      </c>
      <c r="C143" s="173" t="e">
        <v>#VALUE!</v>
      </c>
      <c r="D14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3" s="22" t="n">
        <v>143</v>
      </c>
      <c r="P143" s="25" t="s">
        <v>297</v>
      </c>
    </row>
    <row r="144" spans="2:16">
      <c r="B144" s="52">
        <f>VLOOKUP(T_ApifImport[[#This Row],[Bilans]],T_Bilansi[],4,0)</f>
        <v>27</v>
      </c>
      <c r="C144" s="173" t="e">
        <v>#VALUE!</v>
      </c>
      <c r="D14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4" s="22" t="n">
        <v>144</v>
      </c>
      <c r="P144" s="25" t="s">
        <v>297</v>
      </c>
    </row>
    <row r="145" spans="2:16">
      <c r="B145" s="52">
        <f>VLOOKUP(T_ApifImport[[#This Row],[Bilans]],T_Bilansi[],4,0)</f>
        <v>27</v>
      </c>
      <c r="C145" s="173" t="e">
        <v>#VALUE!</v>
      </c>
      <c r="D14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5" s="22" t="n">
        <v>145</v>
      </c>
      <c r="P145" s="25" t="s">
        <v>297</v>
      </c>
    </row>
    <row r="146" spans="2:16">
      <c r="B146" s="52">
        <f>VLOOKUP(T_ApifImport[[#This Row],[Bilans]],T_Bilansi[],4,0)</f>
        <v>27</v>
      </c>
      <c r="C146" s="173" t="e">
        <v>#VALUE!</v>
      </c>
      <c r="D14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6" s="22" t="n">
        <v>146</v>
      </c>
      <c r="P146" s="25" t="s">
        <v>297</v>
      </c>
    </row>
    <row r="147" spans="2:16">
      <c r="B147" s="52">
        <f>VLOOKUP(T_ApifImport[[#This Row],[Bilans]],T_Bilansi[],4,0)</f>
        <v>27</v>
      </c>
      <c r="C147" s="173" t="e">
        <v>#VALUE!</v>
      </c>
      <c r="D14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7" s="22" t="n">
        <v>147</v>
      </c>
      <c r="P147" s="25" t="s">
        <v>297</v>
      </c>
    </row>
    <row r="148" spans="2:16">
      <c r="B148" s="52">
        <f>VLOOKUP(T_ApifImport[[#This Row],[Bilans]],T_Bilansi[],4,0)</f>
        <v>27</v>
      </c>
      <c r="C148" s="173" t="e">
        <v>#VALUE!</v>
      </c>
      <c r="D14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8" s="22" t="n">
        <v>148</v>
      </c>
      <c r="P148" s="25" t="s">
        <v>297</v>
      </c>
    </row>
    <row r="149" spans="2:16">
      <c r="B149" s="52">
        <f>VLOOKUP(T_ApifImport[[#This Row],[Bilans]],T_Bilansi[],4,0)</f>
        <v>27</v>
      </c>
      <c r="C149" s="173" t="e">
        <v>#VALUE!</v>
      </c>
      <c r="D14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9" s="22" t="n">
        <v>149</v>
      </c>
      <c r="P149" s="25" t="s">
        <v>297</v>
      </c>
    </row>
    <row r="150" spans="2:16">
      <c r="B150" s="52">
        <f>VLOOKUP(T_ApifImport[[#This Row],[Bilans]],T_Bilansi[],4,0)</f>
        <v>27</v>
      </c>
      <c r="C150" s="173" t="e">
        <v>#VALUE!</v>
      </c>
      <c r="D15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0" s="22" t="n">
        <v>150</v>
      </c>
      <c r="P150" s="25" t="s">
        <v>297</v>
      </c>
    </row>
    <row r="151" spans="2:16">
      <c r="B151" s="52">
        <f>VLOOKUP(T_ApifImport[[#This Row],[Bilans]],T_Bilansi[],4,0)</f>
        <v>27</v>
      </c>
      <c r="C151" s="173" t="e">
        <v>#VALUE!</v>
      </c>
      <c r="D15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1" s="22" t="n">
        <v>151</v>
      </c>
      <c r="P151" s="25" t="s">
        <v>297</v>
      </c>
    </row>
    <row r="152" spans="2:16">
      <c r="B152" s="52">
        <f>VLOOKUP(T_ApifImport[[#This Row],[Bilans]],T_Bilansi[],4,0)</f>
        <v>27</v>
      </c>
      <c r="C152" s="173" t="e">
        <v>#VALUE!</v>
      </c>
      <c r="D15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2" s="22" t="n">
        <v>152</v>
      </c>
      <c r="P152" s="25" t="s">
        <v>297</v>
      </c>
    </row>
    <row r="153" spans="2:16">
      <c r="B153" s="52">
        <f>VLOOKUP(T_ApifImport[[#This Row],[Bilans]],T_Bilansi[],4,0)</f>
        <v>27</v>
      </c>
      <c r="C153" s="173" t="e">
        <v>#VALUE!</v>
      </c>
      <c r="D15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3" s="22" t="n">
        <v>153</v>
      </c>
      <c r="P153" s="25" t="s">
        <v>297</v>
      </c>
    </row>
    <row r="154" spans="2:16">
      <c r="B154" s="52">
        <f>VLOOKUP(T_ApifImport[[#This Row],[Bilans]],T_Bilansi[],4,0)</f>
        <v>27</v>
      </c>
      <c r="C154" s="173" t="e">
        <v>#VALUE!</v>
      </c>
      <c r="D15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4" s="22" t="n">
        <v>154</v>
      </c>
      <c r="P154" s="25" t="s">
        <v>297</v>
      </c>
    </row>
    <row r="155" spans="2:16">
      <c r="B155" s="52">
        <f>VLOOKUP(T_ApifImport[[#This Row],[Bilans]],T_Bilansi[],4,0)</f>
        <v>27</v>
      </c>
      <c r="C155" s="173" t="e">
        <v>#VALUE!</v>
      </c>
      <c r="D15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5" s="22" t="n">
        <v>155</v>
      </c>
      <c r="P155" s="25" t="s">
        <v>297</v>
      </c>
    </row>
    <row r="156" spans="2:16">
      <c r="B156" s="52">
        <f>VLOOKUP(T_ApifImport[[#This Row],[Bilans]],T_Bilansi[],4,0)</f>
        <v>27</v>
      </c>
      <c r="C156" s="173" t="e">
        <v>#VALUE!</v>
      </c>
      <c r="D15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6" s="22" t="n">
        <v>156</v>
      </c>
      <c r="P156" s="25" t="s">
        <v>297</v>
      </c>
    </row>
    <row r="157" spans="2:16">
      <c r="B157" s="52">
        <f>VLOOKUP(T_ApifImport[[#This Row],[Bilans]],T_Bilansi[],4,0)</f>
        <v>27</v>
      </c>
      <c r="C157" s="173" t="e">
        <v>#VALUE!</v>
      </c>
      <c r="D15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7" s="22" t="n">
        <v>157</v>
      </c>
      <c r="P157" s="25" t="s">
        <v>297</v>
      </c>
    </row>
    <row r="158" spans="2:16">
      <c r="B158" s="52">
        <f>VLOOKUP(T_ApifImport[[#This Row],[Bilans]],T_Bilansi[],4,0)</f>
        <v>27</v>
      </c>
      <c r="C158" s="173" t="e">
        <v>#VALUE!</v>
      </c>
      <c r="D15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8" s="22" t="n">
        <v>158</v>
      </c>
      <c r="P158" s="25" t="s">
        <v>297</v>
      </c>
    </row>
    <row r="159" spans="2:16">
      <c r="B159" s="52">
        <f>VLOOKUP(T_ApifImport[[#This Row],[Bilans]],T_Bilansi[],4,0)</f>
        <v>27</v>
      </c>
      <c r="C159" s="173" t="e">
        <v>#VALUE!</v>
      </c>
      <c r="D15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9" s="22" t="n">
        <v>159</v>
      </c>
      <c r="P159" s="25" t="s">
        <v>297</v>
      </c>
    </row>
    <row r="160" spans="2:16">
      <c r="B160" s="52">
        <f>VLOOKUP(T_ApifImport[[#This Row],[Bilans]],T_Bilansi[],4,0)</f>
        <v>27</v>
      </c>
      <c r="C160" s="173" t="e">
        <v>#VALUE!</v>
      </c>
      <c r="D16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0" s="22" t="n">
        <v>160</v>
      </c>
      <c r="P160" s="25" t="s">
        <v>297</v>
      </c>
    </row>
    <row r="161" spans="2:16">
      <c r="B161" s="52">
        <f>VLOOKUP(T_ApifImport[[#This Row],[Bilans]],T_Bilansi[],4,0)</f>
        <v>27</v>
      </c>
      <c r="C161" s="173" t="e">
        <v>#VALUE!</v>
      </c>
      <c r="D16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1" s="22" t="n">
        <v>161</v>
      </c>
      <c r="P161" s="25" t="s">
        <v>297</v>
      </c>
    </row>
    <row r="162" spans="2:16">
      <c r="B162" s="52">
        <f>VLOOKUP(T_ApifImport[[#This Row],[Bilans]],T_Bilansi[],4,0)</f>
        <v>27</v>
      </c>
      <c r="C162" s="173" t="e">
        <v>#VALUE!</v>
      </c>
      <c r="D16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2" s="22" t="n">
        <v>162</v>
      </c>
      <c r="P162" s="25" t="s">
        <v>297</v>
      </c>
    </row>
    <row r="163" spans="2:16">
      <c r="B163" s="52">
        <f>VLOOKUP(T_ApifImport[[#This Row],[Bilans]],T_Bilansi[],4,0)</f>
        <v>27</v>
      </c>
      <c r="C163" s="173" t="e">
        <v>#VALUE!</v>
      </c>
      <c r="D16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3" s="22" t="n">
        <v>163</v>
      </c>
      <c r="P163" s="25" t="s">
        <v>297</v>
      </c>
    </row>
    <row r="164" spans="2:16">
      <c r="B164" s="52">
        <f>VLOOKUP(T_ApifImport[[#This Row],[Bilans]],T_Bilansi[],4,0)</f>
        <v>27</v>
      </c>
      <c r="C164" s="173" t="e">
        <v>#VALUE!</v>
      </c>
      <c r="D16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4" s="22" t="n">
        <v>164</v>
      </c>
      <c r="P164" s="25" t="s">
        <v>297</v>
      </c>
    </row>
    <row r="165" spans="2:16">
      <c r="B165" s="52">
        <f>VLOOKUP(T_ApifImport[[#This Row],[Bilans]],T_Bilansi[],4,0)</f>
        <v>27</v>
      </c>
      <c r="C165" s="173" t="e">
        <v>#VALUE!</v>
      </c>
      <c r="D16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5" s="22" t="n">
        <v>165</v>
      </c>
      <c r="P165" s="25" t="s">
        <v>297</v>
      </c>
    </row>
    <row r="166" spans="2:16">
      <c r="B166" s="52">
        <f>VLOOKUP(T_ApifImport[[#This Row],[Bilans]],T_Bilansi[],4,0)</f>
        <v>27</v>
      </c>
      <c r="C166" s="173" t="e">
        <v>#VALUE!</v>
      </c>
      <c r="D16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6" s="22" t="n">
        <v>166</v>
      </c>
      <c r="P166" s="25" t="s">
        <v>297</v>
      </c>
    </row>
    <row r="167" spans="2:16">
      <c r="B167" s="52">
        <f>VLOOKUP(T_ApifImport[[#This Row],[Bilans]],T_Bilansi[],4,0)</f>
        <v>27</v>
      </c>
      <c r="C167" s="173" t="e">
        <v>#VALUE!</v>
      </c>
      <c r="D16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7" s="22" t="n">
        <v>167</v>
      </c>
      <c r="P167" s="25" t="s">
        <v>297</v>
      </c>
    </row>
    <row r="168" spans="2:16">
      <c r="B168" s="52">
        <f>VLOOKUP(T_ApifImport[[#This Row],[Bilans]],T_Bilansi[],4,0)</f>
        <v>27</v>
      </c>
      <c r="C168" s="173" t="e">
        <v>#VALUE!</v>
      </c>
      <c r="D16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8" s="22" t="n">
        <v>168</v>
      </c>
      <c r="P168" s="25" t="s">
        <v>297</v>
      </c>
    </row>
    <row r="169" spans="2:16">
      <c r="B169" s="52">
        <f>VLOOKUP(T_ApifImport[[#This Row],[Bilans]],T_Bilansi[],4,0)</f>
        <v>27</v>
      </c>
      <c r="C169" s="173" t="e">
        <v>#VALUE!</v>
      </c>
      <c r="D16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9" s="22" t="n">
        <v>169</v>
      </c>
      <c r="P169" s="25" t="s">
        <v>297</v>
      </c>
    </row>
    <row r="170" spans="2:16">
      <c r="B170" s="52">
        <f>VLOOKUP(T_ApifImport[[#This Row],[Bilans]],T_Bilansi[],4,0)</f>
        <v>27</v>
      </c>
      <c r="C170" s="173" t="e">
        <v>#VALUE!</v>
      </c>
      <c r="D17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0" s="22" t="n">
        <v>170</v>
      </c>
      <c r="P170" s="25" t="s">
        <v>297</v>
      </c>
    </row>
    <row r="171" spans="2:16">
      <c r="B171" s="52">
        <f>VLOOKUP(T_ApifImport[[#This Row],[Bilans]],T_Bilansi[],4,0)</f>
        <v>27</v>
      </c>
      <c r="C171" s="173" t="e">
        <v>#VALUE!</v>
      </c>
      <c r="D17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1" s="22" t="n">
        <v>171</v>
      </c>
      <c r="P171" s="25" t="s">
        <v>297</v>
      </c>
    </row>
    <row r="172" spans="2:16">
      <c r="B172" s="52">
        <f>VLOOKUP(T_ApifImport[[#This Row],[Bilans]],T_Bilansi[],4,0)</f>
        <v>27</v>
      </c>
      <c r="C172" s="173" t="e">
        <v>#VALUE!</v>
      </c>
      <c r="D17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2" s="22" t="n">
        <v>172</v>
      </c>
      <c r="P172" s="25" t="s">
        <v>297</v>
      </c>
    </row>
    <row r="173" spans="2:16">
      <c r="B173" s="52">
        <f>VLOOKUP(T_ApifImport[[#This Row],[Bilans]],T_Bilansi[],4,0)</f>
        <v>27</v>
      </c>
      <c r="C173" s="173" t="e">
        <v>#VALUE!</v>
      </c>
      <c r="D17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3" s="22" t="n">
        <v>173</v>
      </c>
      <c r="P173" s="25" t="s">
        <v>297</v>
      </c>
    </row>
    <row r="174" spans="2:16">
      <c r="B174" s="52">
        <f>VLOOKUP(T_ApifImport[[#This Row],[Bilans]],T_Bilansi[],4,0)</f>
        <v>27</v>
      </c>
      <c r="C174" s="173" t="e">
        <v>#VALUE!</v>
      </c>
      <c r="D17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4" s="22" t="n">
        <v>174</v>
      </c>
      <c r="P174" s="25" t="s">
        <v>297</v>
      </c>
    </row>
    <row r="175" spans="2:16">
      <c r="B175" s="52">
        <f>VLOOKUP(T_ApifImport[[#This Row],[Bilans]],T_Bilansi[],4,0)</f>
        <v>27</v>
      </c>
      <c r="C175" s="173" t="e">
        <v>#VALUE!</v>
      </c>
      <c r="D17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5" s="22" t="n">
        <v>175</v>
      </c>
      <c r="P175" s="25" t="s">
        <v>297</v>
      </c>
    </row>
    <row r="176" spans="2:16">
      <c r="B176" s="52">
        <f>VLOOKUP(T_ApifImport[[#This Row],[Bilans]],T_Bilansi[],4,0)</f>
        <v>27</v>
      </c>
      <c r="C176" s="173" t="e">
        <v>#VALUE!</v>
      </c>
      <c r="D17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6" s="22" t="n">
        <v>176</v>
      </c>
      <c r="P176" s="25" t="s">
        <v>297</v>
      </c>
    </row>
    <row r="177" spans="2:16">
      <c r="B177" s="52">
        <f>VLOOKUP(T_ApifImport[[#This Row],[Bilans]],T_Bilansi[],4,0)</f>
        <v>27</v>
      </c>
      <c r="C177" s="173" t="e">
        <v>#VALUE!</v>
      </c>
      <c r="D17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7" s="22" t="n">
        <v>177</v>
      </c>
      <c r="P177" s="25" t="s">
        <v>297</v>
      </c>
    </row>
    <row r="178" spans="2:16">
      <c r="B178" s="52">
        <f>VLOOKUP(T_ApifImport[[#This Row],[Bilans]],T_Bilansi[],4,0)</f>
        <v>27</v>
      </c>
      <c r="C178" s="173" t="e">
        <v>#VALUE!</v>
      </c>
      <c r="D17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8" s="22" t="n">
        <v>178</v>
      </c>
      <c r="P178" s="25" t="s">
        <v>297</v>
      </c>
    </row>
    <row r="179" spans="2:16">
      <c r="B179" s="52">
        <f>VLOOKUP(T_ApifImport[[#This Row],[Bilans]],T_Bilansi[],4,0)</f>
        <v>27</v>
      </c>
      <c r="C179" s="173" t="e">
        <v>#VALUE!</v>
      </c>
      <c r="D17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9" s="22" t="n">
        <v>179</v>
      </c>
      <c r="P179" s="25" t="s">
        <v>297</v>
      </c>
    </row>
    <row r="180" spans="2:16">
      <c r="B180" s="52">
        <f>VLOOKUP(T_ApifImport[[#This Row],[Bilans]],T_Bilansi[],4,0)</f>
        <v>27</v>
      </c>
      <c r="C180" s="173" t="e">
        <v>#VALUE!</v>
      </c>
      <c r="D18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0" s="22" t="n">
        <v>180</v>
      </c>
      <c r="P180" s="25" t="s">
        <v>297</v>
      </c>
    </row>
    <row r="181" spans="2:16">
      <c r="B181" s="52">
        <f>VLOOKUP(T_ApifImport[[#This Row],[Bilans]],T_Bilansi[],4,0)</f>
        <v>27</v>
      </c>
      <c r="C181" s="173" t="e">
        <v>#VALUE!</v>
      </c>
      <c r="D18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1" s="22" t="n">
        <v>181</v>
      </c>
      <c r="P181" s="25" t="s">
        <v>297</v>
      </c>
    </row>
    <row r="182" spans="2:16">
      <c r="B182" s="52">
        <f>VLOOKUP(T_ApifImport[[#This Row],[Bilans]],T_Bilansi[],4,0)</f>
        <v>27</v>
      </c>
      <c r="C182" s="173" t="e">
        <v>#VALUE!</v>
      </c>
      <c r="D18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2" s="22" t="n">
        <v>182</v>
      </c>
      <c r="P182" s="25" t="s">
        <v>297</v>
      </c>
    </row>
    <row r="183" spans="2:16">
      <c r="B183" s="52">
        <f>VLOOKUP(T_ApifImport[[#This Row],[Bilans]],T_Bilansi[],4,0)</f>
        <v>27</v>
      </c>
      <c r="C183" s="173" t="e">
        <v>#VALUE!</v>
      </c>
      <c r="D18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3" s="22" t="n">
        <v>183</v>
      </c>
      <c r="P183" s="25" t="s">
        <v>297</v>
      </c>
    </row>
    <row r="184" spans="2:16">
      <c r="B184" s="52">
        <f>VLOOKUP(T_ApifImport[[#This Row],[Bilans]],T_Bilansi[],4,0)</f>
        <v>27</v>
      </c>
      <c r="C184" s="173" t="e">
        <v>#VALUE!</v>
      </c>
      <c r="D18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4" s="22" t="n">
        <v>184</v>
      </c>
      <c r="P184" s="25" t="s">
        <v>297</v>
      </c>
    </row>
    <row r="185" spans="2:16">
      <c r="B185" s="52">
        <f>VLOOKUP(T_ApifImport[[#This Row],[Bilans]],T_Bilansi[],4,0)</f>
        <v>27</v>
      </c>
      <c r="C185" s="173" t="e">
        <v>#VALUE!</v>
      </c>
      <c r="D18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5" s="22" t="n">
        <v>185</v>
      </c>
      <c r="P185" s="25" t="s">
        <v>297</v>
      </c>
    </row>
    <row r="186" spans="2:16">
      <c r="B186" s="52">
        <f>VLOOKUP(T_ApifImport[[#This Row],[Bilans]],T_Bilansi[],4,0)</f>
        <v>27</v>
      </c>
      <c r="C186" s="173" t="e">
        <v>#VALUE!</v>
      </c>
      <c r="D18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6" s="22" t="n">
        <v>186</v>
      </c>
      <c r="P186" s="25" t="s">
        <v>297</v>
      </c>
    </row>
    <row r="187" spans="2:16">
      <c r="B187" s="52">
        <f>VLOOKUP(T_ApifImport[[#This Row],[Bilans]],T_Bilansi[],4,0)</f>
        <v>27</v>
      </c>
      <c r="C187" s="173" t="e">
        <v>#VALUE!</v>
      </c>
      <c r="D18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7" s="22" t="n">
        <v>187</v>
      </c>
      <c r="P187" s="25" t="s">
        <v>297</v>
      </c>
    </row>
    <row r="188" spans="2:16">
      <c r="B188" s="52">
        <f>VLOOKUP(T_ApifImport[[#This Row],[Bilans]],T_Bilansi[],4,0)</f>
        <v>27</v>
      </c>
      <c r="C188" s="173" t="e">
        <v>#VALUE!</v>
      </c>
      <c r="D18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8" s="22" t="n">
        <v>188</v>
      </c>
      <c r="P188" s="25" t="s">
        <v>297</v>
      </c>
    </row>
    <row r="189" spans="2:16">
      <c r="B189" s="52">
        <f>VLOOKUP(T_ApifImport[[#This Row],[Bilans]],T_Bilansi[],4,0)</f>
        <v>27</v>
      </c>
      <c r="C189" s="173" t="e">
        <v>#VALUE!</v>
      </c>
      <c r="D18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9" s="22" t="n">
        <v>189</v>
      </c>
      <c r="P189" s="25" t="s">
        <v>297</v>
      </c>
    </row>
    <row r="190" spans="2:16">
      <c r="B190" s="52">
        <f>VLOOKUP(T_ApifImport[[#This Row],[Bilans]],T_Bilansi[],4,0)</f>
        <v>27</v>
      </c>
      <c r="C190" s="173" t="e">
        <v>#VALUE!</v>
      </c>
      <c r="D19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0" s="22" t="n">
        <v>190</v>
      </c>
      <c r="P190" s="25" t="s">
        <v>297</v>
      </c>
    </row>
    <row r="191" spans="2:16">
      <c r="B191" s="52">
        <f>VLOOKUP(T_ApifImport[[#This Row],[Bilans]],T_Bilansi[],4,0)</f>
        <v>27</v>
      </c>
      <c r="C191" s="173" t="e">
        <v>#VALUE!</v>
      </c>
      <c r="D19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1" s="22" t="n">
        <v>191</v>
      </c>
      <c r="P191" s="25" t="s">
        <v>297</v>
      </c>
    </row>
    <row r="192" spans="2:16">
      <c r="B192" s="52">
        <f>VLOOKUP(T_ApifImport[[#This Row],[Bilans]],T_Bilansi[],4,0)</f>
        <v>27</v>
      </c>
      <c r="C192" s="173" t="e">
        <v>#VALUE!</v>
      </c>
      <c r="D19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2" s="22" t="n">
        <v>192</v>
      </c>
      <c r="P192" s="25" t="s">
        <v>297</v>
      </c>
    </row>
    <row r="193" spans="2:16">
      <c r="B193" s="52">
        <f>VLOOKUP(T_ApifImport[[#This Row],[Bilans]],T_Bilansi[],4,0)</f>
        <v>27</v>
      </c>
      <c r="C193" s="173" t="e">
        <v>#VALUE!</v>
      </c>
      <c r="D19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3" s="22" t="n">
        <v>193</v>
      </c>
      <c r="P193" s="25" t="s">
        <v>297</v>
      </c>
    </row>
    <row r="194" spans="2:16">
      <c r="B194" s="52">
        <f>VLOOKUP(T_ApifImport[[#This Row],[Bilans]],T_Bilansi[],4,0)</f>
        <v>27</v>
      </c>
      <c r="C194" s="173" t="e">
        <v>#VALUE!</v>
      </c>
      <c r="D19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4" s="22" t="n">
        <v>194</v>
      </c>
      <c r="P194" s="25" t="s">
        <v>297</v>
      </c>
    </row>
    <row r="195" spans="2:16">
      <c r="B195" s="52">
        <f>VLOOKUP(T_ApifImport[[#This Row],[Bilans]],T_Bilansi[],4,0)</f>
        <v>27</v>
      </c>
      <c r="C195" s="173" t="e">
        <v>#VALUE!</v>
      </c>
      <c r="D19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5" s="22" t="n">
        <v>195</v>
      </c>
      <c r="P195" s="25" t="s">
        <v>297</v>
      </c>
    </row>
    <row r="196" spans="2:16">
      <c r="B196" s="52">
        <f>VLOOKUP(T_ApifImport[[#This Row],[Bilans]],T_Bilansi[],4,0)</f>
        <v>27</v>
      </c>
      <c r="C196" s="173" t="e">
        <v>#VALUE!</v>
      </c>
      <c r="D19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6" s="22" t="n">
        <v>196</v>
      </c>
      <c r="P196" s="25" t="s">
        <v>297</v>
      </c>
    </row>
    <row r="197" spans="2:16">
      <c r="B197" s="52">
        <f>VLOOKUP(T_ApifImport[[#This Row],[Bilans]],T_Bilansi[],4,0)</f>
        <v>27</v>
      </c>
      <c r="C197" s="173" t="e">
        <v>#VALUE!</v>
      </c>
      <c r="D19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7" s="22" t="n">
        <v>197</v>
      </c>
      <c r="P197" s="25" t="s">
        <v>297</v>
      </c>
    </row>
    <row r="198" spans="2:16">
      <c r="B198" s="52">
        <f>VLOOKUP(T_ApifImport[[#This Row],[Bilans]],T_Bilansi[],4,0)</f>
        <v>27</v>
      </c>
      <c r="C198" s="173" t="e">
        <v>#VALUE!</v>
      </c>
      <c r="D19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8" s="22" t="n">
        <v>198</v>
      </c>
      <c r="P198" s="25" t="s">
        <v>297</v>
      </c>
    </row>
    <row r="199" spans="2:16">
      <c r="B199" s="52">
        <f>VLOOKUP(T_ApifImport[[#This Row],[Bilans]],T_Bilansi[],4,0)</f>
        <v>27</v>
      </c>
      <c r="C199" s="173" t="e">
        <v>#VALUE!</v>
      </c>
      <c r="D19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9" s="22" t="n">
        <v>199</v>
      </c>
      <c r="P199" s="25" t="s">
        <v>297</v>
      </c>
    </row>
    <row r="200" spans="2:16">
      <c r="B200" s="52">
        <f>VLOOKUP(T_ApifImport[[#This Row],[Bilans]],T_Bilansi[],4,0)</f>
        <v>27</v>
      </c>
      <c r="C200" s="173" t="e">
        <v>#VALUE!</v>
      </c>
      <c r="D20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20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200" s="25" t="e">
        <v>#VALUE!</v>
      </c>
      <c r="G2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0" s="22" t="n">
        <v>200</v>
      </c>
      <c r="P200" s="25" t="s">
        <v>297</v>
      </c>
    </row>
    <row r="201" spans="2:16">
      <c r="B201" s="52">
        <f>VLOOKUP(T_ApifImport[[#This Row],[Bilans]],T_Bilansi[],4,0)</f>
        <v>27</v>
      </c>
      <c r="C201" s="173">
        <f>VLOOKUP(T_ApifImport[[#This Row],[ld]],T_Aop[],4,0)</f>
        <v>263</v>
      </c>
      <c r="D20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1" s="25" t="e">
        <v>#VALUE!</v>
      </c>
      <c r="G2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1" s="22" t="n">
        <v>201</v>
      </c>
      <c r="P201" s="25" t="s">
        <v>297</v>
      </c>
    </row>
    <row r="202" spans="2:16">
      <c r="B202" s="52">
        <f>VLOOKUP(T_ApifImport[[#This Row],[Bilans]],T_Bilansi[],4,0)</f>
        <v>27</v>
      </c>
      <c r="C202" s="173">
        <f>VLOOKUP(T_ApifImport[[#This Row],[ld]],T_Aop[],4,0)</f>
        <v>264</v>
      </c>
      <c r="D20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2" s="25" t="e">
        <v>#VALUE!</v>
      </c>
      <c r="G2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2" s="22" t="n">
        <v>202</v>
      </c>
      <c r="P202" s="25" t="s">
        <v>297</v>
      </c>
    </row>
    <row r="203" spans="2:16">
      <c r="B203" s="52">
        <f>VLOOKUP(T_ApifImport[[#This Row],[Bilans]],T_Bilansi[],4,0)</f>
        <v>27</v>
      </c>
      <c r="C203" s="173">
        <f>VLOOKUP(T_ApifImport[[#This Row],[ld]],T_Aop[],4,0)</f>
        <v>265</v>
      </c>
      <c r="D20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3" s="25" t="e">
        <v>#VALUE!</v>
      </c>
      <c r="G2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3" s="22" t="n">
        <v>203</v>
      </c>
      <c r="P203" s="54" t="s">
        <v>297</v>
      </c>
    </row>
    <row r="204" spans="2:16">
      <c r="B204" s="52">
        <f>VLOOKUP(T_ApifImport[[#This Row],[Bilans]],T_Bilansi[],4,0)</f>
        <v>27</v>
      </c>
      <c r="C204" s="173">
        <f>VLOOKUP(T_ApifImport[[#This Row],[ld]],T_Aop[],4,0)</f>
        <v>266</v>
      </c>
      <c r="D20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4" s="25" t="e">
        <v>#VALUE!</v>
      </c>
      <c r="G2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4" s="22" t="n">
        <v>204</v>
      </c>
      <c r="P204" s="54" t="s">
        <v>297</v>
      </c>
    </row>
    <row r="205" spans="2:16">
      <c r="B205" s="52">
        <f>VLOOKUP(T_ApifImport[[#This Row],[Bilans]],T_Bilansi[],4,0)</f>
        <v>27</v>
      </c>
      <c r="C205" s="173">
        <f>VLOOKUP(T_ApifImport[[#This Row],[ld]],T_Aop[],4,0)</f>
        <v>267</v>
      </c>
      <c r="D20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5" s="25" t="e">
        <v>#VALUE!</v>
      </c>
      <c r="G2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5" s="22" t="n">
        <v>205</v>
      </c>
      <c r="P205" s="54" t="s">
        <v>297</v>
      </c>
    </row>
    <row r="206" spans="2:16">
      <c r="B206" s="52">
        <f>VLOOKUP(T_ApifImport[[#This Row],[Bilans]],T_Bilansi[],4,0)</f>
        <v>27</v>
      </c>
      <c r="C206" s="173">
        <f>VLOOKUP(T_ApifImport[[#This Row],[ld]],T_Aop[],4,0)</f>
        <v>268</v>
      </c>
      <c r="D20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6" s="25" t="e">
        <v>#VALUE!</v>
      </c>
      <c r="G2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6" s="22" t="n">
        <v>206</v>
      </c>
      <c r="P206" s="54" t="s">
        <v>297</v>
      </c>
    </row>
    <row r="207" spans="2:16">
      <c r="B207" s="52">
        <f>VLOOKUP(T_ApifImport[[#This Row],[Bilans]],T_Bilansi[],4,0)</f>
        <v>27</v>
      </c>
      <c r="C207" s="173">
        <f>VLOOKUP(T_ApifImport[[#This Row],[ld]],T_Aop[],4,0)</f>
        <v>269</v>
      </c>
      <c r="D20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7" s="25" t="e">
        <v>#VALUE!</v>
      </c>
      <c r="G2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7" s="22" t="n">
        <v>207</v>
      </c>
      <c r="P207" s="54" t="s">
        <v>297</v>
      </c>
    </row>
    <row r="208" spans="2:16">
      <c r="B208" s="52">
        <f>VLOOKUP(T_ApifImport[[#This Row],[Bilans]],T_Bilansi[],4,0)</f>
        <v>27</v>
      </c>
      <c r="C208" s="173">
        <f>VLOOKUP(T_ApifImport[[#This Row],[ld]],T_Aop[],4,0)</f>
        <v>270</v>
      </c>
      <c r="D20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v>
      </c>
      <c r="F208" s="25" t="e">
        <v>#VALUE!</v>
      </c>
      <c r="G2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8" s="22" t="n">
        <v>208</v>
      </c>
      <c r="P208" s="54" t="s">
        <v>297</v>
      </c>
    </row>
    <row r="209" spans="2:16">
      <c r="B209" s="52">
        <f>VLOOKUP(T_ApifImport[[#This Row],[Bilans]],T_Bilansi[],4,0)</f>
        <v>27</v>
      </c>
      <c r="C209" s="173">
        <f>VLOOKUP(T_ApifImport[[#This Row],[ld]],T_Aop[],4,0)</f>
        <v>271</v>
      </c>
      <c r="D20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17497</v>
      </c>
      <c r="F209" s="25" t="e">
        <v>#VALUE!</v>
      </c>
      <c r="G2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9" s="22" t="n">
        <v>209</v>
      </c>
      <c r="P209" s="54" t="s">
        <v>297</v>
      </c>
    </row>
    <row r="210" spans="2:16">
      <c r="B210" s="52">
        <f>VLOOKUP(T_ApifImport[[#This Row],[Bilans]],T_Bilansi[],4,0)</f>
        <v>27</v>
      </c>
      <c r="C210" s="173">
        <f>VLOOKUP(T_ApifImport[[#This Row],[ld]],T_Aop[],4,0)</f>
        <v>272</v>
      </c>
      <c r="D2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0" s="25" t="e">
        <v>#VALUE!</v>
      </c>
      <c r="G2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0" s="22" t="n">
        <v>210</v>
      </c>
      <c r="P210" s="54" t="s">
        <v>297</v>
      </c>
    </row>
    <row r="211" spans="2:16">
      <c r="B211" s="52">
        <f>VLOOKUP(T_ApifImport[[#This Row],[Bilans]],T_Bilansi[],4,0)</f>
        <v>27</v>
      </c>
      <c r="C211" s="173">
        <f>VLOOKUP(T_ApifImport[[#This Row],[ld]],T_Aop[],4,0)</f>
        <v>273</v>
      </c>
      <c r="D2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1" s="25" t="e">
        <v>#VALUE!</v>
      </c>
      <c r="G2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1" s="22" t="n">
        <v>211</v>
      </c>
      <c r="P211" s="54" t="s">
        <v>297</v>
      </c>
    </row>
    <row r="212" spans="2:16">
      <c r="B212" s="52">
        <f>VLOOKUP(T_ApifImport[[#This Row],[Bilans]],T_Bilansi[],4,0)</f>
        <v>27</v>
      </c>
      <c r="C212" s="173">
        <f>VLOOKUP(T_ApifImport[[#This Row],[ld]],T_Aop[],4,0)</f>
        <v>274</v>
      </c>
      <c r="D2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2" s="25" t="e">
        <v>#VALUE!</v>
      </c>
      <c r="G2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2" s="22" t="n">
        <v>212</v>
      </c>
      <c r="P212" s="54" t="s">
        <v>297</v>
      </c>
    </row>
    <row r="213" spans="2:16">
      <c r="B213" s="52">
        <f>VLOOKUP(T_ApifImport[[#This Row],[Bilans]],T_Bilansi[],4,0)</f>
        <v>27</v>
      </c>
      <c r="C213" s="173">
        <f>VLOOKUP(T_ApifImport[[#This Row],[ld]],T_Aop[],4,0)</f>
        <v>275</v>
      </c>
      <c r="D2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3" s="25" t="e">
        <v>#VALUE!</v>
      </c>
      <c r="G2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3" s="22" t="n">
        <v>213</v>
      </c>
      <c r="P213" s="54" t="s">
        <v>297</v>
      </c>
    </row>
    <row r="214" spans="2:16">
      <c r="B214" s="52">
        <f>VLOOKUP(T_ApifImport[[#This Row],[Bilans]],T_Bilansi[],4,0)</f>
        <v>27</v>
      </c>
      <c r="C214" s="173">
        <f>VLOOKUP(T_ApifImport[[#This Row],[ld]],T_Aop[],4,0)</f>
        <v>276</v>
      </c>
      <c r="D2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4" s="25" t="e">
        <v>#VALUE!</v>
      </c>
      <c r="G2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4" s="22" t="n">
        <v>214</v>
      </c>
      <c r="P214" s="54" t="s">
        <v>297</v>
      </c>
    </row>
    <row r="215" spans="2:16">
      <c r="B215" s="52">
        <f>VLOOKUP(T_ApifImport[[#This Row],[Bilans]],T_Bilansi[],4,0)</f>
        <v>27</v>
      </c>
      <c r="C215" s="173">
        <f>VLOOKUP(T_ApifImport[[#This Row],[ld]],T_Aop[],4,0)</f>
        <v>277</v>
      </c>
      <c r="D2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5" s="25" t="e">
        <v>#VALUE!</v>
      </c>
      <c r="G2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5" s="22" t="n">
        <v>215</v>
      </c>
      <c r="P215" s="54" t="s">
        <v>297</v>
      </c>
    </row>
    <row r="216" spans="2:16">
      <c r="B216" s="52">
        <f>VLOOKUP(T_ApifImport[[#This Row],[Bilans]],T_Bilansi[],4,0)</f>
        <v>27</v>
      </c>
      <c r="C216" s="173">
        <f>VLOOKUP(T_ApifImport[[#This Row],[ld]],T_Aop[],4,0)</f>
        <v>278</v>
      </c>
      <c r="D21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6" s="25" t="e">
        <v>#VALUE!</v>
      </c>
      <c r="G21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6" s="22" t="n">
        <v>216</v>
      </c>
      <c r="P216" s="54" t="s">
        <v>297</v>
      </c>
    </row>
    <row r="217" spans="2:16">
      <c r="B217" s="52">
        <f>VLOOKUP(T_ApifImport[[#This Row],[Bilans]],T_Bilansi[],4,0)</f>
        <v>27</v>
      </c>
      <c r="C217" s="173">
        <f>VLOOKUP(T_ApifImport[[#This Row],[ld]],T_Aop[],4,0)</f>
        <v>279</v>
      </c>
      <c r="D2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7" s="25" t="e">
        <v>#VALUE!</v>
      </c>
      <c r="G21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7" s="22" t="n">
        <v>217</v>
      </c>
      <c r="P217" s="54" t="s">
        <v>297</v>
      </c>
    </row>
    <row r="218" spans="2:16">
      <c r="B218" s="52">
        <f>VLOOKUP(T_ApifImport[[#This Row],[Bilans]],T_Bilansi[],4,0)</f>
        <v>27</v>
      </c>
      <c r="C218" s="173">
        <f>VLOOKUP(T_ApifImport[[#This Row],[ld]],T_Aop[],4,0)</f>
        <v>280</v>
      </c>
      <c r="D2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8" s="25" t="e">
        <v>#VALUE!</v>
      </c>
      <c r="G21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8" s="22" t="n">
        <v>218</v>
      </c>
      <c r="P218" s="54" t="s">
        <v>297</v>
      </c>
    </row>
    <row r="219" spans="2:16">
      <c r="B219" s="52">
        <f>VLOOKUP(T_ApifImport[[#This Row],[Bilans]],T_Bilansi[],4,0)</f>
        <v>27</v>
      </c>
      <c r="C219" s="173">
        <f>VLOOKUP(T_ApifImport[[#This Row],[ld]],T_Aop[],4,0)</f>
        <v>281</v>
      </c>
      <c r="D2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9" s="25" t="e">
        <v>#VALUE!</v>
      </c>
      <c r="G21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9" s="22" t="n">
        <v>219</v>
      </c>
      <c r="P219" s="54" t="s">
        <v>297</v>
      </c>
    </row>
    <row r="220" spans="2:16">
      <c r="B220" s="52">
        <f>VLOOKUP(T_ApifImport[[#This Row],[Bilans]],T_Bilansi[],4,0)</f>
        <v>27</v>
      </c>
      <c r="C220" s="173">
        <f>VLOOKUP(T_ApifImport[[#This Row],[ld]],T_Aop[],4,0)</f>
        <v>282</v>
      </c>
      <c r="D2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0" s="25" t="e">
        <v>#VALUE!</v>
      </c>
      <c r="G22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0" s="22" t="n">
        <v>220</v>
      </c>
      <c r="P220" s="54" t="s">
        <v>297</v>
      </c>
    </row>
    <row r="221" spans="2:16">
      <c r="B221" s="52">
        <f>VLOOKUP(T_ApifImport[[#This Row],[Bilans]],T_Bilansi[],4,0)</f>
        <v>27</v>
      </c>
      <c r="C221" s="173">
        <f>VLOOKUP(T_ApifImport[[#This Row],[ld]],T_Aop[],4,0)</f>
        <v>283</v>
      </c>
      <c r="D22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1" s="25" t="e">
        <v>#VALUE!</v>
      </c>
      <c r="G22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1" s="22" t="n">
        <v>221</v>
      </c>
      <c r="P221" s="54" t="s">
        <v>297</v>
      </c>
    </row>
    <row r="222" spans="2:16">
      <c r="B222" s="52">
        <f>VLOOKUP(T_ApifImport[[#This Row],[Bilans]],T_Bilansi[],4,0)</f>
        <v>27</v>
      </c>
      <c r="C222" s="173">
        <f>VLOOKUP(T_ApifImport[[#This Row],[ld]],T_Aop[],4,0)</f>
        <v>284</v>
      </c>
      <c r="D22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2" s="25" t="e">
        <v>#VALUE!</v>
      </c>
      <c r="G22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2" s="22" t="n">
        <v>222</v>
      </c>
      <c r="P222" s="54" t="s">
        <v>297</v>
      </c>
    </row>
    <row r="223" spans="2:16">
      <c r="B223" s="52">
        <f>VLOOKUP(T_ApifImport[[#This Row],[Bilans]],T_Bilansi[],4,0)</f>
        <v>27</v>
      </c>
      <c r="C223" s="173">
        <f>VLOOKUP(T_ApifImport[[#This Row],[ld]],T_Aop[],4,0)</f>
        <v>285</v>
      </c>
      <c r="D22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3" s="25" t="e">
        <v>#VALUE!</v>
      </c>
      <c r="G22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3" s="22" t="n">
        <v>223</v>
      </c>
      <c r="P223" s="54" t="s">
        <v>297</v>
      </c>
    </row>
    <row r="224" spans="2:16">
      <c r="B224" s="52">
        <f>VLOOKUP(T_ApifImport[[#This Row],[Bilans]],T_Bilansi[],4,0)</f>
        <v>27</v>
      </c>
      <c r="C224" s="173">
        <f>VLOOKUP(T_ApifImport[[#This Row],[ld]],T_Aop[],4,0)</f>
        <v>286</v>
      </c>
      <c r="D22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4" s="25" t="e">
        <v>#VALUE!</v>
      </c>
      <c r="G22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4" s="22" t="n">
        <v>224</v>
      </c>
      <c r="P224" s="54" t="s">
        <v>297</v>
      </c>
    </row>
    <row r="225" spans="2:16">
      <c r="B225" s="52">
        <f>VLOOKUP(T_ApifImport[[#This Row],[Bilans]],T_Bilansi[],4,0)</f>
        <v>27</v>
      </c>
      <c r="C225" s="173">
        <f>VLOOKUP(T_ApifImport[[#This Row],[ld]],T_Aop[],4,0)</f>
        <v>287</v>
      </c>
      <c r="D22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5" s="25" t="e">
        <v>#VALUE!</v>
      </c>
      <c r="G22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5" s="22" t="n">
        <v>225</v>
      </c>
      <c r="P225" s="54" t="s">
        <v>297</v>
      </c>
    </row>
    <row r="226" spans="2:16">
      <c r="B226" s="52">
        <f>VLOOKUP(T_ApifImport[[#This Row],[Bilans]],T_Bilansi[],4,0)</f>
        <v>27</v>
      </c>
      <c r="C226" s="173">
        <f>VLOOKUP(T_ApifImport[[#This Row],[ld]],T_Aop[],4,0)</f>
        <v>288</v>
      </c>
      <c r="D22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6" s="25" t="e">
        <v>#VALUE!</v>
      </c>
      <c r="G22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6" s="22" t="n">
        <v>226</v>
      </c>
      <c r="P226" s="54" t="s">
        <v>297</v>
      </c>
    </row>
    <row r="227" spans="2:16">
      <c r="B227" s="52">
        <f>VLOOKUP(T_ApifImport[[#This Row],[Bilans]],T_Bilansi[],4,0)</f>
        <v>27</v>
      </c>
      <c r="C227" s="173">
        <f>VLOOKUP(T_ApifImport[[#This Row],[ld]],T_Aop[],4,0)</f>
        <v>289</v>
      </c>
      <c r="D22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7" s="25" t="e">
        <v>#VALUE!</v>
      </c>
      <c r="G22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7" s="22" t="n">
        <v>227</v>
      </c>
      <c r="P227" s="54" t="s">
        <v>297</v>
      </c>
    </row>
    <row r="228" spans="2:16">
      <c r="B228" s="52">
        <f>VLOOKUP(T_ApifImport[[#This Row],[Bilans]],T_Bilansi[],4,0)</f>
        <v>27</v>
      </c>
      <c r="C228" s="173">
        <f>VLOOKUP(T_ApifImport[[#This Row],[ld]],T_Aop[],4,0)</f>
        <v>290</v>
      </c>
      <c r="D22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8" s="25" t="e">
        <v>#VALUE!</v>
      </c>
      <c r="G22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8" s="22" t="n">
        <v>228</v>
      </c>
      <c r="P228" s="54" t="s">
        <v>297</v>
      </c>
    </row>
    <row r="229" spans="2:16">
      <c r="B229" s="52">
        <f>VLOOKUP(T_ApifImport[[#This Row],[Bilans]],T_Bilansi[],4,0)</f>
        <v>27</v>
      </c>
      <c r="C229" s="173">
        <f>VLOOKUP(T_ApifImport[[#This Row],[ld]],T_Aop[],4,0)</f>
        <v>291</v>
      </c>
      <c r="D22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9" s="25" t="e">
        <v>#VALUE!</v>
      </c>
      <c r="G22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9" s="22" t="n">
        <v>229</v>
      </c>
      <c r="P229" s="54" t="s">
        <v>297</v>
      </c>
    </row>
    <row r="230" spans="2:16">
      <c r="B230" s="52">
        <f>VLOOKUP(T_ApifImport[[#This Row],[Bilans]],T_Bilansi[],4,0)</f>
        <v>27</v>
      </c>
      <c r="C230" s="173">
        <f>VLOOKUP(T_ApifImport[[#This Row],[ld]],T_Aop[],4,0)</f>
        <v>292</v>
      </c>
      <c r="D23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0" s="25" t="e">
        <v>#VALUE!</v>
      </c>
      <c r="G23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0" s="22" t="n">
        <v>230</v>
      </c>
      <c r="P230" s="54" t="s">
        <v>297</v>
      </c>
    </row>
    <row r="231" spans="2:16">
      <c r="B231" s="52">
        <f>VLOOKUP(T_ApifImport[[#This Row],[Bilans]],T_Bilansi[],4,0)</f>
        <v>27</v>
      </c>
      <c r="C231" s="173">
        <f>VLOOKUP(T_ApifImport[[#This Row],[ld]],T_Aop[],4,0)</f>
        <v>293</v>
      </c>
      <c r="D23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1" s="25" t="e">
        <v>#VALUE!</v>
      </c>
      <c r="G23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1" s="22" t="n">
        <v>231</v>
      </c>
      <c r="P231" s="54" t="s">
        <v>297</v>
      </c>
    </row>
    <row r="232" spans="2:16">
      <c r="B232" s="52">
        <f>VLOOKUP(T_ApifImport[[#This Row],[Bilans]],T_Bilansi[],4,0)</f>
        <v>27</v>
      </c>
      <c r="C232" s="173">
        <f>VLOOKUP(T_ApifImport[[#This Row],[ld]],T_Aop[],4,0)</f>
        <v>294</v>
      </c>
      <c r="D23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2" s="25" t="e">
        <v>#VALUE!</v>
      </c>
      <c r="G23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2" s="22" t="n">
        <v>232</v>
      </c>
      <c r="P232" s="54" t="s">
        <v>297</v>
      </c>
    </row>
    <row r="233" spans="2:16">
      <c r="B233" s="52">
        <f>VLOOKUP(T_ApifImport[[#This Row],[Bilans]],T_Bilansi[],4,0)</f>
        <v>27</v>
      </c>
      <c r="C233" s="173">
        <f>VLOOKUP(T_ApifImport[[#This Row],[ld]],T_Aop[],4,0)</f>
        <v>295</v>
      </c>
      <c r="D23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3" s="25" t="e">
        <v>#VALUE!</v>
      </c>
      <c r="G23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3" s="22" t="n">
        <v>233</v>
      </c>
      <c r="P233" s="54" t="s">
        <v>297</v>
      </c>
    </row>
    <row r="234" spans="2:16">
      <c r="B234" s="52">
        <f>VLOOKUP(T_ApifImport[[#This Row],[Bilans]],T_Bilansi[],4,0)</f>
        <v>27</v>
      </c>
      <c r="C234" s="173">
        <f>VLOOKUP(T_ApifImport[[#This Row],[ld]],T_Aop[],4,0)</f>
        <v>296</v>
      </c>
      <c r="D23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4" s="25" t="e">
        <v>#VALUE!</v>
      </c>
      <c r="G23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4" s="22" t="n">
        <v>234</v>
      </c>
      <c r="P234" s="54" t="s">
        <v>297</v>
      </c>
    </row>
    <row r="235" spans="2:16">
      <c r="B235" s="52">
        <f>VLOOKUP(T_ApifImport[[#This Row],[Bilans]],T_Bilansi[],4,0)</f>
        <v>27</v>
      </c>
      <c r="C235" s="173">
        <f>VLOOKUP(T_ApifImport[[#This Row],[ld]],T_Aop[],4,0)</f>
        <v>297</v>
      </c>
      <c r="D23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5" s="25" t="e">
        <v>#VALUE!</v>
      </c>
      <c r="G23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5" s="22" t="n">
        <v>235</v>
      </c>
      <c r="P235" s="54" t="s">
        <v>297</v>
      </c>
    </row>
    <row r="236" spans="2:16">
      <c r="B236" s="52">
        <f>VLOOKUP(T_ApifImport[[#This Row],[Bilans]],T_Bilansi[],4,0)</f>
        <v>27</v>
      </c>
      <c r="C236" s="173">
        <f>VLOOKUP(T_ApifImport[[#This Row],[ld]],T_Aop[],4,0)</f>
        <v>298</v>
      </c>
      <c r="D23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6" s="25" t="e">
        <v>#VALUE!</v>
      </c>
      <c r="G23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6" s="22" t="n">
        <v>236</v>
      </c>
      <c r="P236" s="54" t="s">
        <v>297</v>
      </c>
    </row>
    <row r="237" spans="2:16">
      <c r="B237" s="52">
        <f>VLOOKUP(T_ApifImport[[#This Row],[Bilans]],T_Bilansi[],4,0)</f>
        <v>27</v>
      </c>
      <c r="C237" s="173">
        <f>VLOOKUP(T_ApifImport[[#This Row],[ld]],T_Aop[],4,0)</f>
        <v>299</v>
      </c>
      <c r="D23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7" s="25" t="e">
        <v>#VALUE!</v>
      </c>
      <c r="G23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7" s="22" t="n">
        <v>237</v>
      </c>
      <c r="P237" s="54" t="s">
        <v>297</v>
      </c>
    </row>
    <row r="238" spans="2:16">
      <c r="B238" s="52">
        <f>VLOOKUP(T_ApifImport[[#This Row],[Bilans]],T_Bilansi[],4,0)</f>
        <v>27</v>
      </c>
      <c r="C238" s="173">
        <f>VLOOKUP(T_ApifImport[[#This Row],[ld]],T_Aop[],4,0)</f>
        <v>300</v>
      </c>
      <c r="D23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8" s="25" t="e">
        <v>#VALUE!</v>
      </c>
      <c r="G23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8" s="22" t="n">
        <v>238</v>
      </c>
      <c r="P238" s="54" t="s">
        <v>297</v>
      </c>
    </row>
    <row r="239" spans="2:16">
      <c r="B239" s="52">
        <f>VLOOKUP(T_ApifImport[[#This Row],[Bilans]],T_Bilansi[],4,0)</f>
        <v>27</v>
      </c>
      <c r="C239" s="173">
        <f>VLOOKUP(T_ApifImport[[#This Row],[ld]],T_Aop[],4,0)</f>
        <v>301</v>
      </c>
      <c r="D23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9" s="25" t="e">
        <v>#VALUE!</v>
      </c>
      <c r="G23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9" s="22" t="n">
        <v>239</v>
      </c>
      <c r="P239" s="54" t="s">
        <v>297</v>
      </c>
    </row>
    <row r="240" spans="2:16">
      <c r="B240" s="52">
        <f>VLOOKUP(T_ApifImport[[#This Row],[Bilans]],T_Bilansi[],4,0)</f>
        <v>27</v>
      </c>
      <c r="C240" s="173">
        <f>VLOOKUP(T_ApifImport[[#This Row],[ld]],T_Aop[],4,0)</f>
        <v>302</v>
      </c>
      <c r="D24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0" s="25" t="e">
        <v>#VALUE!</v>
      </c>
      <c r="G24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0" s="22" t="n">
        <v>240</v>
      </c>
      <c r="P240" s="54" t="s">
        <v>297</v>
      </c>
    </row>
    <row r="241" spans="2:16">
      <c r="B241" s="52">
        <f>VLOOKUP(T_ApifImport[[#This Row],[Bilans]],T_Bilansi[],4,0)</f>
        <v>27</v>
      </c>
      <c r="C241" s="173">
        <f>VLOOKUP(T_ApifImport[[#This Row],[ld]],T_Aop[],4,0)</f>
        <v>303</v>
      </c>
      <c r="D24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1" s="25" t="e">
        <v>#VALUE!</v>
      </c>
      <c r="G24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1" s="22" t="n">
        <v>241</v>
      </c>
      <c r="P241" s="54" t="s">
        <v>297</v>
      </c>
    </row>
    <row r="242" spans="2:16">
      <c r="B242" s="52">
        <f>VLOOKUP(T_ApifImport[[#This Row],[Bilans]],T_Bilansi[],4,0)</f>
        <v>27</v>
      </c>
      <c r="C242" s="173">
        <f>VLOOKUP(T_ApifImport[[#This Row],[ld]],T_Aop[],4,0)</f>
        <v>304</v>
      </c>
      <c r="D24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2" s="25" t="e">
        <v>#VALUE!</v>
      </c>
      <c r="G24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2" s="22" t="n">
        <v>242</v>
      </c>
      <c r="P242" s="54" t="s">
        <v>297</v>
      </c>
    </row>
    <row r="243" spans="2:16">
      <c r="B243" s="52">
        <f>VLOOKUP(T_ApifImport[[#This Row],[Bilans]],T_Bilansi[],4,0)</f>
        <v>27</v>
      </c>
      <c r="C243" s="173">
        <f>VLOOKUP(T_ApifImport[[#This Row],[ld]],T_Aop[],4,0)</f>
        <v>305</v>
      </c>
      <c r="D24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329081</v>
      </c>
      <c r="F243" s="25" t="e">
        <v>#VALUE!</v>
      </c>
      <c r="G24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3" s="22" t="n">
        <v>243</v>
      </c>
      <c r="P243" s="54" t="s">
        <v>297</v>
      </c>
    </row>
    <row r="244" spans="2:16">
      <c r="B244" s="52">
        <f>VLOOKUP(T_ApifImport[[#This Row],[Bilans]],T_Bilansi[],4,0)</f>
        <v>27</v>
      </c>
      <c r="C244" s="173">
        <f>VLOOKUP(T_ApifImport[[#This Row],[ld]],T_Aop[],4,0)</f>
        <v>306</v>
      </c>
      <c r="D24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328126</v>
      </c>
      <c r="F244" s="25" t="e">
        <v>#VALUE!</v>
      </c>
      <c r="G24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4" s="22" t="n">
        <v>244</v>
      </c>
      <c r="P244" s="54" t="s">
        <v>297</v>
      </c>
    </row>
    <row r="245" spans="2:16">
      <c r="B245" s="52">
        <f>VLOOKUP(T_ApifImport[[#This Row],[Bilans]],T_Bilansi[],4,0)</f>
        <v>27</v>
      </c>
      <c r="C245" s="173">
        <f>VLOOKUP(T_ApifImport[[#This Row],[ld]],T_Aop[],4,0)</f>
        <v>307</v>
      </c>
      <c r="D24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955</v>
      </c>
      <c r="F245" s="25" t="e">
        <v>#VALUE!</v>
      </c>
      <c r="G24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5" s="22" t="n">
        <v>245</v>
      </c>
      <c r="P245" s="54" t="s">
        <v>297</v>
      </c>
    </row>
    <row r="246" spans="2:16">
      <c r="B246" s="52">
        <f>VLOOKUP(T_ApifImport[[#This Row],[Bilans]],T_Bilansi[],4,0)</f>
        <v>27</v>
      </c>
      <c r="C246" s="173">
        <f>VLOOKUP(T_ApifImport[[#This Row],[ld]],T_Aop[],4,0)</f>
        <v>308</v>
      </c>
      <c r="D24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6" s="25" t="e">
        <v>#VALUE!</v>
      </c>
      <c r="G24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6" s="22" t="n">
        <v>246</v>
      </c>
      <c r="P246" s="54" t="s">
        <v>297</v>
      </c>
    </row>
    <row r="247" spans="2:16">
      <c r="B247" s="52">
        <f>VLOOKUP(T_ApifImport[[#This Row],[Bilans]],T_Bilansi[],4,0)</f>
        <v>27</v>
      </c>
      <c r="C247" s="173">
        <f>VLOOKUP(T_ApifImport[[#This Row],[ld]],T_Aop[],4,0)</f>
        <v>309</v>
      </c>
      <c r="D24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150</v>
      </c>
      <c r="F247" s="25" t="e">
        <v>#VALUE!</v>
      </c>
      <c r="G24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7" s="22" t="n">
        <v>247</v>
      </c>
      <c r="P247" s="54" t="s">
        <v>297</v>
      </c>
    </row>
    <row r="248" spans="2:16">
      <c r="B248" s="52">
        <f>VLOOKUP(T_ApifImport[[#This Row],[Bilans]],T_Bilansi[],4,0)</f>
        <v>27</v>
      </c>
      <c r="C248" s="173">
        <f>VLOOKUP(T_ApifImport[[#This Row],[ld]],T_Aop[],4,0)</f>
        <v>310</v>
      </c>
      <c r="D24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8" s="25" t="e">
        <v>#VALUE!</v>
      </c>
      <c r="G24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8" s="22" t="n">
        <v>248</v>
      </c>
      <c r="P248" s="54" t="s">
        <v>297</v>
      </c>
    </row>
    <row r="249" spans="2:16">
      <c r="B249" s="52">
        <f>VLOOKUP(T_ApifImport[[#This Row],[Bilans]],T_Bilansi[],4,0)</f>
        <v>27</v>
      </c>
      <c r="C249" s="173">
        <f>VLOOKUP(T_ApifImport[[#This Row],[ld]],T_Aop[],4,0)</f>
        <v>311</v>
      </c>
      <c r="D24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9" s="25" t="e">
        <v>#VALUE!</v>
      </c>
      <c r="G24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9" s="22" t="n">
        <v>249</v>
      </c>
      <c r="P249" s="54" t="s">
        <v>297</v>
      </c>
    </row>
    <row r="250" spans="2:16">
      <c r="B250" s="52">
        <f>VLOOKUP(T_ApifImport[[#This Row],[Bilans]],T_Bilansi[],4,0)</f>
        <v>27</v>
      </c>
      <c r="C250" s="173">
        <f>VLOOKUP(T_ApifImport[[#This Row],[ld]],T_Aop[],4,0)</f>
        <v>312</v>
      </c>
      <c r="D25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0" s="25" t="e">
        <v>#VALUE!</v>
      </c>
      <c r="G25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0" s="22" t="n">
        <v>250</v>
      </c>
      <c r="P250" s="54" t="s">
        <v>297</v>
      </c>
    </row>
    <row r="251" spans="2:16">
      <c r="B251" s="52">
        <f>VLOOKUP(T_ApifImport[[#This Row],[Bilans]],T_Bilansi[],4,0)</f>
        <v>27</v>
      </c>
      <c r="C251" s="173">
        <f>VLOOKUP(T_ApifImport[[#This Row],[ld]],T_Aop[],4,0)</f>
        <v>313</v>
      </c>
      <c r="D25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1" s="25" t="e">
        <v>#VALUE!</v>
      </c>
      <c r="G25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1" s="22" t="n">
        <v>251</v>
      </c>
      <c r="P251" s="54" t="s">
        <v>297</v>
      </c>
    </row>
    <row r="252" spans="2:16">
      <c r="B252" s="52">
        <f>VLOOKUP(T_ApifImport[[#This Row],[Bilans]],T_Bilansi[],4,0)</f>
        <v>27</v>
      </c>
      <c r="C252" s="173">
        <f>VLOOKUP(T_ApifImport[[#This Row],[ld]],T_Aop[],4,0)</f>
        <v>314</v>
      </c>
      <c r="D25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2" s="25" t="e">
        <v>#VALUE!</v>
      </c>
      <c r="G25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2" s="22" t="n">
        <v>252</v>
      </c>
      <c r="P252" s="54" t="s">
        <v>297</v>
      </c>
    </row>
    <row r="253" spans="2:16">
      <c r="B253" s="52">
        <f>VLOOKUP(T_ApifImport[[#This Row],[Bilans]],T_Bilansi[],4,0)</f>
        <v>27</v>
      </c>
      <c r="C253" s="173">
        <f>VLOOKUP(T_ApifImport[[#This Row],[ld]],T_Aop[],4,0)</f>
        <v>315</v>
      </c>
      <c r="D25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3" s="25" t="e">
        <v>#VALUE!</v>
      </c>
      <c r="G25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3" s="22" t="n">
        <v>253</v>
      </c>
      <c r="P253" s="54" t="s">
        <v>297</v>
      </c>
    </row>
    <row r="254" spans="2:16">
      <c r="B254" s="52">
        <f>VLOOKUP(T_ApifImport[[#This Row],[Bilans]],T_Bilansi[],4,0)</f>
        <v>27</v>
      </c>
      <c r="C254" s="173">
        <f>VLOOKUP(T_ApifImport[[#This Row],[ld]],T_Aop[],4,0)</f>
        <v>316</v>
      </c>
      <c r="D25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805</v>
      </c>
      <c r="F254" s="25" t="e">
        <v>#VALUE!</v>
      </c>
      <c r="G25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4" s="22" t="n">
        <v>254</v>
      </c>
      <c r="P254" s="54" t="s">
        <v>297</v>
      </c>
    </row>
    <row r="255" spans="2:16">
      <c r="B255" s="52">
        <f>VLOOKUP(T_ApifImport[[#This Row],[Bilans]],T_Bilansi[],4,0)</f>
        <v>27</v>
      </c>
      <c r="C255" s="173">
        <f>VLOOKUP(T_ApifImport[[#This Row],[ld]],T_Aop[],4,0)</f>
        <v>317</v>
      </c>
      <c r="D25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5" s="25" t="e">
        <v>#VALUE!</v>
      </c>
      <c r="G25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5" s="22" t="n">
        <v>255</v>
      </c>
      <c r="P255" s="54" t="s">
        <v>297</v>
      </c>
    </row>
    <row r="256" spans="2:16">
      <c r="B256" s="52">
        <f>VLOOKUP(T_ApifImport[[#This Row],[Bilans]],T_Bilansi[],4,0)</f>
        <v>27</v>
      </c>
      <c r="C256" s="173">
        <f>VLOOKUP(T_ApifImport[[#This Row],[ld]],T_Aop[],4,0)</f>
        <v>318</v>
      </c>
      <c r="D25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6" s="25" t="e">
        <v>#VALUE!</v>
      </c>
      <c r="G25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6" s="22" t="n">
        <v>256</v>
      </c>
      <c r="P256" s="54" t="s">
        <v>297</v>
      </c>
    </row>
    <row r="257" spans="2:16">
      <c r="B257" s="52">
        <f>VLOOKUP(T_ApifImport[[#This Row],[Bilans]],T_Bilansi[],4,0)</f>
        <v>27</v>
      </c>
      <c r="C257" s="173">
        <f>VLOOKUP(T_ApifImport[[#This Row],[ld]],T_Aop[],4,0)</f>
        <v>319</v>
      </c>
      <c r="D25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7" s="25" t="e">
        <v>#VALUE!</v>
      </c>
      <c r="G25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7" s="22" t="n">
        <v>257</v>
      </c>
      <c r="P257" s="54" t="s">
        <v>297</v>
      </c>
    </row>
    <row r="258" spans="2:16">
      <c r="B258" s="52">
        <f>VLOOKUP(T_ApifImport[[#This Row],[Bilans]],T_Bilansi[],4,0)</f>
        <v>27</v>
      </c>
      <c r="C258" s="173">
        <f>VLOOKUP(T_ApifImport[[#This Row],[ld]],T_Aop[],4,0)</f>
        <v>320</v>
      </c>
      <c r="D25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8" s="25" t="e">
        <v>#VALUE!</v>
      </c>
      <c r="G25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8" s="22" t="n">
        <v>258</v>
      </c>
      <c r="P258" s="54" t="s">
        <v>297</v>
      </c>
    </row>
    <row r="259" spans="2:16">
      <c r="B259" s="52">
        <f>VLOOKUP(T_ApifImport[[#This Row],[Bilans]],T_Bilansi[],4,0)</f>
        <v>27</v>
      </c>
      <c r="C259" s="173">
        <f>VLOOKUP(T_ApifImport[[#This Row],[ld]],T_Aop[],4,0)</f>
        <v>321</v>
      </c>
      <c r="D25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0,0001</v>
      </c>
      <c r="F259" s="25" t="e">
        <v>#VALUE!</v>
      </c>
      <c r="G25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9" s="22" t="n">
        <v>259</v>
      </c>
      <c r="P259" s="54" t="s">
        <v>297</v>
      </c>
    </row>
    <row r="260" spans="2:16">
      <c r="B260" s="52">
        <f>VLOOKUP(T_ApifImport[[#This Row],[Bilans]],T_Bilansi[],4,0)</f>
        <v>27</v>
      </c>
      <c r="C260" s="173">
        <f>VLOOKUP(T_ApifImport[[#This Row],[ld]],T_Aop[],4,0)</f>
        <v>322</v>
      </c>
      <c r="D26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0" s="25" t="e">
        <v>#VALUE!</v>
      </c>
      <c r="G26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0" s="22" t="n">
        <v>260</v>
      </c>
      <c r="P260" s="54" t="s">
        <v>297</v>
      </c>
    </row>
    <row r="261" spans="2:16">
      <c r="B261" s="52">
        <f>VLOOKUP(T_ApifImport[[#This Row],[Bilans]],T_Bilansi[],4,0)</f>
        <v>27</v>
      </c>
      <c r="C261" s="173">
        <f>VLOOKUP(T_ApifImport[[#This Row],[ld]],T_Aop[],4,0)</f>
        <v>323</v>
      </c>
      <c r="D26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23</v>
      </c>
      <c r="F261" s="25" t="e">
        <v>#VALUE!</v>
      </c>
      <c r="G26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1" s="22" t="n">
        <v>261</v>
      </c>
      <c r="P261" s="54" t="s">
        <v>297</v>
      </c>
    </row>
    <row r="262" spans="2:16">
      <c r="B262" s="52">
        <f>VLOOKUP(T_ApifImport[[#This Row],[Bilans]],T_Bilansi[],4,0)</f>
        <v>27</v>
      </c>
      <c r="C262" s="173">
        <f>VLOOKUP(T_ApifImport[[#This Row],[ld]],T_Aop[],4,0)</f>
        <v>324</v>
      </c>
      <c r="D26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23</v>
      </c>
      <c r="F262" s="25" t="e">
        <v>#VALUE!</v>
      </c>
      <c r="G26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2" s="22" t="n">
        <v>262</v>
      </c>
      <c r="P262" s="54" t="s">
        <v>297</v>
      </c>
    </row>
    <row r="263" spans="2:16">
      <c r="B263" s="52">
        <f>VLOOKUP(T_ApifImport[[#This Row],[Bilans]],T_Bilansi[],4,0)</f>
        <v>27</v>
      </c>
      <c r="C263" s="173">
        <f>VLOOKUP(T_ApifImport[[#This Row],[ld]],T_Aop[],4,0)</f>
        <v>400</v>
      </c>
      <c r="D26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805</v>
      </c>
      <c r="F263" s="25" t="e">
        <v>#VALUE!</v>
      </c>
      <c r="G26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3" s="22" t="n">
        <v>263</v>
      </c>
      <c r="P263" s="54" t="s">
        <v>306</v>
      </c>
    </row>
    <row r="264" spans="2:16">
      <c r="B264" s="52">
        <f>VLOOKUP(T_ApifImport[[#This Row],[Bilans]],T_Bilansi[],4,0)</f>
        <v>27</v>
      </c>
      <c r="C264" s="173">
        <f>VLOOKUP(T_ApifImport[[#This Row],[ld]],T_Aop[],4,0)</f>
        <v>401</v>
      </c>
      <c r="D26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4" s="25" t="e">
        <v>#VALUE!</v>
      </c>
      <c r="G26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4" s="22" t="n">
        <v>264</v>
      </c>
      <c r="P264" s="54" t="s">
        <v>306</v>
      </c>
    </row>
    <row r="265" spans="2:16">
      <c r="B265" s="52">
        <f>VLOOKUP(T_ApifImport[[#This Row],[Bilans]],T_Bilansi[],4,0)</f>
        <v>27</v>
      </c>
      <c r="C265" s="173">
        <f>VLOOKUP(T_ApifImport[[#This Row],[ld]],T_Aop[],4,0)</f>
        <v>402</v>
      </c>
      <c r="D26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5" s="25" t="e">
        <v>#VALUE!</v>
      </c>
      <c r="G26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5" s="22" t="n">
        <v>265</v>
      </c>
      <c r="P265" s="54" t="s">
        <v>306</v>
      </c>
    </row>
    <row r="266" spans="2:16">
      <c r="B266" s="52">
        <f>VLOOKUP(T_ApifImport[[#This Row],[Bilans]],T_Bilansi[],4,0)</f>
        <v>27</v>
      </c>
      <c r="C266" s="173">
        <f>VLOOKUP(T_ApifImport[[#This Row],[ld]],T_Aop[],4,0)</f>
        <v>403</v>
      </c>
      <c r="D26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6" s="25" t="e">
        <v>#VALUE!</v>
      </c>
      <c r="G26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6" s="22" t="n">
        <v>266</v>
      </c>
      <c r="P266" s="54" t="s">
        <v>306</v>
      </c>
    </row>
    <row r="267" spans="2:16">
      <c r="B267" s="52">
        <f>VLOOKUP(T_ApifImport[[#This Row],[Bilans]],T_Bilansi[],4,0)</f>
        <v>27</v>
      </c>
      <c r="C267" s="173">
        <f>VLOOKUP(T_ApifImport[[#This Row],[ld]],T_Aop[],4,0)</f>
        <v>404</v>
      </c>
      <c r="D26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7" s="25" t="e">
        <v>#VALUE!</v>
      </c>
      <c r="G26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7" s="22" t="n">
        <v>267</v>
      </c>
      <c r="P267" s="54" t="s">
        <v>306</v>
      </c>
    </row>
    <row r="268" spans="2:16">
      <c r="B268" s="52">
        <f>VLOOKUP(T_ApifImport[[#This Row],[Bilans]],T_Bilansi[],4,0)</f>
        <v>27</v>
      </c>
      <c r="C268" s="173">
        <f>VLOOKUP(T_ApifImport[[#This Row],[ld]],T_Aop[],4,0)</f>
        <v>405</v>
      </c>
      <c r="D26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8" s="25" t="e">
        <v>#VALUE!</v>
      </c>
      <c r="G26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8" s="22" t="n">
        <v>268</v>
      </c>
      <c r="P268" s="54" t="s">
        <v>306</v>
      </c>
    </row>
    <row r="269" spans="2:16">
      <c r="B269" s="52">
        <f>VLOOKUP(T_ApifImport[[#This Row],[Bilans]],T_Bilansi[],4,0)</f>
        <v>27</v>
      </c>
      <c r="C269" s="173">
        <f>VLOOKUP(T_ApifImport[[#This Row],[ld]],T_Aop[],4,0)</f>
        <v>406</v>
      </c>
      <c r="D26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9" s="25" t="e">
        <v>#VALUE!</v>
      </c>
      <c r="G2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9" s="22" t="n">
        <v>269</v>
      </c>
      <c r="P269" s="54" t="s">
        <v>306</v>
      </c>
    </row>
    <row r="270" spans="2:16">
      <c r="B270" s="52">
        <f>VLOOKUP(T_ApifImport[[#This Row],[Bilans]],T_Bilansi[],4,0)</f>
        <v>27</v>
      </c>
      <c r="C270" s="173">
        <f>VLOOKUP(T_ApifImport[[#This Row],[ld]],T_Aop[],4,0)</f>
        <v>407</v>
      </c>
      <c r="D27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0" s="25" t="e">
        <v>#VALUE!</v>
      </c>
      <c r="G2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0" s="22" t="n">
        <v>270</v>
      </c>
      <c r="P270" s="54" t="s">
        <v>306</v>
      </c>
    </row>
    <row r="271" spans="2:16">
      <c r="B271" s="52">
        <f>VLOOKUP(T_ApifImport[[#This Row],[Bilans]],T_Bilansi[],4,0)</f>
        <v>27</v>
      </c>
      <c r="C271" s="173">
        <f>VLOOKUP(T_ApifImport[[#This Row],[ld]],T_Aop[],4,0)</f>
        <v>408</v>
      </c>
      <c r="D27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2736</v>
      </c>
      <c r="F271" s="25" t="e">
        <v>#VALUE!</v>
      </c>
      <c r="G2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1" s="22" t="n">
        <v>271</v>
      </c>
      <c r="P271" s="54" t="s">
        <v>306</v>
      </c>
    </row>
    <row r="272" spans="2:16">
      <c r="B272" s="52">
        <f>VLOOKUP(T_ApifImport[[#This Row],[Bilans]],T_Bilansi[],4,0)</f>
        <v>27</v>
      </c>
      <c r="C272" s="173">
        <f>VLOOKUP(T_ApifImport[[#This Row],[ld]],T_Aop[],4,0)</f>
        <v>409</v>
      </c>
      <c r="D27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2736</v>
      </c>
      <c r="F272" s="25" t="e">
        <v>#VALUE!</v>
      </c>
      <c r="G2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2" s="22" t="n">
        <v>272</v>
      </c>
      <c r="P272" s="54" t="s">
        <v>306</v>
      </c>
    </row>
    <row r="273" spans="2:16">
      <c r="B273" s="52">
        <f>VLOOKUP(T_ApifImport[[#This Row],[Bilans]],T_Bilansi[],4,0)</f>
        <v>27</v>
      </c>
      <c r="C273" s="173">
        <f>VLOOKUP(T_ApifImport[[#This Row],[ld]],T_Aop[],4,0)</f>
        <v>410</v>
      </c>
      <c r="D27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3" s="25" t="e">
        <v>#VALUE!</v>
      </c>
      <c r="G2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3" s="22" t="n">
        <v>273</v>
      </c>
      <c r="P273" s="54" t="s">
        <v>306</v>
      </c>
    </row>
    <row r="274" spans="2:16">
      <c r="B274" s="52">
        <f>VLOOKUP(T_ApifImport[[#This Row],[Bilans]],T_Bilansi[],4,0)</f>
        <v>27</v>
      </c>
      <c r="C274" s="173">
        <f>VLOOKUP(T_ApifImport[[#This Row],[ld]],T_Aop[],4,0)</f>
        <v>411</v>
      </c>
      <c r="D27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4" s="25" t="e">
        <v>#VALUE!</v>
      </c>
      <c r="G2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4" s="22" t="n">
        <v>274</v>
      </c>
      <c r="P274" s="54" t="s">
        <v>306</v>
      </c>
    </row>
    <row r="275" spans="2:16">
      <c r="B275" s="52">
        <f>VLOOKUP(T_ApifImport[[#This Row],[Bilans]],T_Bilansi[],4,0)</f>
        <v>27</v>
      </c>
      <c r="C275" s="173">
        <f>VLOOKUP(T_ApifImport[[#This Row],[ld]],T_Aop[],4,0)</f>
        <v>412</v>
      </c>
      <c r="D27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5" s="25" t="e">
        <v>#VALUE!</v>
      </c>
      <c r="G2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5" s="22" t="n">
        <v>275</v>
      </c>
      <c r="P275" s="54" t="s">
        <v>306</v>
      </c>
    </row>
    <row r="276" spans="2:16">
      <c r="B276" s="52">
        <f>VLOOKUP(T_ApifImport[[#This Row],[Bilans]],T_Bilansi[],4,0)</f>
        <v>27</v>
      </c>
      <c r="C276" s="173">
        <f>VLOOKUP(T_ApifImport[[#This Row],[ld]],T_Aop[],4,0)</f>
        <v>413</v>
      </c>
      <c r="D27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6" s="25" t="e">
        <v>#VALUE!</v>
      </c>
      <c r="G2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6" s="22" t="n">
        <v>276</v>
      </c>
      <c r="P276" s="54" t="s">
        <v>306</v>
      </c>
    </row>
    <row r="277" spans="2:16">
      <c r="B277" s="52">
        <f>VLOOKUP(T_ApifImport[[#This Row],[Bilans]],T_Bilansi[],4,0)</f>
        <v>27</v>
      </c>
      <c r="C277" s="173">
        <f>VLOOKUP(T_ApifImport[[#This Row],[ld]],T_Aop[],4,0)</f>
        <v>414</v>
      </c>
      <c r="D27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7" s="25" t="e">
        <v>#VALUE!</v>
      </c>
      <c r="G2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7" s="22" t="n">
        <v>277</v>
      </c>
      <c r="P277" s="54" t="s">
        <v>306</v>
      </c>
    </row>
    <row r="278" spans="2:16">
      <c r="B278" s="52">
        <f>VLOOKUP(T_ApifImport[[#This Row],[Bilans]],T_Bilansi[],4,0)</f>
        <v>27</v>
      </c>
      <c r="C278" s="173">
        <f>VLOOKUP(T_ApifImport[[#This Row],[ld]],T_Aop[],4,0)</f>
        <v>415</v>
      </c>
      <c r="D27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2736</v>
      </c>
      <c r="F278" s="25" t="e">
        <v>#VALUE!</v>
      </c>
      <c r="G2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8" s="22" t="n">
        <v>278</v>
      </c>
      <c r="P278" s="54" t="s">
        <v>306</v>
      </c>
    </row>
    <row r="279" spans="2:16">
      <c r="B279" s="52">
        <f>VLOOKUP(T_ApifImport[[#This Row],[Bilans]],T_Bilansi[],4,0)</f>
        <v>27</v>
      </c>
      <c r="C279" s="173">
        <f>VLOOKUP(T_ApifImport[[#This Row],[ld]],T_Aop[],4,0)</f>
        <v>416</v>
      </c>
      <c r="D27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3541</v>
      </c>
      <c r="F279" s="25" t="e">
        <v>#VALUE!</v>
      </c>
      <c r="G2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9" s="22" t="n">
        <v>280</v>
      </c>
      <c r="P279" s="54" t="s">
        <v>306</v>
      </c>
    </row>
    <row r="280" spans="2:16">
      <c r="B280" s="52">
        <f>VLOOKUP(T_ApifImport[[#This Row],[Bilans]],T_Bilansi[],4,0)</f>
        <v>27</v>
      </c>
      <c r="C280" s="173">
        <f>VLOOKUP(T_ApifImport[[#This Row],[ld]],T_Aop[],4,0)</f>
        <v>417</v>
      </c>
      <c r="D28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0" s="25" t="e">
        <v>#VALUE!</v>
      </c>
      <c r="G2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0" s="22" t="n">
        <v>282</v>
      </c>
      <c r="P280" s="54" t="s">
        <v>306</v>
      </c>
    </row>
    <row r="281" spans="2:16">
      <c r="B281" s="372">
        <f>VLOOKUP(T_ApifImport[[#This Row],[Bilans]],T_Bilansi[],4,0)</f>
        <v>27</v>
      </c>
      <c r="C281" s="198">
        <f>VLOOKUP(T_ApifImport[[#This Row],[ld]],T_Aop[],4,0)</f>
        <v>418</v>
      </c>
      <c r="D28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1" s="199"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1" s="199" t="e">
        <v>#VALUE!</v>
      </c>
      <c r="G281" s="199" t="str">
        <f aca="1">IF(ISNA(VLOOKUP(T_ApifImport[[#This Row],[Bilans]:[Bilans]]&amp;T_ApifImport[[#Headers],[Kolona3]],T_ApifKolone[],4,0)),"",VLOOKUP(T_ApifImport[[#This Row],[AOP]:[AOP]],INDIRECT("Lookup_"&amp;T_ApifImport[[#This Row],[Bilans]:[Bilans]]),VLOOKUP(T_ApifImport[[#This Row],[Bilans]:[Bilans]]&amp;T_ApifImport[[#Headers],[Kolona3]],T_ApifKolone[],4,0),0))</f>
        <v/>
      </c>
      <c r="H281" s="199" t="str">
        <f aca="1">IF(ISNA(VLOOKUP(T_ApifImport[[#This Row],[Bilans]:[Bilans]]&amp;T_ApifImport[[#Headers],[Kolona4]],T_ApifKolone[],4,0)),"",VLOOKUP(T_ApifImport[[#This Row],[AOP]:[AOP]],INDIRECT("Lookup_"&amp;T_ApifImport[[#This Row],[Bilans]:[Bilans]]),VLOOKUP(T_ApifImport[[#This Row],[Bilans]:[Bilans]]&amp;T_ApifImport[[#Headers],[Kolona4]],T_ApifKolone[],4,0),0))</f>
        <v/>
      </c>
      <c r="I281" s="199" t="str">
        <f aca="1">IF(ISNA(VLOOKUP(T_ApifImport[[#This Row],[Bilans]:[Bilans]]&amp;T_ApifImport[[#Headers],[Kolona5]],T_ApifKolone[],4,0)),"",VLOOKUP(T_ApifImport[[#This Row],[AOP]:[AOP]],INDIRECT("Lookup_"&amp;T_ApifImport[[#This Row],[Bilans]:[Bilans]]),VLOOKUP(T_ApifImport[[#This Row],[Bilans]:[Bilans]]&amp;T_ApifImport[[#Headers],[Kolona5]],T_ApifKolone[],4,0),0))</f>
        <v/>
      </c>
      <c r="J2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1" s="49" t="n">
        <v>283</v>
      </c>
      <c r="P281" s="29" t="s">
        <v>306</v>
      </c>
    </row>
    <row r="282" spans="2:16">
      <c r="B282" s="52">
        <f>VLOOKUP(T_ApifImport[[#This Row],[Bilans]],T_Bilansi[],4,0)</f>
        <v>29</v>
      </c>
      <c r="C282" s="173">
        <f>VLOOKUP(T_ApifImport[[#This Row],[ld]],T_Aop[],4,0)</f>
        <v>501</v>
      </c>
      <c r="D28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401004</v>
      </c>
      <c r="F282" s="25" t="e">
        <v>#VALUE!</v>
      </c>
      <c r="G2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2" s="22" t="n">
        <v>284</v>
      </c>
      <c r="P282" s="54" t="s">
        <v>316</v>
      </c>
    </row>
    <row r="283" spans="2:16">
      <c r="B283" s="52">
        <f>VLOOKUP(T_ApifImport[[#This Row],[Bilans]],T_Bilansi[],4,0)</f>
        <v>29</v>
      </c>
      <c r="C283" s="173">
        <f>VLOOKUP(T_ApifImport[[#This Row],[ld]],T_Aop[],4,0)</f>
        <v>502</v>
      </c>
      <c r="D28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396004</v>
      </c>
      <c r="F283" s="25" t="e">
        <v>#VALUE!</v>
      </c>
      <c r="G2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3" s="22" t="n">
        <v>285</v>
      </c>
      <c r="P283" s="54" t="s">
        <v>316</v>
      </c>
    </row>
    <row r="284" spans="2:16">
      <c r="B284" s="52">
        <f>VLOOKUP(T_ApifImport[[#This Row],[Bilans]],T_Bilansi[],4,0)</f>
        <v>29</v>
      </c>
      <c r="C284" s="173">
        <f>VLOOKUP(T_ApifImport[[#This Row],[ld]],T_Aop[],4,0)</f>
        <v>503</v>
      </c>
      <c r="D28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4" s="25" t="e">
        <v>#VALUE!</v>
      </c>
      <c r="G2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4" s="22" t="n">
        <v>286</v>
      </c>
      <c r="P284" s="54" t="s">
        <v>316</v>
      </c>
    </row>
    <row r="285" spans="2:16">
      <c r="B285" s="52">
        <f>VLOOKUP(T_ApifImport[[#This Row],[Bilans]],T_Bilansi[],4,0)</f>
        <v>29</v>
      </c>
      <c r="C285" s="173">
        <f>VLOOKUP(T_ApifImport[[#This Row],[ld]],T_Aop[],4,0)</f>
        <v>504</v>
      </c>
      <c r="D28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5" s="25" t="e">
        <v>#VALUE!</v>
      </c>
      <c r="G2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5" s="22" t="n">
        <v>287</v>
      </c>
      <c r="P285" s="54" t="s">
        <v>316</v>
      </c>
    </row>
    <row r="286" spans="2:16">
      <c r="B286" s="52">
        <f>VLOOKUP(T_ApifImport[[#This Row],[Bilans]],T_Bilansi[],4,0)</f>
        <v>29</v>
      </c>
      <c r="C286" s="173">
        <f>VLOOKUP(T_ApifImport[[#This Row],[ld]],T_Aop[],4,0)</f>
        <v>505</v>
      </c>
      <c r="D28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5000</v>
      </c>
      <c r="F286" s="25" t="e">
        <v>#VALUE!</v>
      </c>
      <c r="G2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6" s="22" t="n">
        <v>288</v>
      </c>
      <c r="P286" s="54" t="s">
        <v>316</v>
      </c>
    </row>
    <row r="287" spans="2:16">
      <c r="B287" s="52">
        <f>VLOOKUP(T_ApifImport[[#This Row],[Bilans]],T_Bilansi[],4,0)</f>
        <v>29</v>
      </c>
      <c r="C287" s="173">
        <f>VLOOKUP(T_ApifImport[[#This Row],[ld]],T_Aop[],4,0)</f>
        <v>506</v>
      </c>
      <c r="D28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330768</v>
      </c>
      <c r="F287" s="25" t="e">
        <v>#VALUE!</v>
      </c>
      <c r="G2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7" s="22" t="n">
        <v>289</v>
      </c>
      <c r="P287" s="54" t="s">
        <v>316</v>
      </c>
    </row>
    <row r="288" spans="2:16">
      <c r="B288" s="52">
        <f>VLOOKUP(T_ApifImport[[#This Row],[Bilans]],T_Bilansi[],4,0)</f>
        <v>29</v>
      </c>
      <c r="C288" s="173">
        <f>VLOOKUP(T_ApifImport[[#This Row],[ld]],T_Aop[],4,0)</f>
        <v>507</v>
      </c>
      <c r="D28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122286</v>
      </c>
      <c r="F288" s="25" t="e">
        <v>#VALUE!</v>
      </c>
      <c r="G2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8" s="22" t="n">
        <v>290</v>
      </c>
      <c r="P288" s="54" t="s">
        <v>316</v>
      </c>
    </row>
    <row r="289" spans="2:16">
      <c r="B289" s="52">
        <f>VLOOKUP(T_ApifImport[[#This Row],[Bilans]],T_Bilansi[],4,0)</f>
        <v>29</v>
      </c>
      <c r="C289" s="173">
        <f>VLOOKUP(T_ApifImport[[#This Row],[ld]],T_Aop[],4,0)</f>
        <v>508</v>
      </c>
      <c r="D28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9" s="25" t="e">
        <v>#VALUE!</v>
      </c>
      <c r="G2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9" s="22" t="n">
        <v>291</v>
      </c>
      <c r="P289" s="54" t="s">
        <v>316</v>
      </c>
    </row>
    <row r="290" spans="2:16">
      <c r="B290" s="52">
        <f>VLOOKUP(T_ApifImport[[#This Row],[Bilans]],T_Bilansi[],4,0)</f>
        <v>29</v>
      </c>
      <c r="C290" s="173">
        <f>VLOOKUP(T_ApifImport[[#This Row],[ld]],T_Aop[],4,0)</f>
        <v>509</v>
      </c>
      <c r="D29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13462</v>
      </c>
      <c r="F290" s="25" t="e">
        <v>#VALUE!</v>
      </c>
      <c r="G2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0" s="22" t="n">
        <v>292</v>
      </c>
      <c r="P290" s="54" t="s">
        <v>316</v>
      </c>
    </row>
    <row r="291" spans="2:16">
      <c r="B291" s="52">
        <f>VLOOKUP(T_ApifImport[[#This Row],[Bilans]],T_Bilansi[],4,0)</f>
        <v>29</v>
      </c>
      <c r="C291" s="173">
        <f>VLOOKUP(T_ApifImport[[#This Row],[ld]],T_Aop[],4,0)</f>
        <v>510</v>
      </c>
      <c r="D29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96117</v>
      </c>
      <c r="F291" s="25" t="e">
        <v>#VALUE!</v>
      </c>
      <c r="G2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1" s="22" t="n">
        <v>293</v>
      </c>
      <c r="P291" s="54" t="s">
        <v>316</v>
      </c>
    </row>
    <row r="292" spans="2:16">
      <c r="B292" s="52">
        <f>VLOOKUP(T_ApifImport[[#This Row],[Bilans]],T_Bilansi[],4,0)</f>
        <v>29</v>
      </c>
      <c r="C292" s="173">
        <f>VLOOKUP(T_ApifImport[[#This Row],[ld]],T_Aop[],4,0)</f>
        <v>511</v>
      </c>
      <c r="D29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2" s="25" t="e">
        <v>#VALUE!</v>
      </c>
      <c r="G2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2" s="22" t="n">
        <v>294</v>
      </c>
      <c r="P292" s="54" t="s">
        <v>316</v>
      </c>
    </row>
    <row r="293" spans="2:16">
      <c r="B293" s="52">
        <f>VLOOKUP(T_ApifImport[[#This Row],[Bilans]],T_Bilansi[],4,0)</f>
        <v>29</v>
      </c>
      <c r="C293" s="173">
        <f>VLOOKUP(T_ApifImport[[#This Row],[ld]],T_Aop[],4,0)</f>
        <v>512</v>
      </c>
      <c r="D29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98903</v>
      </c>
      <c r="F293" s="25" t="e">
        <v>#VALUE!</v>
      </c>
      <c r="G2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3" s="22" t="n">
        <v>295</v>
      </c>
      <c r="P293" s="54" t="s">
        <v>316</v>
      </c>
    </row>
    <row r="294" spans="2:16">
      <c r="B294" s="52">
        <f>VLOOKUP(T_ApifImport[[#This Row],[Bilans]],T_Bilansi[],4,0)</f>
        <v>29</v>
      </c>
      <c r="C294" s="173">
        <f>VLOOKUP(T_ApifImport[[#This Row],[ld]],T_Aop[],4,0)</f>
        <v>513</v>
      </c>
      <c r="D29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70236</v>
      </c>
      <c r="F294" s="25" t="e">
        <v>#VALUE!</v>
      </c>
      <c r="G2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4" s="22" t="n">
        <v>296</v>
      </c>
      <c r="P294" s="54" t="s">
        <v>316</v>
      </c>
    </row>
    <row r="295" spans="2:16">
      <c r="B295" s="52">
        <f>VLOOKUP(T_ApifImport[[#This Row],[Bilans]],T_Bilansi[],4,0)</f>
        <v>29</v>
      </c>
      <c r="C295" s="173">
        <f>VLOOKUP(T_ApifImport[[#This Row],[ld]],T_Aop[],4,0)</f>
        <v>514</v>
      </c>
      <c r="D29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5" s="25" t="e">
        <v>#VALUE!</v>
      </c>
      <c r="G2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5" s="22" t="n">
        <v>297</v>
      </c>
      <c r="P295" s="54" t="s">
        <v>316</v>
      </c>
    </row>
    <row r="296" spans="2:16">
      <c r="B296" s="52">
        <f>VLOOKUP(T_ApifImport[[#This Row],[Bilans]],T_Bilansi[],4,0)</f>
        <v>29</v>
      </c>
      <c r="C296" s="173">
        <f>VLOOKUP(T_ApifImport[[#This Row],[ld]],T_Aop[],4,0)</f>
        <v>515</v>
      </c>
      <c r="D29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6" s="25" t="e">
        <v>#VALUE!</v>
      </c>
      <c r="G2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6" s="22" t="n">
        <v>298</v>
      </c>
      <c r="P296" s="54" t="s">
        <v>316</v>
      </c>
    </row>
    <row r="297" spans="2:16">
      <c r="B297" s="52">
        <f>VLOOKUP(T_ApifImport[[#This Row],[Bilans]],T_Bilansi[],4,0)</f>
        <v>29</v>
      </c>
      <c r="C297" s="173">
        <f>VLOOKUP(T_ApifImport[[#This Row],[ld]],T_Aop[],4,0)</f>
        <v>516</v>
      </c>
      <c r="D29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7" s="25" t="e">
        <v>#VALUE!</v>
      </c>
      <c r="G2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7" s="22" t="n">
        <v>299</v>
      </c>
      <c r="P297" s="54" t="s">
        <v>316</v>
      </c>
    </row>
    <row r="298" spans="2:16">
      <c r="B298" s="52">
        <f>VLOOKUP(T_ApifImport[[#This Row],[Bilans]],T_Bilansi[],4,0)</f>
        <v>29</v>
      </c>
      <c r="C298" s="173">
        <f>VLOOKUP(T_ApifImport[[#This Row],[ld]],T_Aop[],4,0)</f>
        <v>517</v>
      </c>
      <c r="D29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8" s="25" t="e">
        <v>#VALUE!</v>
      </c>
      <c r="G2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8" s="22" t="n">
        <v>300</v>
      </c>
      <c r="P298" s="54" t="s">
        <v>316</v>
      </c>
    </row>
    <row r="299" spans="2:16">
      <c r="B299" s="52">
        <f>VLOOKUP(T_ApifImport[[#This Row],[Bilans]],T_Bilansi[],4,0)</f>
        <v>29</v>
      </c>
      <c r="C299" s="173">
        <f>VLOOKUP(T_ApifImport[[#This Row],[ld]],T_Aop[],4,0)</f>
        <v>518</v>
      </c>
      <c r="D29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9" s="25" t="e">
        <v>#VALUE!</v>
      </c>
      <c r="G2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9" s="22" t="n">
        <v>301</v>
      </c>
      <c r="P299" s="54" t="s">
        <v>316</v>
      </c>
    </row>
    <row r="300" spans="2:16">
      <c r="B300" s="52">
        <f>VLOOKUP(T_ApifImport[[#This Row],[Bilans]],T_Bilansi[],4,0)</f>
        <v>29</v>
      </c>
      <c r="C300" s="173">
        <f>VLOOKUP(T_ApifImport[[#This Row],[ld]],T_Aop[],4,0)</f>
        <v>519</v>
      </c>
      <c r="D30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0" s="25" t="e">
        <v>#VALUE!</v>
      </c>
      <c r="F300" s="25" t="e">
        <v>#VALUE!</v>
      </c>
      <c r="G3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0" s="22" t="n">
        <v>302</v>
      </c>
      <c r="P300" s="54" t="s">
        <v>316</v>
      </c>
    </row>
    <row r="301" spans="2:16">
      <c r="B301" s="52">
        <f>VLOOKUP(T_ApifImport[[#This Row],[Bilans]],T_Bilansi[],4,0)</f>
        <v>29</v>
      </c>
      <c r="C301" s="173">
        <f>VLOOKUP(T_ApifImport[[#This Row],[ld]],T_Aop[],4,0)</f>
        <v>520</v>
      </c>
      <c r="D30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1" s="25" t="e">
        <v>#VALUE!</v>
      </c>
      <c r="F301" s="25">
        <f aca="1">IF(ISNA(VLOOKUP(T_ApifImport[[#This Row],[Bilans]:[Bilans]]&amp;T_ApifImport[[#Headers],[Kolona2]],T_ApifKolone[],4,0)),"",VLOOKUP(T_ApifImport[[#This Row],[AOP]:[AOP]],INDIRECT("Lookup_"&amp;T_ApifImport[[#This Row],[Bilans]:[Bilans]]),VLOOKUP(T_ApifImport[[#This Row],[Bilans]:[Bilans]]&amp;T_ApifImport[[#Headers],[Kolona2]],T_ApifKolone[],4,0),0))</f>
        <v>0</v>
      </c>
      <c r="G3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1" s="22" t="n">
        <v>303</v>
      </c>
      <c r="P301" s="54" t="s">
        <v>316</v>
      </c>
    </row>
    <row r="302" spans="2:16">
      <c r="B302" s="52">
        <f>VLOOKUP(T_ApifImport[[#This Row],[Bilans]],T_Bilansi[],4,0)</f>
        <v>29</v>
      </c>
      <c r="C302" s="173">
        <f>VLOOKUP(T_ApifImport[[#This Row],[ld]],T_Aop[],4,0)</f>
        <v>521</v>
      </c>
      <c r="D30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2" s="25" t="e">
        <v>#VALUE!</v>
      </c>
      <c r="F302" s="25">
        <f aca="1">IF(ISNA(VLOOKUP(T_ApifImport[[#This Row],[Bilans]:[Bilans]]&amp;T_ApifImport[[#Headers],[Kolona2]],T_ApifKolone[],4,0)),"",VLOOKUP(T_ApifImport[[#This Row],[AOP]:[AOP]],INDIRECT("Lookup_"&amp;T_ApifImport[[#This Row],[Bilans]:[Bilans]]),VLOOKUP(T_ApifImport[[#This Row],[Bilans]:[Bilans]]&amp;T_ApifImport[[#Headers],[Kolona2]],T_ApifKolone[],4,0),0))</f>
        <v>0</v>
      </c>
      <c r="G3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2" s="22" t="n">
        <v>304</v>
      </c>
      <c r="P302" s="54" t="s">
        <v>316</v>
      </c>
    </row>
    <row r="303" spans="2:16">
      <c r="B303" s="52">
        <f>VLOOKUP(T_ApifImport[[#This Row],[Bilans]],T_Bilansi[],4,0)</f>
        <v>29</v>
      </c>
      <c r="C303" s="173">
        <f>VLOOKUP(T_ApifImport[[#This Row],[ld]],T_Aop[],4,0)</f>
        <v>522</v>
      </c>
      <c r="D30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3" s="25" t="e">
        <v>#VALUE!</v>
      </c>
      <c r="F303" s="25">
        <f aca="1">IF(ISNA(VLOOKUP(T_ApifImport[[#This Row],[Bilans]:[Bilans]]&amp;T_ApifImport[[#Headers],[Kolona2]],T_ApifKolone[],4,0)),"",VLOOKUP(T_ApifImport[[#This Row],[AOP]:[AOP]],INDIRECT("Lookup_"&amp;T_ApifImport[[#This Row],[Bilans]:[Bilans]]),VLOOKUP(T_ApifImport[[#This Row],[Bilans]:[Bilans]]&amp;T_ApifImport[[#Headers],[Kolona2]],T_ApifKolone[],4,0),0))</f>
        <v>0</v>
      </c>
      <c r="G3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3" s="22" t="n">
        <v>305</v>
      </c>
      <c r="P303" s="54" t="s">
        <v>316</v>
      </c>
    </row>
    <row r="304" spans="2:16">
      <c r="B304" s="52">
        <f>VLOOKUP(T_ApifImport[[#This Row],[Bilans]],T_Bilansi[],4,0)</f>
        <v>29</v>
      </c>
      <c r="C304" s="173">
        <f>VLOOKUP(T_ApifImport[[#This Row],[ld]],T_Aop[],4,0)</f>
        <v>523</v>
      </c>
      <c r="D30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4" s="25" t="e">
        <v>#VALUE!</v>
      </c>
      <c r="F304" s="25">
        <f aca="1">IF(ISNA(VLOOKUP(T_ApifImport[[#This Row],[Bilans]:[Bilans]]&amp;T_ApifImport[[#Headers],[Kolona2]],T_ApifKolone[],4,0)),"",VLOOKUP(T_ApifImport[[#This Row],[AOP]:[AOP]],INDIRECT("Lookup_"&amp;T_ApifImport[[#This Row],[Bilans]:[Bilans]]),VLOOKUP(T_ApifImport[[#This Row],[Bilans]:[Bilans]]&amp;T_ApifImport[[#Headers],[Kolona2]],T_ApifKolone[],4,0),0))</f>
        <v>0</v>
      </c>
      <c r="G3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4" s="22" t="n">
        <v>306</v>
      </c>
      <c r="P304" s="54" t="s">
        <v>316</v>
      </c>
    </row>
    <row r="305" spans="2:16">
      <c r="B305" s="52">
        <f>VLOOKUP(T_ApifImport[[#This Row],[Bilans]],T_Bilansi[],4,0)</f>
        <v>29</v>
      </c>
      <c r="C305" s="173">
        <f>VLOOKUP(T_ApifImport[[#This Row],[ld]],T_Aop[],4,0)</f>
        <v>524</v>
      </c>
      <c r="D30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5" s="25" t="e">
        <v>#VALUE!</v>
      </c>
      <c r="F305" s="25">
        <f aca="1">IF(ISNA(VLOOKUP(T_ApifImport[[#This Row],[Bilans]:[Bilans]]&amp;T_ApifImport[[#Headers],[Kolona2]],T_ApifKolone[],4,0)),"",VLOOKUP(T_ApifImport[[#This Row],[AOP]:[AOP]],INDIRECT("Lookup_"&amp;T_ApifImport[[#This Row],[Bilans]:[Bilans]]),VLOOKUP(T_ApifImport[[#This Row],[Bilans]:[Bilans]]&amp;T_ApifImport[[#Headers],[Kolona2]],T_ApifKolone[],4,0),0))</f>
        <v>0</v>
      </c>
      <c r="G3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5" s="22" t="n">
        <v>307</v>
      </c>
      <c r="P305" s="54" t="s">
        <v>316</v>
      </c>
    </row>
    <row r="306" spans="2:16">
      <c r="B306" s="52">
        <f>VLOOKUP(T_ApifImport[[#This Row],[Bilans]],T_Bilansi[],4,0)</f>
        <v>29</v>
      </c>
      <c r="C306" s="173">
        <f>VLOOKUP(T_ApifImport[[#This Row],[ld]],T_Aop[],4,0)</f>
        <v>525</v>
      </c>
      <c r="D30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6" s="25" t="e">
        <v>#VALUE!</v>
      </c>
      <c r="F306" s="25">
        <f aca="1">IF(ISNA(VLOOKUP(T_ApifImport[[#This Row],[Bilans]:[Bilans]]&amp;T_ApifImport[[#Headers],[Kolona2]],T_ApifKolone[],4,0)),"",VLOOKUP(T_ApifImport[[#This Row],[AOP]:[AOP]],INDIRECT("Lookup_"&amp;T_ApifImport[[#This Row],[Bilans]:[Bilans]]),VLOOKUP(T_ApifImport[[#This Row],[Bilans]:[Bilans]]&amp;T_ApifImport[[#Headers],[Kolona2]],T_ApifKolone[],4,0),0))</f>
        <v>0</v>
      </c>
      <c r="G3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6" s="22" t="n">
        <v>308</v>
      </c>
      <c r="P306" s="54" t="s">
        <v>316</v>
      </c>
    </row>
    <row r="307" spans="2:16">
      <c r="B307" s="52">
        <f>VLOOKUP(T_ApifImport[[#This Row],[Bilans]],T_Bilansi[],4,0)</f>
        <v>29</v>
      </c>
      <c r="C307" s="173">
        <f>VLOOKUP(T_ApifImport[[#This Row],[ld]],T_Aop[],4,0)</f>
        <v>526</v>
      </c>
      <c r="D30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7" s="25" t="e">
        <v>#VALUE!</v>
      </c>
      <c r="F307" s="25">
        <f aca="1">IF(ISNA(VLOOKUP(T_ApifImport[[#This Row],[Bilans]:[Bilans]]&amp;T_ApifImport[[#Headers],[Kolona2]],T_ApifKolone[],4,0)),"",VLOOKUP(T_ApifImport[[#This Row],[AOP]:[AOP]],INDIRECT("Lookup_"&amp;T_ApifImport[[#This Row],[Bilans]:[Bilans]]),VLOOKUP(T_ApifImport[[#This Row],[Bilans]:[Bilans]]&amp;T_ApifImport[[#Headers],[Kolona2]],T_ApifKolone[],4,0),0))</f>
        <v>0</v>
      </c>
      <c r="G3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7" s="22" t="n">
        <v>309</v>
      </c>
      <c r="P307" s="54" t="s">
        <v>316</v>
      </c>
    </row>
    <row r="308" spans="2:16">
      <c r="B308" s="52">
        <f>VLOOKUP(T_ApifImport[[#This Row],[Bilans]],T_Bilansi[],4,0)</f>
        <v>29</v>
      </c>
      <c r="C308" s="173">
        <f>VLOOKUP(T_ApifImport[[#This Row],[ld]],T_Aop[],4,0)</f>
        <v>527</v>
      </c>
      <c r="D30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8" s="25" t="e">
        <v>#VALUE!</v>
      </c>
      <c r="F308" s="25">
        <f aca="1">IF(ISNA(VLOOKUP(T_ApifImport[[#This Row],[Bilans]:[Bilans]]&amp;T_ApifImport[[#Headers],[Kolona2]],T_ApifKolone[],4,0)),"",VLOOKUP(T_ApifImport[[#This Row],[AOP]:[AOP]],INDIRECT("Lookup_"&amp;T_ApifImport[[#This Row],[Bilans]:[Bilans]]),VLOOKUP(T_ApifImport[[#This Row],[Bilans]:[Bilans]]&amp;T_ApifImport[[#Headers],[Kolona2]],T_ApifKolone[],4,0),0))</f>
        <v>0</v>
      </c>
      <c r="G3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8" s="22" t="n">
        <v>310</v>
      </c>
      <c r="P308" s="54" t="s">
        <v>316</v>
      </c>
    </row>
    <row r="309" spans="2:16">
      <c r="B309" s="52">
        <f>VLOOKUP(T_ApifImport[[#This Row],[Bilans]],T_Bilansi[],4,0)</f>
        <v>29</v>
      </c>
      <c r="C309" s="173">
        <f>VLOOKUP(T_ApifImport[[#This Row],[ld]],T_Aop[],4,0)</f>
        <v>528</v>
      </c>
      <c r="D30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9" s="25" t="e">
        <v>#VALUE!</v>
      </c>
      <c r="F309" s="25">
        <f aca="1">IF(ISNA(VLOOKUP(T_ApifImport[[#This Row],[Bilans]:[Bilans]]&amp;T_ApifImport[[#Headers],[Kolona2]],T_ApifKolone[],4,0)),"",VLOOKUP(T_ApifImport[[#This Row],[AOP]:[AOP]],INDIRECT("Lookup_"&amp;T_ApifImport[[#This Row],[Bilans]:[Bilans]]),VLOOKUP(T_ApifImport[[#This Row],[Bilans]:[Bilans]]&amp;T_ApifImport[[#Headers],[Kolona2]],T_ApifKolone[],4,0),0))</f>
        <v>0</v>
      </c>
      <c r="G3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9" s="22" t="n">
        <v>311</v>
      </c>
      <c r="P309" s="54" t="s">
        <v>316</v>
      </c>
    </row>
    <row r="310" spans="2:16">
      <c r="B310" s="52">
        <f>VLOOKUP(T_ApifImport[[#This Row],[Bilans]],T_Bilansi[],4,0)</f>
        <v>29</v>
      </c>
      <c r="C310" s="173">
        <f>VLOOKUP(T_ApifImport[[#This Row],[ld]],T_Aop[],4,0)</f>
        <v>529</v>
      </c>
      <c r="D3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0" s="25" t="e">
        <v>#VALUE!</v>
      </c>
      <c r="F310" s="25">
        <f aca="1">IF(ISNA(VLOOKUP(T_ApifImport[[#This Row],[Bilans]:[Bilans]]&amp;T_ApifImport[[#Headers],[Kolona2]],T_ApifKolone[],4,0)),"",VLOOKUP(T_ApifImport[[#This Row],[AOP]:[AOP]],INDIRECT("Lookup_"&amp;T_ApifImport[[#This Row],[Bilans]:[Bilans]]),VLOOKUP(T_ApifImport[[#This Row],[Bilans]:[Bilans]]&amp;T_ApifImport[[#Headers],[Kolona2]],T_ApifKolone[],4,0),0))</f>
        <v>0</v>
      </c>
      <c r="G3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0" s="22" t="n">
        <v>312</v>
      </c>
      <c r="P310" s="54" t="s">
        <v>316</v>
      </c>
    </row>
    <row r="311" spans="2:16">
      <c r="B311" s="52">
        <f>VLOOKUP(T_ApifImport[[#This Row],[Bilans]],T_Bilansi[],4,0)</f>
        <v>29</v>
      </c>
      <c r="C311" s="173">
        <f>VLOOKUP(T_ApifImport[[#This Row],[ld]],T_Aop[],4,0)</f>
        <v>530</v>
      </c>
      <c r="D3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1" s="25" t="e">
        <v>#VALUE!</v>
      </c>
      <c r="F311" s="25">
        <f aca="1">IF(ISNA(VLOOKUP(T_ApifImport[[#This Row],[Bilans]:[Bilans]]&amp;T_ApifImport[[#Headers],[Kolona2]],T_ApifKolone[],4,0)),"",VLOOKUP(T_ApifImport[[#This Row],[AOP]:[AOP]],INDIRECT("Lookup_"&amp;T_ApifImport[[#This Row],[Bilans]:[Bilans]]),VLOOKUP(T_ApifImport[[#This Row],[Bilans]:[Bilans]]&amp;T_ApifImport[[#Headers],[Kolona2]],T_ApifKolone[],4,0),0))</f>
        <v>0</v>
      </c>
      <c r="G3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1" s="22" t="n">
        <v>313</v>
      </c>
      <c r="P311" s="54" t="s">
        <v>316</v>
      </c>
    </row>
    <row r="312" spans="2:16">
      <c r="B312" s="52">
        <f>VLOOKUP(T_ApifImport[[#This Row],[Bilans]],T_Bilansi[],4,0)</f>
        <v>29</v>
      </c>
      <c r="C312" s="173">
        <f>VLOOKUP(T_ApifImport[[#This Row],[ld]],T_Aop[],4,0)</f>
        <v>531</v>
      </c>
      <c r="D3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2" s="25" t="e">
        <v>#VALUE!</v>
      </c>
      <c r="F312" s="573">
        <f aca="1">IF(ISNA(VLOOKUP(T_ApifImport[[#This Row],[Bilans]:[Bilans]]&amp;T_ApifImport[[#Headers],[Kolona2]],T_ApifKolone[],4,0)),"",VLOOKUP(T_ApifImport[[#This Row],[AOP]:[AOP]],INDIRECT("Lookup_"&amp;T_ApifImport[[#This Row],[Bilans]:[Bilans]]),VLOOKUP(T_ApifImport[[#This Row],[Bilans]:[Bilans]]&amp;T_ApifImport[[#Headers],[Kolona2]],T_ApifKolone[],4,0),0))</f>
        <v>0</v>
      </c>
      <c r="G3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2" s="22" t="n">
        <v>314</v>
      </c>
      <c r="P312" s="54" t="s">
        <v>316</v>
      </c>
    </row>
    <row r="313" spans="2:16">
      <c r="B313" s="52">
        <f>VLOOKUP(T_ApifImport[[#This Row],[Bilans]],T_Bilansi[],4,0)</f>
        <v>29</v>
      </c>
      <c r="C313" s="173">
        <f>VLOOKUP(T_ApifImport[[#This Row],[ld]],T_Aop[],4,0)</f>
        <v>532</v>
      </c>
      <c r="D3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3" s="25" t="e">
        <v>#VALUE!</v>
      </c>
      <c r="F313" s="25">
        <f aca="1">IF(ISNA(VLOOKUP(T_ApifImport[[#This Row],[Bilans]:[Bilans]]&amp;T_ApifImport[[#Headers],[Kolona2]],T_ApifKolone[],4,0)),"",VLOOKUP(T_ApifImport[[#This Row],[AOP]:[AOP]],INDIRECT("Lookup_"&amp;T_ApifImport[[#This Row],[Bilans]:[Bilans]]),VLOOKUP(T_ApifImport[[#This Row],[Bilans]:[Bilans]]&amp;T_ApifImport[[#Headers],[Kolona2]],T_ApifKolone[],4,0),0))</f>
        <v>0</v>
      </c>
      <c r="G3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3" s="22" t="n">
        <v>315</v>
      </c>
      <c r="P313" s="54" t="s">
        <v>316</v>
      </c>
    </row>
    <row r="314" spans="2:16">
      <c r="B314" s="52">
        <f>VLOOKUP(T_ApifImport[[#This Row],[Bilans]],T_Bilansi[],4,0)</f>
        <v>29</v>
      </c>
      <c r="C314" s="173">
        <f>VLOOKUP(T_ApifImport[[#This Row],[ld]],T_Aop[],4,0)</f>
        <v>533</v>
      </c>
      <c r="D3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4" s="25" t="e">
        <v>#VALUE!</v>
      </c>
      <c r="F314" s="25">
        <f aca="1">IF(ISNA(VLOOKUP(T_ApifImport[[#This Row],[Bilans]:[Bilans]]&amp;T_ApifImport[[#Headers],[Kolona2]],T_ApifKolone[],4,0)),"",VLOOKUP(T_ApifImport[[#This Row],[AOP]:[AOP]],INDIRECT("Lookup_"&amp;T_ApifImport[[#This Row],[Bilans]:[Bilans]]),VLOOKUP(T_ApifImport[[#This Row],[Bilans]:[Bilans]]&amp;T_ApifImport[[#Headers],[Kolona2]],T_ApifKolone[],4,0),0))</f>
        <v>0</v>
      </c>
      <c r="G3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4" s="22" t="n">
        <v>316</v>
      </c>
      <c r="P314" s="54" t="s">
        <v>316</v>
      </c>
    </row>
    <row r="315" spans="2:16">
      <c r="B315" s="52">
        <f>VLOOKUP(T_ApifImport[[#This Row],[Bilans]],T_Bilansi[],4,0)</f>
        <v>29</v>
      </c>
      <c r="C315" s="173">
        <f>VLOOKUP(T_ApifImport[[#This Row],[ld]],T_Aop[],4,0)</f>
        <v>534</v>
      </c>
      <c r="D3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5" s="25" t="e">
        <v>#VALUE!</v>
      </c>
      <c r="F315" s="25">
        <f aca="1">IF(ISNA(VLOOKUP(T_ApifImport[[#This Row],[Bilans]:[Bilans]]&amp;T_ApifImport[[#Headers],[Kolona2]],T_ApifKolone[],4,0)),"",VLOOKUP(T_ApifImport[[#This Row],[AOP]:[AOP]],INDIRECT("Lookup_"&amp;T_ApifImport[[#This Row],[Bilans]:[Bilans]]),VLOOKUP(T_ApifImport[[#This Row],[Bilans]:[Bilans]]&amp;T_ApifImport[[#Headers],[Kolona2]],T_ApifKolone[],4,0),0))</f>
        <v>0</v>
      </c>
      <c r="G3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5" s="22" t="n">
        <v>317</v>
      </c>
      <c r="P315" s="54" t="s">
        <v>316</v>
      </c>
    </row>
    <row r="316" spans="2:16">
      <c r="B316" s="52">
        <f>VLOOKUP(T_ApifImport[[#This Row],[Bilans]],T_Bilansi[],4,0)</f>
        <v>29</v>
      </c>
      <c r="C316" s="173">
        <f>VLOOKUP(T_ApifImport[[#This Row],[ld]],T_Aop[],4,0)</f>
        <v>535</v>
      </c>
      <c r="D31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6" s="25" t="e">
        <v>#VALUE!</v>
      </c>
      <c r="F316" s="25">
        <f aca="1">IF(ISNA(VLOOKUP(T_ApifImport[[#This Row],[Bilans]:[Bilans]]&amp;T_ApifImport[[#Headers],[Kolona2]],T_ApifKolone[],4,0)),"",VLOOKUP(T_ApifImport[[#This Row],[AOP]:[AOP]],INDIRECT("Lookup_"&amp;T_ApifImport[[#This Row],[Bilans]:[Bilans]]),VLOOKUP(T_ApifImport[[#This Row],[Bilans]:[Bilans]]&amp;T_ApifImport[[#Headers],[Kolona2]],T_ApifKolone[],4,0),0))</f>
        <v>0</v>
      </c>
      <c r="G31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6" s="22" t="n">
        <v>318</v>
      </c>
      <c r="P316" s="54" t="s">
        <v>316</v>
      </c>
    </row>
    <row r="317" spans="2:16">
      <c r="B317" s="52">
        <f>VLOOKUP(T_ApifImport[[#This Row],[Bilans]],T_Bilansi[],4,0)</f>
        <v>29</v>
      </c>
      <c r="C317" s="173">
        <f>VLOOKUP(T_ApifImport[[#This Row],[ld]],T_Aop[],4,0)</f>
        <v>536</v>
      </c>
      <c r="D3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7" s="25" t="e">
        <v>#VALUE!</v>
      </c>
      <c r="F317" s="25">
        <f aca="1">IF(ISNA(VLOOKUP(T_ApifImport[[#This Row],[Bilans]:[Bilans]]&amp;T_ApifImport[[#Headers],[Kolona2]],T_ApifKolone[],4,0)),"",VLOOKUP(T_ApifImport[[#This Row],[AOP]:[AOP]],INDIRECT("Lookup_"&amp;T_ApifImport[[#This Row],[Bilans]:[Bilans]]),VLOOKUP(T_ApifImport[[#This Row],[Bilans]:[Bilans]]&amp;T_ApifImport[[#Headers],[Kolona2]],T_ApifKolone[],4,0),0))</f>
        <v>0</v>
      </c>
      <c r="G31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7" s="22" t="n">
        <v>319</v>
      </c>
      <c r="P317" s="54" t="s">
        <v>316</v>
      </c>
    </row>
    <row r="318" spans="2:16">
      <c r="B318" s="52">
        <f>VLOOKUP(T_ApifImport[[#This Row],[Bilans]],T_Bilansi[],4,0)</f>
        <v>29</v>
      </c>
      <c r="C318" s="173">
        <f>VLOOKUP(T_ApifImport[[#This Row],[ld]],T_Aop[],4,0)</f>
        <v>537</v>
      </c>
      <c r="D3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8" s="25" t="e">
        <v>#VALUE!</v>
      </c>
      <c r="F318" s="25">
        <f aca="1">IF(ISNA(VLOOKUP(T_ApifImport[[#This Row],[Bilans]:[Bilans]]&amp;T_ApifImport[[#Headers],[Kolona2]],T_ApifKolone[],4,0)),"",VLOOKUP(T_ApifImport[[#This Row],[AOP]:[AOP]],INDIRECT("Lookup_"&amp;T_ApifImport[[#This Row],[Bilans]:[Bilans]]),VLOOKUP(T_ApifImport[[#This Row],[Bilans]:[Bilans]]&amp;T_ApifImport[[#Headers],[Kolona2]],T_ApifKolone[],4,0),0))</f>
        <v>0</v>
      </c>
      <c r="G31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8" s="22" t="n">
        <v>320</v>
      </c>
      <c r="P318" s="54" t="s">
        <v>316</v>
      </c>
    </row>
    <row r="319" spans="2:16">
      <c r="B319" s="52">
        <f>VLOOKUP(T_ApifImport[[#This Row],[Bilans]],T_Bilansi[],4,0)</f>
        <v>29</v>
      </c>
      <c r="C319" s="173">
        <f>VLOOKUP(T_ApifImport[[#This Row],[ld]],T_Aop[],4,0)</f>
        <v>538</v>
      </c>
      <c r="D3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9" s="25" t="e">
        <v>#VALUE!</v>
      </c>
      <c r="F319" s="25">
        <f aca="1">IF(ISNA(VLOOKUP(T_ApifImport[[#This Row],[Bilans]:[Bilans]]&amp;T_ApifImport[[#Headers],[Kolona2]],T_ApifKolone[],4,0)),"",VLOOKUP(T_ApifImport[[#This Row],[AOP]:[AOP]],INDIRECT("Lookup_"&amp;T_ApifImport[[#This Row],[Bilans]:[Bilans]]),VLOOKUP(T_ApifImport[[#This Row],[Bilans]:[Bilans]]&amp;T_ApifImport[[#Headers],[Kolona2]],T_ApifKolone[],4,0),0))</f>
        <v>0</v>
      </c>
      <c r="G31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9" s="22" t="n">
        <v>321</v>
      </c>
      <c r="P319" s="54" t="s">
        <v>316</v>
      </c>
    </row>
    <row r="320" spans="2:16">
      <c r="B320" s="52">
        <f>VLOOKUP(T_ApifImport[[#This Row],[Bilans]],T_Bilansi[],4,0)</f>
        <v>29</v>
      </c>
      <c r="C320" s="173">
        <f>VLOOKUP(T_ApifImport[[#This Row],[ld]],T_Aop[],4,0)</f>
        <v>539</v>
      </c>
      <c r="D3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0" s="25" t="e">
        <v>#VALUE!</v>
      </c>
      <c r="F320" s="25">
        <f aca="1">IF(ISNA(VLOOKUP(T_ApifImport[[#This Row],[Bilans]:[Bilans]]&amp;T_ApifImport[[#Headers],[Kolona2]],T_ApifKolone[],4,0)),"",VLOOKUP(T_ApifImport[[#This Row],[AOP]:[AOP]],INDIRECT("Lookup_"&amp;T_ApifImport[[#This Row],[Bilans]:[Bilans]]),VLOOKUP(T_ApifImport[[#This Row],[Bilans]:[Bilans]]&amp;T_ApifImport[[#Headers],[Kolona2]],T_ApifKolone[],4,0),0))</f>
        <v>0</v>
      </c>
      <c r="G32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0" s="22" t="n">
        <v>322</v>
      </c>
      <c r="P320" s="54" t="s">
        <v>316</v>
      </c>
    </row>
    <row r="321" spans="2:16">
      <c r="B321" s="52">
        <f>VLOOKUP(T_ApifImport[[#This Row],[Bilans]],T_Bilansi[],4,0)</f>
        <v>29</v>
      </c>
      <c r="C321" s="173">
        <f>VLOOKUP(T_ApifImport[[#This Row],[ld]],T_Aop[],4,0)</f>
        <v>540</v>
      </c>
      <c r="D32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1" s="25" t="e">
        <v>#VALUE!</v>
      </c>
      <c r="F321" s="25">
        <f aca="1">IF(ISNA(VLOOKUP(T_ApifImport[[#This Row],[Bilans]:[Bilans]]&amp;T_ApifImport[[#Headers],[Kolona2]],T_ApifKolone[],4,0)),"",VLOOKUP(T_ApifImport[[#This Row],[AOP]:[AOP]],INDIRECT("Lookup_"&amp;T_ApifImport[[#This Row],[Bilans]:[Bilans]]),VLOOKUP(T_ApifImport[[#This Row],[Bilans]:[Bilans]]&amp;T_ApifImport[[#Headers],[Kolona2]],T_ApifKolone[],4,0),0))</f>
        <v>0</v>
      </c>
      <c r="G32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1" s="22" t="n">
        <v>323</v>
      </c>
      <c r="P321" s="54" t="s">
        <v>316</v>
      </c>
    </row>
    <row r="322" spans="2:16">
      <c r="B322" s="52">
        <f>VLOOKUP(T_ApifImport[[#This Row],[Bilans]],T_Bilansi[],4,0)</f>
        <v>29</v>
      </c>
      <c r="C322" s="173">
        <f>VLOOKUP(T_ApifImport[[#This Row],[ld]],T_Aop[],4,0)</f>
        <v>541</v>
      </c>
      <c r="D32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2" s="25" t="e">
        <v>#VALUE!</v>
      </c>
      <c r="F322" s="25">
        <f aca="1">IF(ISNA(VLOOKUP(T_ApifImport[[#This Row],[Bilans]:[Bilans]]&amp;T_ApifImport[[#Headers],[Kolona2]],T_ApifKolone[],4,0)),"",VLOOKUP(T_ApifImport[[#This Row],[AOP]:[AOP]],INDIRECT("Lookup_"&amp;T_ApifImport[[#This Row],[Bilans]:[Bilans]]),VLOOKUP(T_ApifImport[[#This Row],[Bilans]:[Bilans]]&amp;T_ApifImport[[#Headers],[Kolona2]],T_ApifKolone[],4,0),0))</f>
        <v>0</v>
      </c>
      <c r="G32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2" s="22" t="n">
        <v>324</v>
      </c>
      <c r="P322" s="54" t="s">
        <v>316</v>
      </c>
    </row>
    <row r="323" spans="2:16">
      <c r="B323" s="52">
        <f>VLOOKUP(T_ApifImport[[#This Row],[Bilans]],T_Bilansi[],4,0)</f>
        <v>29</v>
      </c>
      <c r="C323" s="173">
        <f>VLOOKUP(T_ApifImport[[#This Row],[ld]],T_Aop[],4,0)</f>
        <v>542</v>
      </c>
      <c r="D32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3" s="25" t="e">
        <v>#VALUE!</v>
      </c>
      <c r="F323" s="573">
        <f aca="1">IF(ISNA(VLOOKUP(T_ApifImport[[#This Row],[Bilans]:[Bilans]]&amp;T_ApifImport[[#Headers],[Kolona2]],T_ApifKolone[],4,0)),"",VLOOKUP(T_ApifImport[[#This Row],[AOP]:[AOP]],INDIRECT("Lookup_"&amp;T_ApifImport[[#This Row],[Bilans]:[Bilans]]),VLOOKUP(T_ApifImport[[#This Row],[Bilans]:[Bilans]]&amp;T_ApifImport[[#Headers],[Kolona2]],T_ApifKolone[],4,0),0))</f>
        <v>0</v>
      </c>
      <c r="G32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3" s="22" t="n">
        <v>325</v>
      </c>
      <c r="P323" s="54" t="s">
        <v>316</v>
      </c>
    </row>
    <row r="324" spans="2:16">
      <c r="B324" s="52">
        <f>VLOOKUP(T_ApifImport[[#This Row],[Bilans]],T_Bilansi[],4,0)</f>
        <v>29</v>
      </c>
      <c r="C324" s="173">
        <f>VLOOKUP(T_ApifImport[[#This Row],[ld]],T_Aop[],4,0)</f>
        <v>543</v>
      </c>
      <c r="D32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4" s="25" t="e">
        <v>#VALUE!</v>
      </c>
      <c r="F324" s="573">
        <f aca="1">IF(ISNA(VLOOKUP(T_ApifImport[[#This Row],[Bilans]:[Bilans]]&amp;T_ApifImport[[#Headers],[Kolona2]],T_ApifKolone[],4,0)),"",VLOOKUP(T_ApifImport[[#This Row],[AOP]:[AOP]],INDIRECT("Lookup_"&amp;T_ApifImport[[#This Row],[Bilans]:[Bilans]]),VLOOKUP(T_ApifImport[[#This Row],[Bilans]:[Bilans]]&amp;T_ApifImport[[#Headers],[Kolona2]],T_ApifKolone[],4,0),0))</f>
        <v>0</v>
      </c>
      <c r="G32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4" s="22" t="n">
        <v>326</v>
      </c>
      <c r="P324" s="54" t="s">
        <v>316</v>
      </c>
    </row>
    <row r="325" spans="2:16">
      <c r="B325" s="52">
        <f>VLOOKUP(T_ApifImport[[#This Row],[Bilans]],T_Bilansi[],4,0)</f>
        <v>29</v>
      </c>
      <c r="C325" s="173">
        <f>VLOOKUP(T_ApifImport[[#This Row],[ld]],T_Aop[],4,0)</f>
        <v>544</v>
      </c>
      <c r="D32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5" s="25" t="e">
        <v>#VALUE!</v>
      </c>
      <c r="F325" s="573">
        <f aca="1">IF(ISNA(VLOOKUP(T_ApifImport[[#This Row],[Bilans]:[Bilans]]&amp;T_ApifImport[[#Headers],[Kolona2]],T_ApifKolone[],4,0)),"",VLOOKUP(T_ApifImport[[#This Row],[AOP]:[AOP]],INDIRECT("Lookup_"&amp;T_ApifImport[[#This Row],[Bilans]:[Bilans]]),VLOOKUP(T_ApifImport[[#This Row],[Bilans]:[Bilans]]&amp;T_ApifImport[[#Headers],[Kolona2]],T_ApifKolone[],4,0),0))</f>
        <v>0</v>
      </c>
      <c r="G32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5" s="22" t="n">
        <v>327</v>
      </c>
      <c r="P325" s="54" t="s">
        <v>316</v>
      </c>
    </row>
    <row r="326" spans="2:16">
      <c r="B326" s="52">
        <f>VLOOKUP(T_ApifImport[[#This Row],[Bilans]],T_Bilansi[],4,0)</f>
        <v>29</v>
      </c>
      <c r="C326" s="173">
        <f>VLOOKUP(T_ApifImport[[#This Row],[ld]],T_Aop[],4,0)</f>
        <v>545</v>
      </c>
      <c r="D32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6" s="25" t="e">
        <v>#VALUE!</v>
      </c>
      <c r="F326" s="25">
        <f aca="1">IF(ISNA(VLOOKUP(T_ApifImport[[#This Row],[Bilans]:[Bilans]]&amp;T_ApifImport[[#Headers],[Kolona2]],T_ApifKolone[],4,0)),"",VLOOKUP(T_ApifImport[[#This Row],[AOP]:[AOP]],INDIRECT("Lookup_"&amp;T_ApifImport[[#This Row],[Bilans]:[Bilans]]),VLOOKUP(T_ApifImport[[#This Row],[Bilans]:[Bilans]]&amp;T_ApifImport[[#Headers],[Kolona2]],T_ApifKolone[],4,0),0))</f>
        <v>0</v>
      </c>
      <c r="G32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6" s="22" t="n">
        <v>328</v>
      </c>
      <c r="P326" s="54" t="s">
        <v>316</v>
      </c>
    </row>
    <row r="327" spans="2:16">
      <c r="B327" s="52">
        <f>VLOOKUP(T_ApifImport[[#This Row],[Bilans]],T_Bilansi[],4,0)</f>
        <v>29</v>
      </c>
      <c r="C327" s="173">
        <f>VLOOKUP(T_ApifImport[[#This Row],[ld]],T_Aop[],4,0)</f>
        <v>546</v>
      </c>
      <c r="D32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7" s="25" t="e">
        <v>#VALUE!</v>
      </c>
      <c r="F327" s="25">
        <f aca="1">IF(ISNA(VLOOKUP(T_ApifImport[[#This Row],[Bilans]:[Bilans]]&amp;T_ApifImport[[#Headers],[Kolona2]],T_ApifKolone[],4,0)),"",VLOOKUP(T_ApifImport[[#This Row],[AOP]:[AOP]],INDIRECT("Lookup_"&amp;T_ApifImport[[#This Row],[Bilans]:[Bilans]]),VLOOKUP(T_ApifImport[[#This Row],[Bilans]:[Bilans]]&amp;T_ApifImport[[#Headers],[Kolona2]],T_ApifKolone[],4,0),0))</f>
        <v>0</v>
      </c>
      <c r="G32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7" s="22" t="n">
        <v>329</v>
      </c>
      <c r="P327" s="54" t="s">
        <v>316</v>
      </c>
    </row>
    <row r="328" spans="2:16">
      <c r="B328" s="52">
        <f>VLOOKUP(T_ApifImport[[#This Row],[Bilans]],T_Bilansi[],4,0)</f>
        <v>29</v>
      </c>
      <c r="C328" s="173">
        <f>VLOOKUP(T_ApifImport[[#This Row],[ld]],T_Aop[],4,0)</f>
        <v>547</v>
      </c>
      <c r="D32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8" s="25" t="e">
        <v>#VALUE!</v>
      </c>
      <c r="F328" s="25">
        <f aca="1">IF(ISNA(VLOOKUP(T_ApifImport[[#This Row],[Bilans]:[Bilans]]&amp;T_ApifImport[[#Headers],[Kolona2]],T_ApifKolone[],4,0)),"",VLOOKUP(T_ApifImport[[#This Row],[AOP]:[AOP]],INDIRECT("Lookup_"&amp;T_ApifImport[[#This Row],[Bilans]:[Bilans]]),VLOOKUP(T_ApifImport[[#This Row],[Bilans]:[Bilans]]&amp;T_ApifImport[[#Headers],[Kolona2]],T_ApifKolone[],4,0),0))</f>
        <v>0</v>
      </c>
      <c r="G32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8" s="22" t="n">
        <v>330</v>
      </c>
      <c r="P328" s="54" t="s">
        <v>316</v>
      </c>
    </row>
    <row r="329" spans="2:16">
      <c r="B329" s="52">
        <f>VLOOKUP(T_ApifImport[[#This Row],[Bilans]],T_Bilansi[],4,0)</f>
        <v>29</v>
      </c>
      <c r="C329" s="173">
        <f>VLOOKUP(T_ApifImport[[#This Row],[ld]],T_Aop[],4,0)</f>
        <v>548</v>
      </c>
      <c r="D32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9" s="25" t="e">
        <v>#VALUE!</v>
      </c>
      <c r="F329" s="25">
        <f aca="1">IF(ISNA(VLOOKUP(T_ApifImport[[#This Row],[Bilans]:[Bilans]]&amp;T_ApifImport[[#Headers],[Kolona2]],T_ApifKolone[],4,0)),"",VLOOKUP(T_ApifImport[[#This Row],[AOP]:[AOP]],INDIRECT("Lookup_"&amp;T_ApifImport[[#This Row],[Bilans]:[Bilans]]),VLOOKUP(T_ApifImport[[#This Row],[Bilans]:[Bilans]]&amp;T_ApifImport[[#Headers],[Kolona2]],T_ApifKolone[],4,0),0))</f>
        <v>0</v>
      </c>
      <c r="G32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9" s="22" t="n">
        <v>331</v>
      </c>
      <c r="P329" s="54" t="s">
        <v>316</v>
      </c>
    </row>
    <row r="330" spans="2:16">
      <c r="B330" s="52">
        <f>VLOOKUP(T_ApifImport[[#This Row],[Bilans]],T_Bilansi[],4,0)</f>
        <v>29</v>
      </c>
      <c r="C330" s="173">
        <f>VLOOKUP(T_ApifImport[[#This Row],[ld]],T_Aop[],4,0)</f>
        <v>549</v>
      </c>
      <c r="D33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0" s="25" t="e">
        <v>#VALUE!</v>
      </c>
      <c r="F330" s="25">
        <f aca="1">IF(ISNA(VLOOKUP(T_ApifImport[[#This Row],[Bilans]:[Bilans]]&amp;T_ApifImport[[#Headers],[Kolona2]],T_ApifKolone[],4,0)),"",VLOOKUP(T_ApifImport[[#This Row],[AOP]:[AOP]],INDIRECT("Lookup_"&amp;T_ApifImport[[#This Row],[Bilans]:[Bilans]]),VLOOKUP(T_ApifImport[[#This Row],[Bilans]:[Bilans]]&amp;T_ApifImport[[#Headers],[Kolona2]],T_ApifKolone[],4,0),0))</f>
        <v>0</v>
      </c>
      <c r="G33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0" s="22" t="n">
        <v>332</v>
      </c>
      <c r="P330" s="54" t="s">
        <v>316</v>
      </c>
    </row>
    <row r="331" spans="2:16">
      <c r="B331" s="52">
        <f>VLOOKUP(T_ApifImport[[#This Row],[Bilans]],T_Bilansi[],4,0)</f>
        <v>29</v>
      </c>
      <c r="C331" s="173">
        <f>VLOOKUP(T_ApifImport[[#This Row],[ld]],T_Aop[],4,0)</f>
        <v>550</v>
      </c>
      <c r="D33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1" s="25" t="e">
        <v>#VALUE!</v>
      </c>
      <c r="F331" s="25">
        <f aca="1">IF(ISNA(VLOOKUP(T_ApifImport[[#This Row],[Bilans]:[Bilans]]&amp;T_ApifImport[[#Headers],[Kolona2]],T_ApifKolone[],4,0)),"",VLOOKUP(T_ApifImport[[#This Row],[AOP]:[AOP]],INDIRECT("Lookup_"&amp;T_ApifImport[[#This Row],[Bilans]:[Bilans]]),VLOOKUP(T_ApifImport[[#This Row],[Bilans]:[Bilans]]&amp;T_ApifImport[[#Headers],[Kolona2]],T_ApifKolone[],4,0),0))</f>
        <v>0</v>
      </c>
      <c r="G33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1" s="22" t="n">
        <v>333</v>
      </c>
      <c r="P331" s="54" t="s">
        <v>316</v>
      </c>
    </row>
    <row r="332" spans="2:16">
      <c r="B332" s="52">
        <f>VLOOKUP(T_ApifImport[[#This Row],[Bilans]],T_Bilansi[],4,0)</f>
        <v>29</v>
      </c>
      <c r="C332" s="173">
        <f>VLOOKUP(T_ApifImport[[#This Row],[ld]],T_Aop[],4,0)</f>
        <v>551</v>
      </c>
      <c r="D33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2" s="25" t="e">
        <v>#VALUE!</v>
      </c>
      <c r="F332" s="573">
        <f aca="1">IF(ISNA(VLOOKUP(T_ApifImport[[#This Row],[Bilans]:[Bilans]]&amp;T_ApifImport[[#Headers],[Kolona2]],T_ApifKolone[],4,0)),"",VLOOKUP(T_ApifImport[[#This Row],[AOP]:[AOP]],INDIRECT("Lookup_"&amp;T_ApifImport[[#This Row],[Bilans]:[Bilans]]),VLOOKUP(T_ApifImport[[#This Row],[Bilans]:[Bilans]]&amp;T_ApifImport[[#Headers],[Kolona2]],T_ApifKolone[],4,0),0))</f>
        <v>75944</v>
      </c>
      <c r="G33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2" s="22" t="n">
        <v>334</v>
      </c>
      <c r="P332" s="54" t="s">
        <v>316</v>
      </c>
    </row>
    <row r="333" spans="2:16">
      <c r="B333" s="52">
        <f>VLOOKUP(T_ApifImport[[#This Row],[Bilans]],T_Bilansi[],4,0)</f>
        <v>29</v>
      </c>
      <c r="C333" s="173">
        <f>VLOOKUP(T_ApifImport[[#This Row],[ld]],T_Aop[],4,0)</f>
        <v>552</v>
      </c>
      <c r="D33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3" s="25" t="e">
        <v>#VALUE!</v>
      </c>
      <c r="F333" s="25">
        <f aca="1">IF(ISNA(VLOOKUP(T_ApifImport[[#This Row],[Bilans]:[Bilans]]&amp;T_ApifImport[[#Headers],[Kolona2]],T_ApifKolone[],4,0)),"",VLOOKUP(T_ApifImport[[#This Row],[AOP]:[AOP]],INDIRECT("Lookup_"&amp;T_ApifImport[[#This Row],[Bilans]:[Bilans]]),VLOOKUP(T_ApifImport[[#This Row],[Bilans]:[Bilans]]&amp;T_ApifImport[[#Headers],[Kolona2]],T_ApifKolone[],4,0),0))</f>
        <v>0</v>
      </c>
      <c r="G33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3" s="22" t="n">
        <v>335</v>
      </c>
      <c r="P333" s="54" t="s">
        <v>316</v>
      </c>
    </row>
    <row r="334" spans="2:16">
      <c r="B334" s="52">
        <f>VLOOKUP(T_ApifImport[[#This Row],[Bilans]],T_Bilansi[],4,0)</f>
        <v>29</v>
      </c>
      <c r="C334" s="173">
        <f>VLOOKUP(T_ApifImport[[#This Row],[ld]],T_Aop[],4,0)</f>
        <v>553</v>
      </c>
      <c r="D33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4" s="25" t="e">
        <v>#VALUE!</v>
      </c>
      <c r="F334" s="573">
        <f aca="1">IF(ISNA(VLOOKUP(T_ApifImport[[#This Row],[Bilans]:[Bilans]]&amp;T_ApifImport[[#Headers],[Kolona2]],T_ApifKolone[],4,0)),"",VLOOKUP(T_ApifImport[[#This Row],[AOP]:[AOP]],INDIRECT("Lookup_"&amp;T_ApifImport[[#This Row],[Bilans]:[Bilans]]),VLOOKUP(T_ApifImport[[#This Row],[Bilans]:[Bilans]]&amp;T_ApifImport[[#Headers],[Kolona2]],T_ApifKolone[],4,0),0))</f>
        <v>75944</v>
      </c>
      <c r="G33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4" s="22" t="n">
        <v>336</v>
      </c>
      <c r="P334" s="54" t="s">
        <v>316</v>
      </c>
    </row>
    <row r="335" spans="2:16">
      <c r="B335" s="52">
        <f>VLOOKUP(T_ApifImport[[#This Row],[Bilans]],T_Bilansi[],4,0)</f>
        <v>29</v>
      </c>
      <c r="C335" s="173">
        <f>VLOOKUP(T_ApifImport[[#This Row],[ld]],T_Aop[],4,0)</f>
        <v>554</v>
      </c>
      <c r="D33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5" s="25" t="e">
        <v>#VALUE!</v>
      </c>
      <c r="F335" s="25">
        <f aca="1">IF(ISNA(VLOOKUP(T_ApifImport[[#This Row],[Bilans]:[Bilans]]&amp;T_ApifImport[[#Headers],[Kolona2]],T_ApifKolone[],4,0)),"",VLOOKUP(T_ApifImport[[#This Row],[AOP]:[AOP]],INDIRECT("Lookup_"&amp;T_ApifImport[[#This Row],[Bilans]:[Bilans]]),VLOOKUP(T_ApifImport[[#This Row],[Bilans]:[Bilans]]&amp;T_ApifImport[[#Headers],[Kolona2]],T_ApifKolone[],4,0),0))</f>
        <v>0</v>
      </c>
      <c r="G33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5" s="22" t="n">
        <v>337</v>
      </c>
      <c r="P335" s="54" t="s">
        <v>316</v>
      </c>
    </row>
    <row r="336" spans="2:16">
      <c r="B336" s="52">
        <f>VLOOKUP(T_ApifImport[[#This Row],[Bilans]],T_Bilansi[],4,0)</f>
        <v>29</v>
      </c>
      <c r="C336" s="173">
        <f>VLOOKUP(T_ApifImport[[#This Row],[ld]],T_Aop[],4,0)</f>
        <v>555</v>
      </c>
      <c r="D33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6" s="25" t="e">
        <v>#VALUE!</v>
      </c>
      <c r="F336" s="25">
        <f aca="1">IF(ISNA(VLOOKUP(T_ApifImport[[#This Row],[Bilans]:[Bilans]]&amp;T_ApifImport[[#Headers],[Kolona2]],T_ApifKolone[],4,0)),"",VLOOKUP(T_ApifImport[[#This Row],[AOP]:[AOP]],INDIRECT("Lookup_"&amp;T_ApifImport[[#This Row],[Bilans]:[Bilans]]),VLOOKUP(T_ApifImport[[#This Row],[Bilans]:[Bilans]]&amp;T_ApifImport[[#Headers],[Kolona2]],T_ApifKolone[],4,0),0))</f>
        <v>0</v>
      </c>
      <c r="G33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6" s="22" t="n">
        <v>338</v>
      </c>
      <c r="P336" s="54" t="s">
        <v>316</v>
      </c>
    </row>
    <row r="337" spans="2:16">
      <c r="B337" s="52">
        <f>VLOOKUP(T_ApifImport[[#This Row],[Bilans]],T_Bilansi[],4,0)</f>
        <v>29</v>
      </c>
      <c r="C337" s="173">
        <f>VLOOKUP(T_ApifImport[[#This Row],[ld]],T_Aop[],4,0)</f>
        <v>556</v>
      </c>
      <c r="D33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7" s="25" t="e">
        <v>#VALUE!</v>
      </c>
      <c r="F337" s="25">
        <f aca="1">IF(ISNA(VLOOKUP(T_ApifImport[[#This Row],[Bilans]:[Bilans]]&amp;T_ApifImport[[#Headers],[Kolona2]],T_ApifKolone[],4,0)),"",VLOOKUP(T_ApifImport[[#This Row],[AOP]:[AOP]],INDIRECT("Lookup_"&amp;T_ApifImport[[#This Row],[Bilans]:[Bilans]]),VLOOKUP(T_ApifImport[[#This Row],[Bilans]:[Bilans]]&amp;T_ApifImport[[#Headers],[Kolona2]],T_ApifKolone[],4,0),0))</f>
        <v>0</v>
      </c>
      <c r="G33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7" s="22" t="n">
        <v>339</v>
      </c>
      <c r="P337" s="54" t="s">
        <v>316</v>
      </c>
    </row>
    <row r="338" spans="2:16">
      <c r="B338" s="52">
        <f>VLOOKUP(T_ApifImport[[#This Row],[Bilans]],T_Bilansi[],4,0)</f>
        <v>29</v>
      </c>
      <c r="C338" s="173">
        <f>VLOOKUP(T_ApifImport[[#This Row],[ld]],T_Aop[],4,0)</f>
        <v>557</v>
      </c>
      <c r="D33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8" s="25" t="e">
        <v>#VALUE!</v>
      </c>
      <c r="F338" s="25">
        <f aca="1">IF(ISNA(VLOOKUP(T_ApifImport[[#This Row],[Bilans]:[Bilans]]&amp;T_ApifImport[[#Headers],[Kolona2]],T_ApifKolone[],4,0)),"",VLOOKUP(T_ApifImport[[#This Row],[AOP]:[AOP]],INDIRECT("Lookup_"&amp;T_ApifImport[[#This Row],[Bilans]:[Bilans]]),VLOOKUP(T_ApifImport[[#This Row],[Bilans]:[Bilans]]&amp;T_ApifImport[[#Headers],[Kolona2]],T_ApifKolone[],4,0),0))</f>
        <v>0</v>
      </c>
      <c r="G33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8" s="22" t="n">
        <v>340</v>
      </c>
      <c r="P338" s="54" t="s">
        <v>316</v>
      </c>
    </row>
    <row r="339" spans="2:16">
      <c r="B339" s="52">
        <f>VLOOKUP(T_ApifImport[[#This Row],[Bilans]],T_Bilansi[],4,0)</f>
        <v>29</v>
      </c>
      <c r="C339" s="173">
        <f>VLOOKUP(T_ApifImport[[#This Row],[ld]],T_Aop[],4,0)</f>
        <v>558</v>
      </c>
      <c r="D33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9" s="25" t="e">
        <v>#VALUE!</v>
      </c>
      <c r="F339" s="25">
        <f aca="1">IF(ISNA(VLOOKUP(T_ApifImport[[#This Row],[Bilans]:[Bilans]]&amp;T_ApifImport[[#Headers],[Kolona2]],T_ApifKolone[],4,0)),"",VLOOKUP(T_ApifImport[[#This Row],[AOP]:[AOP]],INDIRECT("Lookup_"&amp;T_ApifImport[[#This Row],[Bilans]:[Bilans]]),VLOOKUP(T_ApifImport[[#This Row],[Bilans]:[Bilans]]&amp;T_ApifImport[[#Headers],[Kolona2]],T_ApifKolone[],4,0),0))</f>
        <v>0</v>
      </c>
      <c r="G33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9" s="22" t="n">
        <v>341</v>
      </c>
      <c r="P339" s="54" t="s">
        <v>316</v>
      </c>
    </row>
    <row r="340" spans="2:16">
      <c r="B340" s="52">
        <f>VLOOKUP(T_ApifImport[[#This Row],[Bilans]],T_Bilansi[],4,0)</f>
        <v>29</v>
      </c>
      <c r="C340" s="173">
        <f>VLOOKUP(T_ApifImport[[#This Row],[ld]],T_Aop[],4,0)</f>
        <v>559</v>
      </c>
      <c r="D34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0" s="25" t="e">
        <v>#VALUE!</v>
      </c>
      <c r="F340" s="573">
        <f aca="1">IF(ISNA(VLOOKUP(T_ApifImport[[#This Row],[Bilans]:[Bilans]]&amp;T_ApifImport[[#Headers],[Kolona2]],T_ApifKolone[],4,0)),"",VLOOKUP(T_ApifImport[[#This Row],[AOP]:[AOP]],INDIRECT("Lookup_"&amp;T_ApifImport[[#This Row],[Bilans]:[Bilans]]),VLOOKUP(T_ApifImport[[#This Row],[Bilans]:[Bilans]]&amp;T_ApifImport[[#Headers],[Kolona2]],T_ApifKolone[],4,0),0))</f>
        <v>0</v>
      </c>
      <c r="G34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0" s="22" t="n">
        <v>342</v>
      </c>
      <c r="P340" s="54" t="s">
        <v>316</v>
      </c>
    </row>
    <row r="341" spans="2:16">
      <c r="B341" s="52">
        <f>VLOOKUP(T_ApifImport[[#This Row],[Bilans]],T_Bilansi[],4,0)</f>
        <v>29</v>
      </c>
      <c r="C341" s="173">
        <f>VLOOKUP(T_ApifImport[[#This Row],[ld]],T_Aop[],4,0)</f>
        <v>560</v>
      </c>
      <c r="D34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1" s="25" t="e">
        <v>#VALUE!</v>
      </c>
      <c r="F341" s="573">
        <f aca="1">IF(ISNA(VLOOKUP(T_ApifImport[[#This Row],[Bilans]:[Bilans]]&amp;T_ApifImport[[#Headers],[Kolona2]],T_ApifKolone[],4,0)),"",VLOOKUP(T_ApifImport[[#This Row],[AOP]:[AOP]],INDIRECT("Lookup_"&amp;T_ApifImport[[#This Row],[Bilans]:[Bilans]]),VLOOKUP(T_ApifImport[[#This Row],[Bilans]:[Bilans]]&amp;T_ApifImport[[#Headers],[Kolona2]],T_ApifKolone[],4,0),0))</f>
        <v>75944</v>
      </c>
      <c r="G34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1" s="22" t="n">
        <v>343</v>
      </c>
      <c r="P341" s="54" t="s">
        <v>316</v>
      </c>
    </row>
    <row r="342" spans="2:16">
      <c r="B342" s="52">
        <f>VLOOKUP(T_ApifImport[[#This Row],[Bilans]],T_Bilansi[],4,0)</f>
        <v>29</v>
      </c>
      <c r="C342" s="173">
        <f>VLOOKUP(T_ApifImport[[#This Row],[ld]],T_Aop[],4,0)</f>
        <v>561</v>
      </c>
      <c r="D34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2" s="25" t="e">
        <v>#VALUE!</v>
      </c>
      <c r="F342" s="573">
        <f aca="1">IF(ISNA(VLOOKUP(T_ApifImport[[#This Row],[Bilans]:[Bilans]]&amp;T_ApifImport[[#Headers],[Kolona2]],T_ApifKolone[],4,0)),"",VLOOKUP(T_ApifImport[[#This Row],[AOP]:[AOP]],INDIRECT("Lookup_"&amp;T_ApifImport[[#This Row],[Bilans]:[Bilans]]),VLOOKUP(T_ApifImport[[#This Row],[Bilans]:[Bilans]]&amp;T_ApifImport[[#Headers],[Kolona2]],T_ApifKolone[],4,0),0))</f>
        <v>251182</v>
      </c>
      <c r="G34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2" s="22" t="n">
        <v>344</v>
      </c>
      <c r="P342" s="54" t="s">
        <v>316</v>
      </c>
    </row>
    <row r="343" spans="2:16">
      <c r="B343" s="52">
        <f>VLOOKUP(T_ApifImport[[#This Row],[Bilans]],T_Bilansi[],4,0)</f>
        <v>29</v>
      </c>
      <c r="C343" s="173">
        <f>VLOOKUP(T_ApifImport[[#This Row],[ld]],T_Aop[],4,0)</f>
        <v>562</v>
      </c>
      <c r="D34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3" s="25" t="e">
        <v>#VALUE!</v>
      </c>
      <c r="F343" s="573">
        <f aca="1">IF(ISNA(VLOOKUP(T_ApifImport[[#This Row],[Bilans]:[Bilans]]&amp;T_ApifImport[[#Headers],[Kolona2]],T_ApifKolone[],4,0)),"",VLOOKUP(T_ApifImport[[#This Row],[AOP]:[AOP]],INDIRECT("Lookup_"&amp;T_ApifImport[[#This Row],[Bilans]:[Bilans]]),VLOOKUP(T_ApifImport[[#This Row],[Bilans]:[Bilans]]&amp;T_ApifImport[[#Headers],[Kolona2]],T_ApifKolone[],4,0),0))</f>
        <v>342486</v>
      </c>
      <c r="G34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3" s="22" t="n">
        <v>345</v>
      </c>
      <c r="P343" s="54" t="s">
        <v>316</v>
      </c>
    </row>
    <row r="344" spans="2:16">
      <c r="B344" s="52">
        <f>VLOOKUP(T_ApifImport[[#This Row],[Bilans]],T_Bilansi[],4,0)</f>
        <v>29</v>
      </c>
      <c r="C344" s="173">
        <f>VLOOKUP(T_ApifImport[[#This Row],[ld]],T_Aop[],4,0)</f>
        <v>563</v>
      </c>
      <c r="D34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4" s="25" t="e">
        <v>#VALUE!</v>
      </c>
      <c r="F344" s="573">
        <f aca="1">IF(ISNA(VLOOKUP(T_ApifImport[[#This Row],[Bilans]:[Bilans]]&amp;T_ApifImport[[#Headers],[Kolona2]],T_ApifKolone[],4,0)),"",VLOOKUP(T_ApifImport[[#This Row],[AOP]:[AOP]],INDIRECT("Lookup_"&amp;T_ApifImport[[#This Row],[Bilans]:[Bilans]]),VLOOKUP(T_ApifImport[[#This Row],[Bilans]:[Bilans]]&amp;T_ApifImport[[#Headers],[Kolona2]],T_ApifKolone[],4,0),0))</f>
        <v>0</v>
      </c>
      <c r="G34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4" s="22" t="n">
        <v>346</v>
      </c>
      <c r="P344" s="54" t="s">
        <v>316</v>
      </c>
    </row>
    <row r="345" spans="2:16">
      <c r="B345" s="52">
        <f>VLOOKUP(T_ApifImport[[#This Row],[Bilans]],T_Bilansi[],4,0)</f>
        <v>29</v>
      </c>
      <c r="C345" s="173">
        <f>VLOOKUP(T_ApifImport[[#This Row],[ld]],T_Aop[],4,0)</f>
        <v>564</v>
      </c>
      <c r="D34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5" s="25" t="e">
        <v>#VALUE!</v>
      </c>
      <c r="F345" s="573">
        <f aca="1">IF(ISNA(VLOOKUP(T_ApifImport[[#This Row],[Bilans]:[Bilans]]&amp;T_ApifImport[[#Headers],[Kolona2]],T_ApifKolone[],4,0)),"",VLOOKUP(T_ApifImport[[#This Row],[AOP]:[AOP]],INDIRECT("Lookup_"&amp;T_ApifImport[[#This Row],[Bilans]:[Bilans]]),VLOOKUP(T_ApifImport[[#This Row],[Bilans]:[Bilans]]&amp;T_ApifImport[[#Headers],[Kolona2]],T_ApifKolone[],4,0),0))</f>
        <v>91304</v>
      </c>
      <c r="G34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5" s="22" t="n">
        <v>347</v>
      </c>
      <c r="P345" s="54" t="s">
        <v>316</v>
      </c>
    </row>
    <row r="346" spans="2:16">
      <c r="B346" s="52">
        <f>VLOOKUP(T_ApifImport[[#This Row],[Bilans]],T_Bilansi[],4,0)</f>
        <v>29</v>
      </c>
      <c r="C346" s="173">
        <f>VLOOKUP(T_ApifImport[[#This Row],[ld]],T_Aop[],4,0)</f>
        <v>565</v>
      </c>
      <c r="D34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6" s="25" t="e">
        <v>#VALUE!</v>
      </c>
      <c r="F346" s="573">
        <f aca="1">IF(ISNA(VLOOKUP(T_ApifImport[[#This Row],[Bilans]:[Bilans]]&amp;T_ApifImport[[#Headers],[Kolona2]],T_ApifKolone[],4,0)),"",VLOOKUP(T_ApifImport[[#This Row],[AOP]:[AOP]],INDIRECT("Lookup_"&amp;T_ApifImport[[#This Row],[Bilans]:[Bilans]]),VLOOKUP(T_ApifImport[[#This Row],[Bilans]:[Bilans]]&amp;T_ApifImport[[#Headers],[Kolona2]],T_ApifKolone[],4,0),0))</f>
        <v>99902</v>
      </c>
      <c r="G34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6" s="22" t="n">
        <v>348</v>
      </c>
      <c r="P346" s="54" t="s">
        <v>316</v>
      </c>
    </row>
    <row r="347" spans="2:16">
      <c r="B347" s="52">
        <f>VLOOKUP(T_ApifImport[[#This Row],[Bilans]],T_Bilansi[],4,0)</f>
        <v>29</v>
      </c>
      <c r="C347" s="173">
        <f>VLOOKUP(T_ApifImport[[#This Row],[ld]],T_Aop[],4,0)</f>
        <v>566</v>
      </c>
      <c r="D34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7" s="25" t="e">
        <v>#VALUE!</v>
      </c>
      <c r="F347" s="25">
        <f aca="1">IF(ISNA(VLOOKUP(T_ApifImport[[#This Row],[Bilans]:[Bilans]]&amp;T_ApifImport[[#Headers],[Kolona2]],T_ApifKolone[],4,0)),"",VLOOKUP(T_ApifImport[[#This Row],[AOP]:[AOP]],INDIRECT("Lookup_"&amp;T_ApifImport[[#This Row],[Bilans]:[Bilans]]),VLOOKUP(T_ApifImport[[#This Row],[Bilans]:[Bilans]]&amp;T_ApifImport[[#Headers],[Kolona2]],T_ApifKolone[],4,0),0))</f>
        <v>0</v>
      </c>
      <c r="G34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7" s="22" t="n">
        <v>349</v>
      </c>
      <c r="P347" s="54" t="s">
        <v>316</v>
      </c>
    </row>
    <row r="348" spans="2:16">
      <c r="B348" s="52">
        <f>VLOOKUP(T_ApifImport[[#This Row],[Bilans]],T_Bilansi[],4,0)</f>
        <v>29</v>
      </c>
      <c r="C348" s="173">
        <f>VLOOKUP(T_ApifImport[[#This Row],[ld]],T_Aop[],4,0)</f>
        <v>567</v>
      </c>
      <c r="D34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8" s="25" t="e">
        <v>#VALUE!</v>
      </c>
      <c r="F348" s="25">
        <f aca="1">IF(ISNA(VLOOKUP(T_ApifImport[[#This Row],[Bilans]:[Bilans]]&amp;T_ApifImport[[#Headers],[Kolona2]],T_ApifKolone[],4,0)),"",VLOOKUP(T_ApifImport[[#This Row],[AOP]:[AOP]],INDIRECT("Lookup_"&amp;T_ApifImport[[#This Row],[Bilans]:[Bilans]]),VLOOKUP(T_ApifImport[[#This Row],[Bilans]:[Bilans]]&amp;T_ApifImport[[#Headers],[Kolona2]],T_ApifKolone[],4,0),0))</f>
        <v>0</v>
      </c>
      <c r="G34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8" s="22" t="n">
        <v>350</v>
      </c>
      <c r="P348" s="54" t="s">
        <v>316</v>
      </c>
    </row>
    <row r="349" spans="2:16">
      <c r="B349" s="372">
        <f>VLOOKUP(T_ApifImport[[#This Row],[Bilans]],T_Bilansi[],4,0)</f>
        <v>29</v>
      </c>
      <c r="C349" s="173">
        <f>VLOOKUP(T_ApifImport[[#This Row],[ld]],T_Aop[],4,0)</f>
        <v>568</v>
      </c>
      <c r="D34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9" s="25" t="e">
        <v>#VALUE!</v>
      </c>
      <c r="F349" s="573">
        <f aca="1">IF(ISNA(VLOOKUP(T_ApifImport[[#This Row],[Bilans]:[Bilans]]&amp;T_ApifImport[[#Headers],[Kolona2]],T_ApifKolone[],4,0)),"",VLOOKUP(T_ApifImport[[#This Row],[AOP]:[AOP]],INDIRECT("Lookup_"&amp;T_ApifImport[[#This Row],[Bilans]:[Bilans]]),VLOOKUP(T_ApifImport[[#This Row],[Bilans]:[Bilans]]&amp;T_ApifImport[[#Headers],[Kolona2]],T_ApifKolone[],4,0),0))</f>
        <v>8598</v>
      </c>
      <c r="G34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9" s="22" t="n">
        <v>351</v>
      </c>
      <c r="P349" s="54" t="s">
        <v>316</v>
      </c>
    </row>
    <row r="350" spans="2:16">
      <c r="B350" s="52">
        <f>VLOOKUP(T_ApifImport[[#This Row],[Bilans]],T_Bilansi[],4,0)</f>
        <v>28</v>
      </c>
      <c r="C350" s="173">
        <f>VLOOKUP(T_ApifImport[[#This Row],[ld]],T_Aop[],4,0)</f>
        <v>601</v>
      </c>
      <c r="D35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0" s="25" t="e">
        <v>#VALUE!</v>
      </c>
      <c r="F350" s="25">
        <f aca="1">IF(ISNA(VLOOKUP(T_ApifImport[[#This Row],[Bilans]:[Bilans]]&amp;T_ApifImport[[#Headers],[Kolona2]],T_ApifKolone[],4,0)),"",VLOOKUP(T_ApifImport[[#This Row],[AOP]:[AOP]],INDIRECT("Lookup_"&amp;T_ApifImport[[#This Row],[Bilans]:[Bilans]]),VLOOKUP(T_ApifImport[[#This Row],[Bilans]:[Bilans]]&amp;T_ApifImport[[#Headers],[Kolona2]],T_ApifKolone[],4,0),0))</f>
        <v>0</v>
      </c>
      <c r="G35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0" s="22" t="n">
        <v>352</v>
      </c>
      <c r="P350" s="54" t="s">
        <v>22</v>
      </c>
    </row>
    <row r="351" spans="2:16">
      <c r="B351" s="52">
        <f>VLOOKUP(T_ApifImport[[#This Row],[Bilans]],T_Bilansi[],4,0)</f>
        <v>28</v>
      </c>
      <c r="C351" s="173">
        <f>VLOOKUP(T_ApifImport[[#This Row],[ld]],T_Aop[],4,0)</f>
        <v>602</v>
      </c>
      <c r="D35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1" s="25" t="e">
        <v>#VALUE!</v>
      </c>
      <c r="F351" s="573">
        <f aca="1">IF(ISNA(VLOOKUP(T_ApifImport[[#This Row],[Bilans]:[Bilans]]&amp;T_ApifImport[[#Headers],[Kolona2]],T_ApifKolone[],4,0)),"",VLOOKUP(T_ApifImport[[#This Row],[AOP]:[AOP]],INDIRECT("Lookup_"&amp;T_ApifImport[[#This Row],[Bilans]:[Bilans]]),VLOOKUP(T_ApifImport[[#This Row],[Bilans]:[Bilans]]&amp;T_ApifImport[[#Headers],[Kolona2]],T_ApifKolone[],4,0),0))</f>
        <v>207667</v>
      </c>
      <c r="G35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1" s="22" t="n">
        <v>353</v>
      </c>
      <c r="P351" s="54" t="s">
        <v>22</v>
      </c>
    </row>
    <row r="352" spans="2:16">
      <c r="B352" s="52">
        <f>VLOOKUP(T_ApifImport[[#This Row],[Bilans]],T_Bilansi[],4,0)</f>
        <v>28</v>
      </c>
      <c r="C352" s="173">
        <f>VLOOKUP(T_ApifImport[[#This Row],[ld]],T_Aop[],4,0)</f>
        <v>603</v>
      </c>
      <c r="D35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2" s="25" t="e">
        <v>#VALUE!</v>
      </c>
      <c r="F352" s="573">
        <f aca="1">IF(ISNA(VLOOKUP(T_ApifImport[[#This Row],[Bilans]:[Bilans]]&amp;T_ApifImport[[#Headers],[Kolona2]],T_ApifKolone[],4,0)),"",VLOOKUP(T_ApifImport[[#This Row],[AOP]:[AOP]],INDIRECT("Lookup_"&amp;T_ApifImport[[#This Row],[Bilans]:[Bilans]]),VLOOKUP(T_ApifImport[[#This Row],[Bilans]:[Bilans]]&amp;T_ApifImport[[#Headers],[Kolona2]],T_ApifKolone[],4,0),0))</f>
        <v>178003</v>
      </c>
      <c r="G35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2" s="22" t="n">
        <v>354</v>
      </c>
      <c r="P352" s="54" t="s">
        <v>22</v>
      </c>
    </row>
    <row r="353" spans="2:16">
      <c r="B353" s="52">
        <f>VLOOKUP(T_ApifImport[[#This Row],[Bilans]],T_Bilansi[],4,0)</f>
        <v>28</v>
      </c>
      <c r="C353" s="173">
        <f>VLOOKUP(T_ApifImport[[#This Row],[ld]],T_Aop[],4,0)</f>
        <v>604</v>
      </c>
      <c r="D35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3" s="25" t="e">
        <v>#VALUE!</v>
      </c>
      <c r="F353" s="573">
        <f aca="1">IF(ISNA(VLOOKUP(T_ApifImport[[#This Row],[Bilans]:[Bilans]]&amp;T_ApifImport[[#Headers],[Kolona2]],T_ApifKolone[],4,0)),"",VLOOKUP(T_ApifImport[[#This Row],[AOP]:[AOP]],INDIRECT("Lookup_"&amp;T_ApifImport[[#This Row],[Bilans]:[Bilans]]),VLOOKUP(T_ApifImport[[#This Row],[Bilans]:[Bilans]]&amp;T_ApifImport[[#Headers],[Kolona2]],T_ApifKolone[],4,0),0))</f>
        <v>23804</v>
      </c>
      <c r="G35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3" s="22" t="n">
        <v>355</v>
      </c>
      <c r="P353" s="54" t="s">
        <v>22</v>
      </c>
    </row>
    <row r="354" spans="2:16">
      <c r="B354" s="52">
        <f>VLOOKUP(T_ApifImport[[#This Row],[Bilans]],T_Bilansi[],4,0)</f>
        <v>28</v>
      </c>
      <c r="C354" s="173">
        <f>VLOOKUP(T_ApifImport[[#This Row],[ld]],T_Aop[],4,0)</f>
        <v>605</v>
      </c>
      <c r="D35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4" s="25" t="e">
        <v>#VALUE!</v>
      </c>
      <c r="F354" s="573">
        <f aca="1">IF(ISNA(VLOOKUP(T_ApifImport[[#This Row],[Bilans]:[Bilans]]&amp;T_ApifImport[[#Headers],[Kolona2]],T_ApifKolone[],4,0)),"",VLOOKUP(T_ApifImport[[#This Row],[AOP]:[AOP]],INDIRECT("Lookup_"&amp;T_ApifImport[[#This Row],[Bilans]:[Bilans]]),VLOOKUP(T_ApifImport[[#This Row],[Bilans]:[Bilans]]&amp;T_ApifImport[[#Headers],[Kolona2]],T_ApifKolone[],4,0),0))</f>
        <v>368544</v>
      </c>
      <c r="G35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4" s="22" t="n">
        <v>356</v>
      </c>
      <c r="P354" s="54" t="s">
        <v>22</v>
      </c>
    </row>
    <row r="355" spans="2:16">
      <c r="B355" s="52">
        <f>VLOOKUP(T_ApifImport[[#This Row],[Bilans]],T_Bilansi[],4,0)</f>
        <v>28</v>
      </c>
      <c r="C355" s="173">
        <f>VLOOKUP(T_ApifImport[[#This Row],[ld]],T_Aop[],4,0)</f>
        <v>606</v>
      </c>
      <c r="D35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5" s="25" t="e">
        <v>#VALUE!</v>
      </c>
      <c r="F355" s="573">
        <f aca="1">IF(ISNA(VLOOKUP(T_ApifImport[[#This Row],[Bilans]:[Bilans]]&amp;T_ApifImport[[#Headers],[Kolona2]],T_ApifKolone[],4,0)),"",VLOOKUP(T_ApifImport[[#This Row],[AOP]:[AOP]],INDIRECT("Lookup_"&amp;T_ApifImport[[#This Row],[Bilans]:[Bilans]]),VLOOKUP(T_ApifImport[[#This Row],[Bilans]:[Bilans]]&amp;T_ApifImport[[#Headers],[Kolona2]],T_ApifKolone[],4,0),0))</f>
        <v>2676</v>
      </c>
      <c r="G35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5" s="22" t="n">
        <v>357</v>
      </c>
      <c r="P355" s="54" t="s">
        <v>22</v>
      </c>
    </row>
    <row r="356" spans="2:16">
      <c r="B356" s="52">
        <f>VLOOKUP(T_ApifImport[[#This Row],[Bilans]],T_Bilansi[],4,0)</f>
        <v>28</v>
      </c>
      <c r="C356" s="173">
        <f>VLOOKUP(T_ApifImport[[#This Row],[ld]],T_Aop[],4,0)</f>
        <v>607</v>
      </c>
      <c r="D35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6" s="25" t="e">
        <v>#VALUE!</v>
      </c>
      <c r="F356" s="573">
        <f aca="1">IF(ISNA(VLOOKUP(T_ApifImport[[#This Row],[Bilans]:[Bilans]]&amp;T_ApifImport[[#Headers],[Kolona2]],T_ApifKolone[],4,0)),"",VLOOKUP(T_ApifImport[[#This Row],[AOP]:[AOP]],INDIRECT("Lookup_"&amp;T_ApifImport[[#This Row],[Bilans]:[Bilans]]),VLOOKUP(T_ApifImport[[#This Row],[Bilans]:[Bilans]]&amp;T_ApifImport[[#Headers],[Kolona2]],T_ApifKolone[],4,0),0))</f>
        <v>63176</v>
      </c>
      <c r="G35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6" s="22" t="n">
        <v>358</v>
      </c>
      <c r="P356" s="54" t="s">
        <v>22</v>
      </c>
    </row>
    <row r="357" spans="2:16">
      <c r="B357" s="52">
        <f>VLOOKUP(T_ApifImport[[#This Row],[Bilans]],T_Bilansi[],4,0)</f>
        <v>28</v>
      </c>
      <c r="C357" s="173">
        <f>VLOOKUP(T_ApifImport[[#This Row],[ld]],T_Aop[],4,0)</f>
        <v>608</v>
      </c>
      <c r="D35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7" s="25" t="e">
        <v>#VALUE!</v>
      </c>
      <c r="F357" s="25">
        <f aca="1">IF(ISNA(VLOOKUP(T_ApifImport[[#This Row],[Bilans]:[Bilans]]&amp;T_ApifImport[[#Headers],[Kolona2]],T_ApifKolone[],4,0)),"",VLOOKUP(T_ApifImport[[#This Row],[AOP]:[AOP]],INDIRECT("Lookup_"&amp;T_ApifImport[[#This Row],[Bilans]:[Bilans]]),VLOOKUP(T_ApifImport[[#This Row],[Bilans]:[Bilans]]&amp;T_ApifImport[[#Headers],[Kolona2]],T_ApifKolone[],4,0),0))</f>
        <v>0</v>
      </c>
      <c r="G35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7" s="22" t="n">
        <v>359</v>
      </c>
      <c r="P357" s="54" t="s">
        <v>22</v>
      </c>
    </row>
    <row r="358" spans="2:16">
      <c r="B358" s="52">
        <f>VLOOKUP(T_ApifImport[[#This Row],[Bilans]],T_Bilansi[],4,0)</f>
        <v>28</v>
      </c>
      <c r="C358" s="173">
        <f>VLOOKUP(T_ApifImport[[#This Row],[ld]],T_Aop[],4,0)</f>
        <v>609</v>
      </c>
      <c r="D35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8" s="25" t="e">
        <v>#VALUE!</v>
      </c>
      <c r="F358" s="25">
        <f aca="1">IF(ISNA(VLOOKUP(T_ApifImport[[#This Row],[Bilans]:[Bilans]]&amp;T_ApifImport[[#Headers],[Kolona2]],T_ApifKolone[],4,0)),"",VLOOKUP(T_ApifImport[[#This Row],[AOP]:[AOP]],INDIRECT("Lookup_"&amp;T_ApifImport[[#This Row],[Bilans]:[Bilans]]),VLOOKUP(T_ApifImport[[#This Row],[Bilans]:[Bilans]]&amp;T_ApifImport[[#Headers],[Kolona2]],T_ApifKolone[],4,0),0))</f>
        <v>0</v>
      </c>
      <c r="G35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8" s="22" t="n">
        <v>360</v>
      </c>
      <c r="P358" s="54" t="s">
        <v>22</v>
      </c>
    </row>
    <row r="359" spans="2:16">
      <c r="B359" s="52">
        <f>VLOOKUP(T_ApifImport[[#This Row],[Bilans]],T_Bilansi[],4,0)</f>
        <v>28</v>
      </c>
      <c r="C359" s="173">
        <f>VLOOKUP(T_ApifImport[[#This Row],[ld]],T_Aop[],4,0)</f>
        <v>610</v>
      </c>
      <c r="D35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9" s="25" t="e">
        <v>#VALUE!</v>
      </c>
      <c r="F359" s="25">
        <f aca="1">IF(ISNA(VLOOKUP(T_ApifImport[[#This Row],[Bilans]:[Bilans]]&amp;T_ApifImport[[#Headers],[Kolona2]],T_ApifKolone[],4,0)),"",VLOOKUP(T_ApifImport[[#This Row],[AOP]:[AOP]],INDIRECT("Lookup_"&amp;T_ApifImport[[#This Row],[Bilans]:[Bilans]]),VLOOKUP(T_ApifImport[[#This Row],[Bilans]:[Bilans]]&amp;T_ApifImport[[#Headers],[Kolona2]],T_ApifKolone[],4,0),0))</f>
        <v>0</v>
      </c>
      <c r="G35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9" s="22" t="n">
        <v>361</v>
      </c>
      <c r="P359" s="54" t="s">
        <v>22</v>
      </c>
    </row>
    <row r="360" spans="2:16">
      <c r="B360" s="52">
        <f>VLOOKUP(T_ApifImport[[#This Row],[Bilans]],T_Bilansi[],4,0)</f>
        <v>28</v>
      </c>
      <c r="C360" s="173">
        <f>VLOOKUP(T_ApifImport[[#This Row],[ld]],T_Aop[],4,0)</f>
        <v>611</v>
      </c>
      <c r="D36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0" s="25" t="e">
        <v>#VALUE!</v>
      </c>
      <c r="F360" s="573">
        <f aca="1">IF(ISNA(VLOOKUP(T_ApifImport[[#This Row],[Bilans]:[Bilans]]&amp;T_ApifImport[[#Headers],[Kolona2]],T_ApifKolone[],4,0)),"",VLOOKUP(T_ApifImport[[#This Row],[AOP]:[AOP]],INDIRECT("Lookup_"&amp;T_ApifImport[[#This Row],[Bilans]:[Bilans]]),VLOOKUP(T_ApifImport[[#This Row],[Bilans]:[Bilans]]&amp;T_ApifImport[[#Headers],[Kolona2]],T_ApifKolone[],4,0),0))</f>
        <v>165300</v>
      </c>
      <c r="G36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0" s="22" t="n">
        <v>362</v>
      </c>
      <c r="P360" s="54" t="s">
        <v>22</v>
      </c>
    </row>
    <row r="361" spans="2:16">
      <c r="B361" s="52">
        <f>VLOOKUP(T_ApifImport[[#This Row],[Bilans]],T_Bilansi[],4,0)</f>
        <v>28</v>
      </c>
      <c r="C361" s="173">
        <f>VLOOKUP(T_ApifImport[[#This Row],[ld]],T_Aop[],4,0)</f>
        <v>612</v>
      </c>
      <c r="D36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1" s="25" t="e">
        <v>#VALUE!</v>
      </c>
      <c r="F361" s="573">
        <f aca="1">IF(ISNA(VLOOKUP(T_ApifImport[[#This Row],[Bilans]:[Bilans]]&amp;T_ApifImport[[#Headers],[Kolona2]],T_ApifKolone[],4,0)),"",VLOOKUP(T_ApifImport[[#This Row],[AOP]:[AOP]],INDIRECT("Lookup_"&amp;T_ApifImport[[#This Row],[Bilans]:[Bilans]]),VLOOKUP(T_ApifImport[[#This Row],[Bilans]:[Bilans]]&amp;T_ApifImport[[#Headers],[Kolona2]],T_ApifKolone[],4,0),0))</f>
        <v>150222</v>
      </c>
      <c r="G36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1" s="22" t="n">
        <v>363</v>
      </c>
      <c r="P361" s="54" t="s">
        <v>22</v>
      </c>
    </row>
    <row r="362" spans="2:16">
      <c r="B362" s="52">
        <f>VLOOKUP(T_ApifImport[[#This Row],[Bilans]],T_Bilansi[],4,0)</f>
        <v>28</v>
      </c>
      <c r="C362" s="173">
        <f>VLOOKUP(T_ApifImport[[#This Row],[ld]],T_Aop[],4,0)</f>
        <v>613</v>
      </c>
      <c r="D36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2" s="25" t="e">
        <v>#VALUE!</v>
      </c>
      <c r="F362" s="25">
        <f aca="1">IF(ISNA(VLOOKUP(T_ApifImport[[#This Row],[Bilans]:[Bilans]]&amp;T_ApifImport[[#Headers],[Kolona2]],T_ApifKolone[],4,0)),"",VLOOKUP(T_ApifImport[[#This Row],[AOP]:[AOP]],INDIRECT("Lookup_"&amp;T_ApifImport[[#This Row],[Bilans]:[Bilans]]),VLOOKUP(T_ApifImport[[#This Row],[Bilans]:[Bilans]]&amp;T_ApifImport[[#Headers],[Kolona2]],T_ApifKolone[],4,0),0))</f>
        <v>0</v>
      </c>
      <c r="G36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2" s="22" t="n">
        <v>364</v>
      </c>
      <c r="P362" s="54" t="s">
        <v>22</v>
      </c>
    </row>
    <row r="363" spans="2:16">
      <c r="B363" s="52">
        <f>VLOOKUP(T_ApifImport[[#This Row],[Bilans]],T_Bilansi[],4,0)</f>
        <v>28</v>
      </c>
      <c r="C363" s="173">
        <f>VLOOKUP(T_ApifImport[[#This Row],[ld]],T_Aop[],4,0)</f>
        <v>614</v>
      </c>
      <c r="D36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3" s="25" t="e">
        <v>#VALUE!</v>
      </c>
      <c r="F363" s="573">
        <f aca="1">IF(ISNA(VLOOKUP(T_ApifImport[[#This Row],[Bilans]:[Bilans]]&amp;T_ApifImport[[#Headers],[Kolona2]],T_ApifKolone[],4,0)),"",VLOOKUP(T_ApifImport[[#This Row],[AOP]:[AOP]],INDIRECT("Lookup_"&amp;T_ApifImport[[#This Row],[Bilans]:[Bilans]]),VLOOKUP(T_ApifImport[[#This Row],[Bilans]:[Bilans]]&amp;T_ApifImport[[#Headers],[Kolona2]],T_ApifKolone[],4,0),0))</f>
        <v>10093</v>
      </c>
      <c r="G36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3" s="22" t="n">
        <v>365</v>
      </c>
      <c r="P363" s="54" t="s">
        <v>22</v>
      </c>
    </row>
    <row r="364" spans="2:16">
      <c r="B364" s="52">
        <f>VLOOKUP(T_ApifImport[[#This Row],[Bilans]],T_Bilansi[],4,0)</f>
        <v>28</v>
      </c>
      <c r="C364" s="173">
        <f>VLOOKUP(T_ApifImport[[#This Row],[ld]],T_Aop[],4,0)</f>
        <v>615</v>
      </c>
      <c r="D36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4" s="25" t="e">
        <v>#VALUE!</v>
      </c>
      <c r="F364" s="573">
        <f aca="1">IF(ISNA(VLOOKUP(T_ApifImport[[#This Row],[Bilans]:[Bilans]]&amp;T_ApifImport[[#Headers],[Kolona2]],T_ApifKolone[],4,0)),"",VLOOKUP(T_ApifImport[[#This Row],[AOP]:[AOP]],INDIRECT("Lookup_"&amp;T_ApifImport[[#This Row],[Bilans]:[Bilans]]),VLOOKUP(T_ApifImport[[#This Row],[Bilans]:[Bilans]]&amp;T_ApifImport[[#Headers],[Kolona2]],T_ApifKolone[],4,0),0))</f>
        <v>417</v>
      </c>
      <c r="G36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4" s="22" t="n">
        <v>366</v>
      </c>
      <c r="P364" s="54" t="s">
        <v>22</v>
      </c>
    </row>
    <row r="365" spans="2:16">
      <c r="B365" s="52">
        <f>VLOOKUP(T_ApifImport[[#This Row],[Bilans]],T_Bilansi[],4,0)</f>
        <v>28</v>
      </c>
      <c r="C365" s="173">
        <f>VLOOKUP(T_ApifImport[[#This Row],[ld]],T_Aop[],4,0)</f>
        <v>616</v>
      </c>
      <c r="D36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5" s="25" t="e">
        <v>#VALUE!</v>
      </c>
      <c r="F365" s="573">
        <f aca="1">IF(ISNA(VLOOKUP(T_ApifImport[[#This Row],[Bilans]:[Bilans]]&amp;T_ApifImport[[#Headers],[Kolona2]],T_ApifKolone[],4,0)),"",VLOOKUP(T_ApifImport[[#This Row],[AOP]:[AOP]],INDIRECT("Lookup_"&amp;T_ApifImport[[#This Row],[Bilans]:[Bilans]]),VLOOKUP(T_ApifImport[[#This Row],[Bilans]:[Bilans]]&amp;T_ApifImport[[#Headers],[Kolona2]],T_ApifKolone[],4,0),0))</f>
        <v>20345</v>
      </c>
      <c r="G36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5" s="22" t="n">
        <v>367</v>
      </c>
      <c r="P365" s="54" t="s">
        <v>22</v>
      </c>
    </row>
    <row r="366" spans="2:16">
      <c r="B366" s="52">
        <f>VLOOKUP(T_ApifImport[[#This Row],[Bilans]],T_Bilansi[],4,0)</f>
        <v>28</v>
      </c>
      <c r="C366" s="173">
        <f>VLOOKUP(T_ApifImport[[#This Row],[ld]],T_Aop[],4,0)</f>
        <v>617</v>
      </c>
      <c r="D36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6" s="25" t="e">
        <v>#VALUE!</v>
      </c>
      <c r="F366" s="573">
        <f aca="1">IF(ISNA(VLOOKUP(T_ApifImport[[#This Row],[Bilans]:[Bilans]]&amp;T_ApifImport[[#Headers],[Kolona2]],T_ApifKolone[],4,0)),"",VLOOKUP(T_ApifImport[[#This Row],[AOP]:[AOP]],INDIRECT("Lookup_"&amp;T_ApifImport[[#This Row],[Bilans]:[Bilans]]),VLOOKUP(T_ApifImport[[#This Row],[Bilans]:[Bilans]]&amp;T_ApifImport[[#Headers],[Kolona2]],T_ApifKolone[],4,0),0))</f>
        <v>6805</v>
      </c>
      <c r="G36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6" s="22" t="n">
        <v>368</v>
      </c>
      <c r="P366" s="54" t="s">
        <v>22</v>
      </c>
    </row>
    <row r="367" spans="2:16">
      <c r="B367" s="52">
        <f>VLOOKUP(T_ApifImport[[#This Row],[Bilans]],T_Bilansi[],4,0)</f>
        <v>28</v>
      </c>
      <c r="C367" s="173">
        <f>VLOOKUP(T_ApifImport[[#This Row],[ld]],T_Aop[],4,0)</f>
        <v>618</v>
      </c>
      <c r="D36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7" s="25" t="e">
        <v>#VALUE!</v>
      </c>
      <c r="F367" s="573">
        <f aca="1">IF(ISNA(VLOOKUP(T_ApifImport[[#This Row],[Bilans]:[Bilans]]&amp;T_ApifImport[[#Headers],[Kolona2]],T_ApifKolone[],4,0)),"",VLOOKUP(T_ApifImport[[#This Row],[AOP]:[AOP]],INDIRECT("Lookup_"&amp;T_ApifImport[[#This Row],[Bilans]:[Bilans]]),VLOOKUP(T_ApifImport[[#This Row],[Bilans]:[Bilans]]&amp;T_ApifImport[[#Headers],[Kolona2]],T_ApifKolone[],4,0),0))</f>
        <v>3205</v>
      </c>
      <c r="G36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7" s="22" t="n">
        <v>369</v>
      </c>
      <c r="P367" s="54" t="s">
        <v>22</v>
      </c>
    </row>
    <row r="368" spans="2:16">
      <c r="B368" s="52">
        <f>VLOOKUP(T_ApifImport[[#This Row],[Bilans]],T_Bilansi[],4,0)</f>
        <v>28</v>
      </c>
      <c r="C368" s="173">
        <f>VLOOKUP(T_ApifImport[[#This Row],[ld]],T_Aop[],4,0)</f>
        <v>619</v>
      </c>
      <c r="D36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8" s="25" t="e">
        <v>#VALUE!</v>
      </c>
      <c r="F368" s="573">
        <f aca="1">IF(ISNA(VLOOKUP(T_ApifImport[[#This Row],[Bilans]:[Bilans]]&amp;T_ApifImport[[#Headers],[Kolona2]],T_ApifKolone[],4,0)),"",VLOOKUP(T_ApifImport[[#This Row],[AOP]:[AOP]],INDIRECT("Lookup_"&amp;T_ApifImport[[#This Row],[Bilans]:[Bilans]]),VLOOKUP(T_ApifImport[[#This Row],[Bilans]:[Bilans]]&amp;T_ApifImport[[#Headers],[Kolona2]],T_ApifKolone[],4,0),0))</f>
        <v>3205</v>
      </c>
      <c r="G36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8" s="22" t="n">
        <v>370</v>
      </c>
      <c r="P368" s="54" t="s">
        <v>22</v>
      </c>
    </row>
    <row r="369" spans="2:16">
      <c r="B369" s="52">
        <f>VLOOKUP(T_ApifImport[[#This Row],[Bilans]],T_Bilansi[],4,0)</f>
        <v>28</v>
      </c>
      <c r="C369" s="173">
        <f>VLOOKUP(T_ApifImport[[#This Row],[ld]],T_Aop[],4,0)</f>
        <v>620</v>
      </c>
      <c r="D36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9" s="25" t="e">
        <v>#VALUE!</v>
      </c>
      <c r="F369" s="25">
        <f aca="1">IF(ISNA(VLOOKUP(T_ApifImport[[#This Row],[Bilans]:[Bilans]]&amp;T_ApifImport[[#Headers],[Kolona2]],T_ApifKolone[],4,0)),"",VLOOKUP(T_ApifImport[[#This Row],[AOP]:[AOP]],INDIRECT("Lookup_"&amp;T_ApifImport[[#This Row],[Bilans]:[Bilans]]),VLOOKUP(T_ApifImport[[#This Row],[Bilans]:[Bilans]]&amp;T_ApifImport[[#Headers],[Kolona2]],T_ApifKolone[],4,0),0))</f>
        <v>0</v>
      </c>
      <c r="G3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9" s="22" t="n">
        <v>371</v>
      </c>
      <c r="P369" s="54" t="s">
        <v>22</v>
      </c>
    </row>
    <row r="370" spans="2:16">
      <c r="B370" s="52">
        <f>VLOOKUP(T_ApifImport[[#This Row],[Bilans]],T_Bilansi[],4,0)</f>
        <v>28</v>
      </c>
      <c r="C370" s="173">
        <f>VLOOKUP(T_ApifImport[[#This Row],[ld]],T_Aop[],4,0)</f>
        <v>621</v>
      </c>
      <c r="D37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0" s="25" t="e">
        <v>#VALUE!</v>
      </c>
      <c r="F370" s="573">
        <f aca="1">IF(ISNA(VLOOKUP(T_ApifImport[[#This Row],[Bilans]:[Bilans]]&amp;T_ApifImport[[#Headers],[Kolona2]],T_ApifKolone[],4,0)),"",VLOOKUP(T_ApifImport[[#This Row],[AOP]:[AOP]],INDIRECT("Lookup_"&amp;T_ApifImport[[#This Row],[Bilans]:[Bilans]]),VLOOKUP(T_ApifImport[[#This Row],[Bilans]:[Bilans]]&amp;T_ApifImport[[#Headers],[Kolona2]],T_ApifKolone[],4,0),0))</f>
        <v>3600</v>
      </c>
      <c r="G3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0" s="22" t="n">
        <v>372</v>
      </c>
      <c r="P370" s="54" t="s">
        <v>22</v>
      </c>
    </row>
    <row r="371" spans="2:16">
      <c r="B371" s="52">
        <f>VLOOKUP(T_ApifImport[[#This Row],[Bilans]],T_Bilansi[],4,0)</f>
        <v>28</v>
      </c>
      <c r="C371" s="173">
        <f>VLOOKUP(T_ApifImport[[#This Row],[ld]],T_Aop[],4,0)</f>
        <v>622</v>
      </c>
      <c r="D37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1" s="25" t="e">
        <v>#VALUE!</v>
      </c>
      <c r="F371" s="25">
        <f aca="1">IF(ISNA(VLOOKUP(T_ApifImport[[#This Row],[Bilans]:[Bilans]]&amp;T_ApifImport[[#Headers],[Kolona2]],T_ApifKolone[],4,0)),"",VLOOKUP(T_ApifImport[[#This Row],[AOP]:[AOP]],INDIRECT("Lookup_"&amp;T_ApifImport[[#This Row],[Bilans]:[Bilans]]),VLOOKUP(T_ApifImport[[#This Row],[Bilans]:[Bilans]]&amp;T_ApifImport[[#Headers],[Kolona2]],T_ApifKolone[],4,0),0))</f>
        <v>0</v>
      </c>
      <c r="G3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1" s="22" t="n">
        <v>373</v>
      </c>
      <c r="P371" s="54" t="s">
        <v>22</v>
      </c>
    </row>
    <row r="372" spans="2:16">
      <c r="B372" s="52">
        <f>VLOOKUP(T_ApifImport[[#This Row],[Bilans]],T_Bilansi[],4,0)</f>
        <v>28</v>
      </c>
      <c r="C372" s="173">
        <f>VLOOKUP(T_ApifImport[[#This Row],[ld]],T_Aop[],4,0)</f>
        <v>623</v>
      </c>
      <c r="D37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2" s="25" t="e">
        <v>#VALUE!</v>
      </c>
      <c r="F372" s="25">
        <f aca="1">IF(ISNA(VLOOKUP(T_ApifImport[[#This Row],[Bilans]:[Bilans]]&amp;T_ApifImport[[#Headers],[Kolona2]],T_ApifKolone[],4,0)),"",VLOOKUP(T_ApifImport[[#This Row],[AOP]:[AOP]],INDIRECT("Lookup_"&amp;T_ApifImport[[#This Row],[Bilans]:[Bilans]]),VLOOKUP(T_ApifImport[[#This Row],[Bilans]:[Bilans]]&amp;T_ApifImport[[#Headers],[Kolona2]],T_ApifKolone[],4,0),0))</f>
        <v>0</v>
      </c>
      <c r="G3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2" s="22" t="n">
        <v>374</v>
      </c>
      <c r="P372" s="54" t="s">
        <v>22</v>
      </c>
    </row>
    <row r="373" spans="2:16">
      <c r="B373" s="52">
        <f>VLOOKUP(T_ApifImport[[#This Row],[Bilans]],T_Bilansi[],4,0)</f>
        <v>28</v>
      </c>
      <c r="C373" s="173">
        <f>VLOOKUP(T_ApifImport[[#This Row],[ld]],T_Aop[],4,0)</f>
        <v>624</v>
      </c>
      <c r="D37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3" s="25" t="e">
        <v>#VALUE!</v>
      </c>
      <c r="F373" s="25">
        <f aca="1">IF(ISNA(VLOOKUP(T_ApifImport[[#This Row],[Bilans]:[Bilans]]&amp;T_ApifImport[[#Headers],[Kolona2]],T_ApifKolone[],4,0)),"",VLOOKUP(T_ApifImport[[#This Row],[AOP]:[AOP]],INDIRECT("Lookup_"&amp;T_ApifImport[[#This Row],[Bilans]:[Bilans]]),VLOOKUP(T_ApifImport[[#This Row],[Bilans]:[Bilans]]&amp;T_ApifImport[[#Headers],[Kolona2]],T_ApifKolone[],4,0),0))</f>
        <v>0</v>
      </c>
      <c r="G3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3" s="22" t="n">
        <v>375</v>
      </c>
      <c r="P373" s="54" t="s">
        <v>22</v>
      </c>
    </row>
    <row r="374" spans="2:16">
      <c r="B374" s="52">
        <f>VLOOKUP(T_ApifImport[[#This Row],[Bilans]],T_Bilansi[],4,0)</f>
        <v>28</v>
      </c>
      <c r="C374" s="173">
        <f>VLOOKUP(T_ApifImport[[#This Row],[ld]],T_Aop[],4,0)</f>
        <v>625</v>
      </c>
      <c r="D37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4" s="25" t="e">
        <v>#VALUE!</v>
      </c>
      <c r="F374" s="25">
        <f aca="1">IF(ISNA(VLOOKUP(T_ApifImport[[#This Row],[Bilans]:[Bilans]]&amp;T_ApifImport[[#Headers],[Kolona2]],T_ApifKolone[],4,0)),"",VLOOKUP(T_ApifImport[[#This Row],[AOP]:[AOP]],INDIRECT("Lookup_"&amp;T_ApifImport[[#This Row],[Bilans]:[Bilans]]),VLOOKUP(T_ApifImport[[#This Row],[Bilans]:[Bilans]]&amp;T_ApifImport[[#Headers],[Kolona2]],T_ApifKolone[],4,0),0))</f>
        <v>0</v>
      </c>
      <c r="G3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4" s="22" t="n">
        <v>376</v>
      </c>
      <c r="P374" s="54" t="s">
        <v>22</v>
      </c>
    </row>
    <row r="375" spans="2:16">
      <c r="B375" s="52">
        <f>VLOOKUP(T_ApifImport[[#This Row],[Bilans]],T_Bilansi[],4,0)</f>
        <v>28</v>
      </c>
      <c r="C375" s="173">
        <f>VLOOKUP(T_ApifImport[[#This Row],[ld]],T_Aop[],4,0)</f>
        <v>626</v>
      </c>
      <c r="D37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5" s="25" t="e">
        <v>#VALUE!</v>
      </c>
      <c r="F375" s="25">
        <f aca="1">IF(ISNA(VLOOKUP(T_ApifImport[[#This Row],[Bilans]:[Bilans]]&amp;T_ApifImport[[#Headers],[Kolona2]],T_ApifKolone[],4,0)),"",VLOOKUP(T_ApifImport[[#This Row],[AOP]:[AOP]],INDIRECT("Lookup_"&amp;T_ApifImport[[#This Row],[Bilans]:[Bilans]]),VLOOKUP(T_ApifImport[[#This Row],[Bilans]:[Bilans]]&amp;T_ApifImport[[#Headers],[Kolona2]],T_ApifKolone[],4,0),0))</f>
        <v>0</v>
      </c>
      <c r="G3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5" s="22" t="n">
        <v>377</v>
      </c>
      <c r="P375" s="54" t="s">
        <v>22</v>
      </c>
    </row>
    <row r="376" spans="2:16">
      <c r="B376" s="52">
        <f>VLOOKUP(T_ApifImport[[#This Row],[Bilans]],T_Bilansi[],4,0)</f>
        <v>28</v>
      </c>
      <c r="C376" s="173">
        <f>VLOOKUP(T_ApifImport[[#This Row],[ld]],T_Aop[],4,0)</f>
        <v>627</v>
      </c>
      <c r="D37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6" s="25" t="e">
        <v>#VALUE!</v>
      </c>
      <c r="F376" s="25">
        <f aca="1">IF(ISNA(VLOOKUP(T_ApifImport[[#This Row],[Bilans]:[Bilans]]&amp;T_ApifImport[[#Headers],[Kolona2]],T_ApifKolone[],4,0)),"",VLOOKUP(T_ApifImport[[#This Row],[AOP]:[AOP]],INDIRECT("Lookup_"&amp;T_ApifImport[[#This Row],[Bilans]:[Bilans]]),VLOOKUP(T_ApifImport[[#This Row],[Bilans]:[Bilans]]&amp;T_ApifImport[[#Headers],[Kolona2]],T_ApifKolone[],4,0),0))</f>
        <v>0</v>
      </c>
      <c r="G3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6" s="22" t="n">
        <v>378</v>
      </c>
      <c r="P376" s="54" t="s">
        <v>22</v>
      </c>
    </row>
    <row r="377" spans="2:16">
      <c r="B377" s="52">
        <f>VLOOKUP(T_ApifImport[[#This Row],[Bilans]],T_Bilansi[],4,0)</f>
        <v>28</v>
      </c>
      <c r="C377" s="173">
        <f>VLOOKUP(T_ApifImport[[#This Row],[ld]],T_Aop[],4,0)</f>
        <v>628</v>
      </c>
      <c r="D37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7" s="25" t="e">
        <v>#VALUE!</v>
      </c>
      <c r="F377" s="25">
        <f aca="1">IF(ISNA(VLOOKUP(T_ApifImport[[#This Row],[Bilans]:[Bilans]]&amp;T_ApifImport[[#Headers],[Kolona2]],T_ApifKolone[],4,0)),"",VLOOKUP(T_ApifImport[[#This Row],[AOP]:[AOP]],INDIRECT("Lookup_"&amp;T_ApifImport[[#This Row],[Bilans]:[Bilans]]),VLOOKUP(T_ApifImport[[#This Row],[Bilans]:[Bilans]]&amp;T_ApifImport[[#Headers],[Kolona2]],T_ApifKolone[],4,0),0))</f>
        <v>0</v>
      </c>
      <c r="G3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7" s="22" t="n">
        <v>379</v>
      </c>
      <c r="P377" s="54" t="s">
        <v>22</v>
      </c>
    </row>
    <row r="378" spans="2:16">
      <c r="B378" s="52">
        <f>VLOOKUP(T_ApifImport[[#This Row],[Bilans]],T_Bilansi[],4,0)</f>
        <v>28</v>
      </c>
      <c r="C378" s="173">
        <f>VLOOKUP(T_ApifImport[[#This Row],[ld]],T_Aop[],4,0)</f>
        <v>629</v>
      </c>
      <c r="D37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8" s="25" t="e">
        <v>#VALUE!</v>
      </c>
      <c r="F378" s="573">
        <f aca="1">IF(ISNA(VLOOKUP(T_ApifImport[[#This Row],[Bilans]:[Bilans]]&amp;T_ApifImport[[#Headers],[Kolona2]],T_ApifKolone[],4,0)),"",VLOOKUP(T_ApifImport[[#This Row],[AOP]:[AOP]],INDIRECT("Lookup_"&amp;T_ApifImport[[#This Row],[Bilans]:[Bilans]]),VLOOKUP(T_ApifImport[[#This Row],[Bilans]:[Bilans]]&amp;T_ApifImport[[#Headers],[Kolona2]],T_ApifKolone[],4,0),0))</f>
        <v>37</v>
      </c>
      <c r="G3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8" s="22" t="n">
        <v>380</v>
      </c>
      <c r="P378" s="54" t="s">
        <v>22</v>
      </c>
    </row>
    <row r="379" spans="2:16">
      <c r="B379" s="52">
        <f>VLOOKUP(T_ApifImport[[#This Row],[Bilans]],T_Bilansi[],4,0)</f>
        <v>28</v>
      </c>
      <c r="C379" s="173">
        <f>VLOOKUP(T_ApifImport[[#This Row],[ld]],T_Aop[],4,0)</f>
        <v>630</v>
      </c>
      <c r="D37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9" s="25" t="e">
        <v>#VALUE!</v>
      </c>
      <c r="F379" s="25">
        <f aca="1">IF(ISNA(VLOOKUP(T_ApifImport[[#This Row],[Bilans]:[Bilans]]&amp;T_ApifImport[[#Headers],[Kolona2]],T_ApifKolone[],4,0)),"",VLOOKUP(T_ApifImport[[#This Row],[AOP]:[AOP]],INDIRECT("Lookup_"&amp;T_ApifImport[[#This Row],[Bilans]:[Bilans]]),VLOOKUP(T_ApifImport[[#This Row],[Bilans]:[Bilans]]&amp;T_ApifImport[[#Headers],[Kolona2]],T_ApifKolone[],4,0),0))</f>
        <v>0</v>
      </c>
      <c r="G3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9" s="22" t="n">
        <v>381</v>
      </c>
      <c r="P379" s="54" t="s">
        <v>22</v>
      </c>
    </row>
    <row r="380" spans="2:16">
      <c r="B380" s="52">
        <f>VLOOKUP(T_ApifImport[[#This Row],[Bilans]],T_Bilansi[],4,0)</f>
        <v>28</v>
      </c>
      <c r="C380" s="173">
        <f>VLOOKUP(T_ApifImport[[#This Row],[ld]],T_Aop[],4,0)</f>
        <v>631</v>
      </c>
      <c r="D38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0" s="25" t="e">
        <v>#VALUE!</v>
      </c>
      <c r="F380" s="25">
        <f aca="1">IF(ISNA(VLOOKUP(T_ApifImport[[#This Row],[Bilans]:[Bilans]]&amp;T_ApifImport[[#Headers],[Kolona2]],T_ApifKolone[],4,0)),"",VLOOKUP(T_ApifImport[[#This Row],[AOP]:[AOP]],INDIRECT("Lookup_"&amp;T_ApifImport[[#This Row],[Bilans]:[Bilans]]),VLOOKUP(T_ApifImport[[#This Row],[Bilans]:[Bilans]]&amp;T_ApifImport[[#Headers],[Kolona2]],T_ApifKolone[],4,0),0))</f>
        <v>0</v>
      </c>
      <c r="G3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0" s="22" t="n">
        <v>382</v>
      </c>
      <c r="P380" s="54" t="s">
        <v>22</v>
      </c>
    </row>
    <row r="381" spans="2:16">
      <c r="B381" s="52">
        <f>VLOOKUP(T_ApifImport[[#This Row],[Bilans]],T_Bilansi[],4,0)</f>
        <v>28</v>
      </c>
      <c r="C381" s="173">
        <f>VLOOKUP(T_ApifImport[[#This Row],[ld]],T_Aop[],4,0)</f>
        <v>632</v>
      </c>
      <c r="D38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1" s="25" t="e">
        <v>#VALUE!</v>
      </c>
      <c r="F381" s="573">
        <f aca="1">IF(ISNA(VLOOKUP(T_ApifImport[[#This Row],[Bilans]:[Bilans]]&amp;T_ApifImport[[#Headers],[Kolona2]],T_ApifKolone[],4,0)),"",VLOOKUP(T_ApifImport[[#This Row],[AOP]:[AOP]],INDIRECT("Lookup_"&amp;T_ApifImport[[#This Row],[Bilans]:[Bilans]]),VLOOKUP(T_ApifImport[[#This Row],[Bilans]:[Bilans]]&amp;T_ApifImport[[#Headers],[Kolona2]],T_ApifKolone[],4,0),0))</f>
        <v>92336</v>
      </c>
      <c r="G38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1" s="22" t="n">
        <v>383</v>
      </c>
      <c r="P381" s="54" t="s">
        <v>22</v>
      </c>
    </row>
    <row r="382" spans="2:16">
      <c r="B382" s="52">
        <f>VLOOKUP(T_ApifImport[[#This Row],[Bilans]],T_Bilansi[],4,0)</f>
        <v>28</v>
      </c>
      <c r="C382" s="173">
        <f>VLOOKUP(T_ApifImport[[#This Row],[ld]],T_Aop[],4,0)</f>
        <v>633</v>
      </c>
      <c r="D38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2" s="25" t="e">
        <v>#VALUE!</v>
      </c>
      <c r="F382" s="573">
        <f aca="1">IF(ISNA(VLOOKUP(T_ApifImport[[#This Row],[Bilans]:[Bilans]]&amp;T_ApifImport[[#Headers],[Kolona2]],T_ApifKolone[],4,0)),"",VLOOKUP(T_ApifImport[[#This Row],[AOP]:[AOP]],INDIRECT("Lookup_"&amp;T_ApifImport[[#This Row],[Bilans]:[Bilans]]),VLOOKUP(T_ApifImport[[#This Row],[Bilans]:[Bilans]]&amp;T_ApifImport[[#Headers],[Kolona2]],T_ApifKolone[],4,0),0))</f>
        <v>2697</v>
      </c>
      <c r="G3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2" s="22" t="n">
        <v>384</v>
      </c>
      <c r="P382" s="54" t="s">
        <v>22</v>
      </c>
    </row>
    <row r="383" spans="2:16">
      <c r="B383" s="52">
        <f>VLOOKUP(T_ApifImport[[#This Row],[Bilans]],T_Bilansi[],4,0)</f>
        <v>28</v>
      </c>
      <c r="C383" s="173">
        <f>VLOOKUP(T_ApifImport[[#This Row],[ld]],T_Aop[],4,0)</f>
        <v>634</v>
      </c>
      <c r="D38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3" s="25" t="e">
        <v>#VALUE!</v>
      </c>
      <c r="F383" s="25">
        <f aca="1">IF(ISNA(VLOOKUP(T_ApifImport[[#This Row],[Bilans]:[Bilans]]&amp;T_ApifImport[[#Headers],[Kolona2]],T_ApifKolone[],4,0)),"",VLOOKUP(T_ApifImport[[#This Row],[AOP]:[AOP]],INDIRECT("Lookup_"&amp;T_ApifImport[[#This Row],[Bilans]:[Bilans]]),VLOOKUP(T_ApifImport[[#This Row],[Bilans]:[Bilans]]&amp;T_ApifImport[[#Headers],[Kolona2]],T_ApifKolone[],4,0),0))</f>
        <v>0</v>
      </c>
      <c r="G3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3" s="22" t="n">
        <v>385</v>
      </c>
      <c r="P383" s="54" t="s">
        <v>22</v>
      </c>
    </row>
    <row r="384" spans="2:16">
      <c r="B384" s="52">
        <f>VLOOKUP(T_ApifImport[[#This Row],[Bilans]],T_Bilansi[],4,0)</f>
        <v>28</v>
      </c>
      <c r="C384" s="173">
        <f>VLOOKUP(T_ApifImport[[#This Row],[ld]],T_Aop[],4,0)</f>
        <v>635</v>
      </c>
      <c r="D38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4" s="25" t="e">
        <v>#VALUE!</v>
      </c>
      <c r="F384" s="25">
        <f aca="1">IF(ISNA(VLOOKUP(T_ApifImport[[#This Row],[Bilans]:[Bilans]]&amp;T_ApifImport[[#Headers],[Kolona2]],T_ApifKolone[],4,0)),"",VLOOKUP(T_ApifImport[[#This Row],[AOP]:[AOP]],INDIRECT("Lookup_"&amp;T_ApifImport[[#This Row],[Bilans]:[Bilans]]),VLOOKUP(T_ApifImport[[#This Row],[Bilans]:[Bilans]]&amp;T_ApifImport[[#Headers],[Kolona2]],T_ApifKolone[],4,0),0))</f>
        <v>0</v>
      </c>
      <c r="G3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4" s="22" t="n">
        <v>386</v>
      </c>
      <c r="P384" s="54" t="s">
        <v>22</v>
      </c>
    </row>
    <row r="385" spans="2:16">
      <c r="B385" s="52">
        <f>VLOOKUP(T_ApifImport[[#This Row],[Bilans]],T_Bilansi[],4,0)</f>
        <v>28</v>
      </c>
      <c r="C385" s="173">
        <f>VLOOKUP(T_ApifImport[[#This Row],[ld]],T_Aop[],4,0)</f>
        <v>636</v>
      </c>
      <c r="D38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5" s="25" t="e">
        <v>#VALUE!</v>
      </c>
      <c r="F385" s="573">
        <f aca="1">IF(ISNA(VLOOKUP(T_ApifImport[[#This Row],[Bilans]:[Bilans]]&amp;T_ApifImport[[#Headers],[Kolona2]],T_ApifKolone[],4,0)),"",VLOOKUP(T_ApifImport[[#This Row],[AOP]:[AOP]],INDIRECT("Lookup_"&amp;T_ApifImport[[#This Row],[Bilans]:[Bilans]]),VLOOKUP(T_ApifImport[[#This Row],[Bilans]:[Bilans]]&amp;T_ApifImport[[#Headers],[Kolona2]],T_ApifKolone[],4,0),0))</f>
        <v>4213</v>
      </c>
      <c r="G3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5" s="22" t="n">
        <v>387</v>
      </c>
      <c r="P385" s="54" t="s">
        <v>22</v>
      </c>
    </row>
    <row r="386" spans="2:16">
      <c r="B386" s="52">
        <f>VLOOKUP(T_ApifImport[[#This Row],[Bilans]],T_Bilansi[],4,0)</f>
        <v>28</v>
      </c>
      <c r="C386" s="173">
        <f>VLOOKUP(T_ApifImport[[#This Row],[ld]],T_Aop[],4,0)</f>
        <v>637</v>
      </c>
      <c r="D38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6" s="25" t="e">
        <v>#VALUE!</v>
      </c>
      <c r="F386" s="25">
        <f aca="1">IF(ISNA(VLOOKUP(T_ApifImport[[#This Row],[Bilans]:[Bilans]]&amp;T_ApifImport[[#Headers],[Kolona2]],T_ApifKolone[],4,0)),"",VLOOKUP(T_ApifImport[[#This Row],[AOP]:[AOP]],INDIRECT("Lookup_"&amp;T_ApifImport[[#This Row],[Bilans]:[Bilans]]),VLOOKUP(T_ApifImport[[#This Row],[Bilans]:[Bilans]]&amp;T_ApifImport[[#Headers],[Kolona2]],T_ApifKolone[],4,0),0))</f>
        <v>0</v>
      </c>
      <c r="G3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6" s="22" t="n">
        <v>388</v>
      </c>
      <c r="P386" s="54" t="s">
        <v>22</v>
      </c>
    </row>
    <row r="387" spans="2:16">
      <c r="B387" s="52">
        <f>VLOOKUP(T_ApifImport[[#This Row],[Bilans]],T_Bilansi[],4,0)</f>
        <v>28</v>
      </c>
      <c r="C387" s="173">
        <f>VLOOKUP(T_ApifImport[[#This Row],[ld]],T_Aop[],4,0)</f>
        <v>638</v>
      </c>
      <c r="D38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7" s="25" t="e">
        <v>#VALUE!</v>
      </c>
      <c r="F387" s="573">
        <f aca="1">IF(ISNA(VLOOKUP(T_ApifImport[[#This Row],[Bilans]:[Bilans]]&amp;T_ApifImport[[#Headers],[Kolona2]],T_ApifKolone[],4,0)),"",VLOOKUP(T_ApifImport[[#This Row],[AOP]:[AOP]],INDIRECT("Lookup_"&amp;T_ApifImport[[#This Row],[Bilans]:[Bilans]]),VLOOKUP(T_ApifImport[[#This Row],[Bilans]:[Bilans]]&amp;T_ApifImport[[#Headers],[Kolona2]],T_ApifKolone[],4,0),0))</f>
        <v>1336</v>
      </c>
      <c r="G3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7" s="22" t="n">
        <v>389</v>
      </c>
      <c r="P387" s="54" t="s">
        <v>22</v>
      </c>
    </row>
    <row r="388" spans="2:16">
      <c r="B388" s="52">
        <f>VLOOKUP(T_ApifImport[[#This Row],[Bilans]],T_Bilansi[],4,0)</f>
        <v>28</v>
      </c>
      <c r="C388" s="173">
        <f>VLOOKUP(T_ApifImport[[#This Row],[ld]],T_Aop[],4,0)</f>
        <v>639</v>
      </c>
      <c r="D38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8" s="25" t="e">
        <v>#VALUE!</v>
      </c>
      <c r="F388" s="573">
        <f aca="1">IF(ISNA(VLOOKUP(T_ApifImport[[#This Row],[Bilans]:[Bilans]]&amp;T_ApifImport[[#Headers],[Kolona2]],T_ApifKolone[],4,0)),"",VLOOKUP(T_ApifImport[[#This Row],[AOP]:[AOP]],INDIRECT("Lookup_"&amp;T_ApifImport[[#This Row],[Bilans]:[Bilans]]),VLOOKUP(T_ApifImport[[#This Row],[Bilans]:[Bilans]]&amp;T_ApifImport[[#Headers],[Kolona2]],T_ApifKolone[],4,0),0))</f>
        <v>2049</v>
      </c>
      <c r="G3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8" s="22" t="n">
        <v>390</v>
      </c>
      <c r="P388" s="54" t="s">
        <v>22</v>
      </c>
    </row>
    <row r="389" spans="2:16">
      <c r="B389" s="52">
        <f>VLOOKUP(T_ApifImport[[#This Row],[Bilans]],T_Bilansi[],4,0)</f>
        <v>28</v>
      </c>
      <c r="C389" s="173">
        <f>VLOOKUP(T_ApifImport[[#This Row],[ld]],T_Aop[],4,0)</f>
        <v>640</v>
      </c>
      <c r="D38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9" s="25" t="e">
        <v>#VALUE!</v>
      </c>
      <c r="F389" s="573">
        <f aca="1">IF(ISNA(VLOOKUP(T_ApifImport[[#This Row],[Bilans]:[Bilans]]&amp;T_ApifImport[[#Headers],[Kolona2]],T_ApifKolone[],4,0)),"",VLOOKUP(T_ApifImport[[#This Row],[AOP]:[AOP]],INDIRECT("Lookup_"&amp;T_ApifImport[[#This Row],[Bilans]:[Bilans]]),VLOOKUP(T_ApifImport[[#This Row],[Bilans]:[Bilans]]&amp;T_ApifImport[[#Headers],[Kolona2]],T_ApifKolone[],4,0),0))</f>
        <v>752</v>
      </c>
      <c r="G3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9" s="22" t="n">
        <v>391</v>
      </c>
      <c r="P389" s="54" t="s">
        <v>22</v>
      </c>
    </row>
    <row r="390" spans="2:16">
      <c r="B390" s="52">
        <f>VLOOKUP(T_ApifImport[[#This Row],[Bilans]],T_Bilansi[],4,0)</f>
        <v>28</v>
      </c>
      <c r="C390" s="173">
        <f>VLOOKUP(T_ApifImport[[#This Row],[ld]],T_Aop[],4,0)</f>
        <v>641</v>
      </c>
      <c r="D39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0" s="25" t="e">
        <v>#VALUE!</v>
      </c>
      <c r="F390" s="25">
        <f aca="1">IF(ISNA(VLOOKUP(T_ApifImport[[#This Row],[Bilans]:[Bilans]]&amp;T_ApifImport[[#Headers],[Kolona2]],T_ApifKolone[],4,0)),"",VLOOKUP(T_ApifImport[[#This Row],[AOP]:[AOP]],INDIRECT("Lookup_"&amp;T_ApifImport[[#This Row],[Bilans]:[Bilans]]),VLOOKUP(T_ApifImport[[#This Row],[Bilans]:[Bilans]]&amp;T_ApifImport[[#Headers],[Kolona2]],T_ApifKolone[],4,0),0))</f>
        <v>0</v>
      </c>
      <c r="G3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0" s="22" t="n">
        <v>392</v>
      </c>
      <c r="P390" s="54" t="s">
        <v>22</v>
      </c>
    </row>
    <row r="391" spans="2:16">
      <c r="B391" s="52">
        <f>VLOOKUP(T_ApifImport[[#This Row],[Bilans]],T_Bilansi[],4,0)</f>
        <v>28</v>
      </c>
      <c r="C391" s="173">
        <f>VLOOKUP(T_ApifImport[[#This Row],[ld]],T_Aop[],4,0)</f>
        <v>642</v>
      </c>
      <c r="D39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1" s="25" t="e">
        <v>#VALUE!</v>
      </c>
      <c r="F391" s="25">
        <f aca="1">IF(ISNA(VLOOKUP(T_ApifImport[[#This Row],[Bilans]:[Bilans]]&amp;T_ApifImport[[#Headers],[Kolona2]],T_ApifKolone[],4,0)),"",VLOOKUP(T_ApifImport[[#This Row],[AOP]:[AOP]],INDIRECT("Lookup_"&amp;T_ApifImport[[#This Row],[Bilans]:[Bilans]]),VLOOKUP(T_ApifImport[[#This Row],[Bilans]:[Bilans]]&amp;T_ApifImport[[#Headers],[Kolona2]],T_ApifKolone[],4,0),0))</f>
        <v>0</v>
      </c>
      <c r="G3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1" s="22" t="n">
        <v>393</v>
      </c>
      <c r="P391" s="54" t="s">
        <v>22</v>
      </c>
    </row>
    <row r="392" spans="2:16">
      <c r="B392" s="52">
        <f>VLOOKUP(T_ApifImport[[#This Row],[Bilans]],T_Bilansi[],4,0)</f>
        <v>28</v>
      </c>
      <c r="C392" s="173">
        <f>VLOOKUP(T_ApifImport[[#This Row],[ld]],T_Aop[],4,0)</f>
        <v>643</v>
      </c>
      <c r="D39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2" s="25" t="e">
        <v>#VALUE!</v>
      </c>
      <c r="F392" s="25">
        <f aca="1">IF(ISNA(VLOOKUP(T_ApifImport[[#This Row],[Bilans]:[Bilans]]&amp;T_ApifImport[[#Headers],[Kolona2]],T_ApifKolone[],4,0)),"",VLOOKUP(T_ApifImport[[#This Row],[AOP]:[AOP]],INDIRECT("Lookup_"&amp;T_ApifImport[[#This Row],[Bilans]:[Bilans]]),VLOOKUP(T_ApifImport[[#This Row],[Bilans]:[Bilans]]&amp;T_ApifImport[[#Headers],[Kolona2]],T_ApifKolone[],4,0),0))</f>
        <v>0</v>
      </c>
      <c r="G3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2" s="22" t="n">
        <v>394</v>
      </c>
      <c r="P392" s="54" t="s">
        <v>22</v>
      </c>
    </row>
    <row r="393" spans="2:16">
      <c r="B393" s="52">
        <f>VLOOKUP(T_ApifImport[[#This Row],[Bilans]],T_Bilansi[],4,0)</f>
        <v>28</v>
      </c>
      <c r="C393" s="173">
        <f>VLOOKUP(T_ApifImport[[#This Row],[ld]],T_Aop[],4,0)</f>
        <v>644</v>
      </c>
      <c r="D39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3" s="25" t="e">
        <v>#VALUE!</v>
      </c>
      <c r="F393" s="573">
        <f aca="1">IF(ISNA(VLOOKUP(T_ApifImport[[#This Row],[Bilans]:[Bilans]]&amp;T_ApifImport[[#Headers],[Kolona2]],T_ApifKolone[],4,0)),"",VLOOKUP(T_ApifImport[[#This Row],[AOP]:[AOP]],INDIRECT("Lookup_"&amp;T_ApifImport[[#This Row],[Bilans]:[Bilans]]),VLOOKUP(T_ApifImport[[#This Row],[Bilans]:[Bilans]]&amp;T_ApifImport[[#Headers],[Kolona2]],T_ApifKolone[],4,0),0))</f>
        <v>76</v>
      </c>
      <c r="G3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3" s="22" t="n">
        <v>395</v>
      </c>
      <c r="P393" s="54" t="s">
        <v>22</v>
      </c>
    </row>
    <row r="394" spans="2:16">
      <c r="B394" s="52">
        <f>VLOOKUP(T_ApifImport[[#This Row],[Bilans]],T_Bilansi[],4,0)</f>
        <v>28</v>
      </c>
      <c r="C394" s="173">
        <f>VLOOKUP(T_ApifImport[[#This Row],[ld]],T_Aop[],4,0)</f>
        <v>645</v>
      </c>
      <c r="D39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4" s="25" t="e">
        <v>#VALUE!</v>
      </c>
      <c r="F394" s="25">
        <f aca="1">IF(ISNA(VLOOKUP(T_ApifImport[[#This Row],[Bilans]:[Bilans]]&amp;T_ApifImport[[#Headers],[Kolona2]],T_ApifKolone[],4,0)),"",VLOOKUP(T_ApifImport[[#This Row],[AOP]:[AOP]],INDIRECT("Lookup_"&amp;T_ApifImport[[#This Row],[Bilans]:[Bilans]]),VLOOKUP(T_ApifImport[[#This Row],[Bilans]:[Bilans]]&amp;T_ApifImport[[#Headers],[Kolona2]],T_ApifKolone[],4,0),0))</f>
        <v>0</v>
      </c>
      <c r="G3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4" s="22" t="n">
        <v>396</v>
      </c>
      <c r="P394" s="54" t="s">
        <v>22</v>
      </c>
    </row>
    <row r="395" spans="2:16">
      <c r="B395" s="52">
        <f>VLOOKUP(T_ApifImport[[#This Row],[Bilans]],T_Bilansi[],4,0)</f>
        <v>28</v>
      </c>
      <c r="C395" s="173">
        <f>VLOOKUP(T_ApifImport[[#This Row],[ld]],T_Aop[],4,0)</f>
        <v>646</v>
      </c>
      <c r="D39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5" s="25" t="e">
        <v>#VALUE!</v>
      </c>
      <c r="F395" s="573">
        <f aca="1">IF(ISNA(VLOOKUP(T_ApifImport[[#This Row],[Bilans]:[Bilans]]&amp;T_ApifImport[[#Headers],[Kolona2]],T_ApifKolone[],4,0)),"",VLOOKUP(T_ApifImport[[#This Row],[AOP]:[AOP]],INDIRECT("Lookup_"&amp;T_ApifImport[[#This Row],[Bilans]:[Bilans]]),VLOOKUP(T_ApifImport[[#This Row],[Bilans]:[Bilans]]&amp;T_ApifImport[[#Headers],[Kolona2]],T_ApifKolone[],4,0),0))</f>
        <v>23780</v>
      </c>
      <c r="G3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5" s="22" t="n">
        <v>397</v>
      </c>
      <c r="P395" s="54" t="s">
        <v>22</v>
      </c>
    </row>
    <row r="396" spans="2:16">
      <c r="B396" s="52">
        <f>VLOOKUP(T_ApifImport[[#This Row],[Bilans]],T_Bilansi[],4,0)</f>
        <v>28</v>
      </c>
      <c r="C396" s="173">
        <f>VLOOKUP(T_ApifImport[[#This Row],[ld]],T_Aop[],4,0)</f>
        <v>647</v>
      </c>
      <c r="D39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6" s="25" t="e">
        <v>#VALUE!</v>
      </c>
      <c r="F396" s="573">
        <f aca="1">IF(ISNA(VLOOKUP(T_ApifImport[[#This Row],[Bilans]:[Bilans]]&amp;T_ApifImport[[#Headers],[Kolona2]],T_ApifKolone[],4,0)),"",VLOOKUP(T_ApifImport[[#This Row],[AOP]:[AOP]],INDIRECT("Lookup_"&amp;T_ApifImport[[#This Row],[Bilans]:[Bilans]]),VLOOKUP(T_ApifImport[[#This Row],[Bilans]:[Bilans]]&amp;T_ApifImport[[#Headers],[Kolona2]],T_ApifKolone[],4,0),0))</f>
        <v>5952</v>
      </c>
      <c r="G3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6" s="22" t="n">
        <v>398</v>
      </c>
      <c r="P396" s="54" t="s">
        <v>22</v>
      </c>
    </row>
    <row r="397" spans="2:16">
      <c r="B397" s="52">
        <f>VLOOKUP(T_ApifImport[[#This Row],[Bilans]],T_Bilansi[],4,0)</f>
        <v>28</v>
      </c>
      <c r="C397" s="173">
        <f>VLOOKUP(T_ApifImport[[#This Row],[ld]],T_Aop[],4,0)</f>
        <v>648</v>
      </c>
      <c r="D39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7" s="25" t="e">
        <v>#VALUE!</v>
      </c>
      <c r="F397" s="25">
        <f aca="1">IF(ISNA(VLOOKUP(T_ApifImport[[#This Row],[Bilans]:[Bilans]]&amp;T_ApifImport[[#Headers],[Kolona2]],T_ApifKolone[],4,0)),"",VLOOKUP(T_ApifImport[[#This Row],[AOP]:[AOP]],INDIRECT("Lookup_"&amp;T_ApifImport[[#This Row],[Bilans]:[Bilans]]),VLOOKUP(T_ApifImport[[#This Row],[Bilans]:[Bilans]]&amp;T_ApifImport[[#Headers],[Kolona2]],T_ApifKolone[],4,0),0))</f>
        <v>0</v>
      </c>
      <c r="G3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7" s="22" t="n">
        <v>399</v>
      </c>
      <c r="P397" s="54" t="s">
        <v>22</v>
      </c>
    </row>
    <row r="398" spans="2:16">
      <c r="B398" s="52">
        <f>VLOOKUP(T_ApifImport[[#This Row],[Bilans]],T_Bilansi[],4,0)</f>
        <v>28</v>
      </c>
      <c r="C398" s="173">
        <f>VLOOKUP(T_ApifImport[[#This Row],[ld]],T_Aop[],4,0)</f>
        <v>649</v>
      </c>
      <c r="D39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8" s="25" t="e">
        <v>#VALUE!</v>
      </c>
      <c r="F398" s="25">
        <f aca="1">IF(ISNA(VLOOKUP(T_ApifImport[[#This Row],[Bilans]:[Bilans]]&amp;T_ApifImport[[#Headers],[Kolona2]],T_ApifKolone[],4,0)),"",VLOOKUP(T_ApifImport[[#This Row],[AOP]:[AOP]],INDIRECT("Lookup_"&amp;T_ApifImport[[#This Row],[Bilans]:[Bilans]]),VLOOKUP(T_ApifImport[[#This Row],[Bilans]:[Bilans]]&amp;T_ApifImport[[#Headers],[Kolona2]],T_ApifKolone[],4,0),0))</f>
        <v>0</v>
      </c>
      <c r="G3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8" s="22" t="n">
        <v>400</v>
      </c>
      <c r="P398" s="54" t="s">
        <v>22</v>
      </c>
    </row>
    <row r="399" spans="2:16">
      <c r="B399" s="52">
        <f>VLOOKUP(T_ApifImport[[#This Row],[Bilans]],T_Bilansi[],4,0)</f>
        <v>28</v>
      </c>
      <c r="C399" s="173">
        <f>VLOOKUP(T_ApifImport[[#This Row],[ld]],T_Aop[],4,0)</f>
        <v>650</v>
      </c>
      <c r="D39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9" s="25" t="e">
        <v>#VALUE!</v>
      </c>
      <c r="F399" s="573">
        <f aca="1">IF(ISNA(VLOOKUP(T_ApifImport[[#This Row],[Bilans]:[Bilans]]&amp;T_ApifImport[[#Headers],[Kolona2]],T_ApifKolone[],4,0)),"",VLOOKUP(T_ApifImport[[#This Row],[AOP]:[AOP]],INDIRECT("Lookup_"&amp;T_ApifImport[[#This Row],[Bilans]:[Bilans]]),VLOOKUP(T_ApifImport[[#This Row],[Bilans]:[Bilans]]&amp;T_ApifImport[[#Headers],[Kolona2]],T_ApifKolone[],4,0),0))</f>
        <v>274</v>
      </c>
      <c r="G3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9" s="22" t="n">
        <v>401</v>
      </c>
      <c r="P399" s="54" t="s">
        <v>22</v>
      </c>
    </row>
    <row r="400" spans="2:16">
      <c r="B400" s="52">
        <f>VLOOKUP(T_ApifImport[[#This Row],[Bilans]],T_Bilansi[],4,0)</f>
        <v>28</v>
      </c>
      <c r="C400" s="173">
        <f>VLOOKUP(T_ApifImport[[#This Row],[ld]],T_Aop[],4,0)</f>
        <v>651</v>
      </c>
      <c r="D40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0" s="25" t="e">
        <v>#VALUE!</v>
      </c>
      <c r="F400" s="573">
        <f aca="1">IF(ISNA(VLOOKUP(T_ApifImport[[#This Row],[Bilans]:[Bilans]]&amp;T_ApifImport[[#Headers],[Kolona2]],T_ApifKolone[],4,0)),"",VLOOKUP(T_ApifImport[[#This Row],[AOP]:[AOP]],INDIRECT("Lookup_"&amp;T_ApifImport[[#This Row],[Bilans]:[Bilans]]),VLOOKUP(T_ApifImport[[#This Row],[Bilans]:[Bilans]]&amp;T_ApifImport[[#Headers],[Kolona2]],T_ApifKolone[],4,0),0))</f>
        <v>291</v>
      </c>
      <c r="G4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0" s="22" t="n">
        <v>402</v>
      </c>
      <c r="P400" s="54" t="s">
        <v>22</v>
      </c>
    </row>
    <row r="401" spans="2:16">
      <c r="B401" s="52">
        <f>VLOOKUP(T_ApifImport[[#This Row],[Bilans]],T_Bilansi[],4,0)</f>
        <v>28</v>
      </c>
      <c r="C401" s="173">
        <f>VLOOKUP(T_ApifImport[[#This Row],[ld]],T_Aop[],4,0)</f>
        <v>652</v>
      </c>
      <c r="D40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441</v>
      </c>
      <c r="F401" s="573">
        <f aca="1">IF(ISNA(VLOOKUP(T_ApifImport[[#This Row],[Bilans]:[Bilans]]&amp;T_ApifImport[[#Headers],[Kolona2]],T_ApifKolone[],4,0)),"",VLOOKUP(T_ApifImport[[#This Row],[AOP]:[AOP]],INDIRECT("Lookup_"&amp;T_ApifImport[[#This Row],[Bilans]:[Bilans]]),VLOOKUP(T_ApifImport[[#This Row],[Bilans]:[Bilans]]&amp;T_ApifImport[[#Headers],[Kolona2]],T_ApifKolone[],4,0),0))</f>
        <v>743</v>
      </c>
      <c r="G4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1" s="22" t="n">
        <v>403</v>
      </c>
      <c r="P401" s="54" t="s">
        <v>22</v>
      </c>
    </row>
    <row r="402" spans="2:16">
      <c r="B402" s="52">
        <f>VLOOKUP(T_ApifImport[[#This Row],[Bilans]],T_Bilansi[],4,0)</f>
        <v>28</v>
      </c>
      <c r="C402" s="173">
        <f>VLOOKUP(T_ApifImport[[#This Row],[ld]],T_Aop[],4,0)</f>
        <v>653</v>
      </c>
      <c r="D40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577</v>
      </c>
      <c r="F402" s="573">
        <f aca="1">IF(ISNA(VLOOKUP(T_ApifImport[[#This Row],[Bilans]:[Bilans]]&amp;T_ApifImport[[#Headers],[Kolona2]],T_ApifKolone[],4,0)),"",VLOOKUP(T_ApifImport[[#This Row],[AOP]:[AOP]],INDIRECT("Lookup_"&amp;T_ApifImport[[#This Row],[Bilans]:[Bilans]]),VLOOKUP(T_ApifImport[[#This Row],[Bilans]:[Bilans]]&amp;T_ApifImport[[#Headers],[Kolona2]],T_ApifKolone[],4,0),0))</f>
        <v>593</v>
      </c>
      <c r="G4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2" s="22" t="n">
        <v>404</v>
      </c>
      <c r="P402" s="54" t="s">
        <v>22</v>
      </c>
    </row>
    <row r="403" spans="2:16">
      <c r="B403" s="52">
        <f>VLOOKUP(T_ApifImport[[#This Row],[Bilans]],T_Bilansi[],4,0)</f>
        <v>28</v>
      </c>
      <c r="C403" s="173">
        <f>VLOOKUP(T_ApifImport[[#This Row],[ld]],T_Aop[],4,0)</f>
        <v>654</v>
      </c>
      <c r="D40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3" s="25">
        <f aca="1">IF(ISNA(VLOOKUP(T_ApifImport[[#This Row],[Bilans]:[Bilans]]&amp;T_ApifImport[[#Headers],[Kolona2]],T_ApifKolone[],4,0)),"",VLOOKUP(T_ApifImport[[#This Row],[AOP]:[AOP]],INDIRECT("Lookup_"&amp;T_ApifImport[[#This Row],[Bilans]:[Bilans]]),VLOOKUP(T_ApifImport[[#This Row],[Bilans]:[Bilans]]&amp;T_ApifImport[[#Headers],[Kolona2]],T_ApifKolone[],4,0),0))</f>
        <v>0</v>
      </c>
      <c r="G4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3" s="22" t="n">
        <v>405</v>
      </c>
      <c r="P403" s="54" t="s">
        <v>22</v>
      </c>
    </row>
    <row r="404" spans="2:16">
      <c r="B404" s="52">
        <f>VLOOKUP(T_ApifImport[[#This Row],[Bilans]],T_Bilansi[],4,0)</f>
        <v>28</v>
      </c>
      <c r="C404" s="173">
        <f>VLOOKUP(T_ApifImport[[#This Row],[ld]],T_Aop[],4,0)</f>
        <v>655</v>
      </c>
      <c r="D40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13172</v>
      </c>
      <c r="F404" s="573">
        <f aca="1">IF(ISNA(VLOOKUP(T_ApifImport[[#This Row],[Bilans]:[Bilans]]&amp;T_ApifImport[[#Headers],[Kolona2]],T_ApifKolone[],4,0)),"",VLOOKUP(T_ApifImport[[#This Row],[AOP]:[AOP]],INDIRECT("Lookup_"&amp;T_ApifImport[[#This Row],[Bilans]:[Bilans]]),VLOOKUP(T_ApifImport[[#This Row],[Bilans]:[Bilans]]&amp;T_ApifImport[[#Headers],[Kolona2]],T_ApifKolone[],4,0),0))</f>
        <v>15567</v>
      </c>
      <c r="G4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4" s="22" t="n">
        <v>406</v>
      </c>
      <c r="P404" s="54" t="s">
        <v>22</v>
      </c>
    </row>
    <row r="405" spans="2:16">
      <c r="B405" s="52">
        <f>VLOOKUP(T_ApifImport[[#This Row],[Bilans]],T_Bilansi[],4,0)</f>
        <v>28</v>
      </c>
      <c r="C405" s="173">
        <f>VLOOKUP(T_ApifImport[[#This Row],[ld]],T_Aop[],4,0)</f>
        <v>656</v>
      </c>
      <c r="D40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578</v>
      </c>
      <c r="F405" s="573">
        <f aca="1">IF(ISNA(VLOOKUP(T_ApifImport[[#This Row],[Bilans]:[Bilans]]&amp;T_ApifImport[[#Headers],[Kolona2]],T_ApifKolone[],4,0)),"",VLOOKUP(T_ApifImport[[#This Row],[AOP]:[AOP]],INDIRECT("Lookup_"&amp;T_ApifImport[[#This Row],[Bilans]:[Bilans]]),VLOOKUP(T_ApifImport[[#This Row],[Bilans]:[Bilans]]&amp;T_ApifImport[[#Headers],[Kolona2]],T_ApifKolone[],4,0),0))</f>
        <v>360</v>
      </c>
      <c r="G4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5" s="22" t="n">
        <v>407</v>
      </c>
      <c r="P405" s="54" t="s">
        <v>22</v>
      </c>
    </row>
    <row r="406" spans="2:16">
      <c r="B406" s="52">
        <f>VLOOKUP(T_ApifImport[[#This Row],[Bilans]],T_Bilansi[],4,0)</f>
        <v>28</v>
      </c>
      <c r="C406" s="173">
        <f>VLOOKUP(T_ApifImport[[#This Row],[ld]],T_Aop[],4,0)</f>
        <v>657</v>
      </c>
      <c r="D40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6" s="25">
        <f aca="1">IF(ISNA(VLOOKUP(T_ApifImport[[#This Row],[Bilans]:[Bilans]]&amp;T_ApifImport[[#Headers],[Kolona2]],T_ApifKolone[],4,0)),"",VLOOKUP(T_ApifImport[[#This Row],[AOP]:[AOP]],INDIRECT("Lookup_"&amp;T_ApifImport[[#This Row],[Bilans]:[Bilans]]),VLOOKUP(T_ApifImport[[#This Row],[Bilans]:[Bilans]]&amp;T_ApifImport[[#Headers],[Kolona2]],T_ApifKolone[],4,0),0))</f>
        <v>0</v>
      </c>
      <c r="G4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6" s="22" t="n">
        <v>408</v>
      </c>
      <c r="P406" s="54" t="s">
        <v>22</v>
      </c>
    </row>
    <row r="407" spans="2:16">
      <c r="B407" s="52">
        <f>VLOOKUP(T_ApifImport[[#This Row],[Bilans]],T_Bilansi[],4,0)</f>
        <v>28</v>
      </c>
      <c r="C407" s="173">
        <f>VLOOKUP(T_ApifImport[[#This Row],[ld]],T_Aop[],4,0)</f>
        <v>658</v>
      </c>
      <c r="D40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58174</v>
      </c>
      <c r="F407" s="573">
        <f aca="1">IF(ISNA(VLOOKUP(T_ApifImport[[#This Row],[Bilans]:[Bilans]]&amp;T_ApifImport[[#Headers],[Kolona2]],T_ApifKolone[],4,0)),"",VLOOKUP(T_ApifImport[[#This Row],[AOP]:[AOP]],INDIRECT("Lookup_"&amp;T_ApifImport[[#This Row],[Bilans]:[Bilans]]),VLOOKUP(T_ApifImport[[#This Row],[Bilans]:[Bilans]]&amp;T_ApifImport[[#Headers],[Kolona2]],T_ApifKolone[],4,0),0))</f>
        <v>48848</v>
      </c>
      <c r="G4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7" s="22" t="n">
        <v>409</v>
      </c>
      <c r="P407" s="54" t="s">
        <v>22</v>
      </c>
    </row>
    <row r="408" spans="2:16">
      <c r="B408" s="52">
        <f>VLOOKUP(T_ApifImport[[#This Row],[Bilans]],T_Bilansi[],4,0)</f>
        <v>28</v>
      </c>
      <c r="C408" s="173">
        <f>VLOOKUP(T_ApifImport[[#This Row],[ld]],T_Aop[],4,0)</f>
        <v>659</v>
      </c>
      <c r="D40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41493</v>
      </c>
      <c r="F408" s="573">
        <f aca="1">IF(ISNA(VLOOKUP(T_ApifImport[[#This Row],[Bilans]:[Bilans]]&amp;T_ApifImport[[#Headers],[Kolona2]],T_ApifKolone[],4,0)),"",VLOOKUP(T_ApifImport[[#This Row],[AOP]:[AOP]],INDIRECT("Lookup_"&amp;T_ApifImport[[#This Row],[Bilans]:[Bilans]]),VLOOKUP(T_ApifImport[[#This Row],[Bilans]:[Bilans]]&amp;T_ApifImport[[#Headers],[Kolona2]],T_ApifKolone[],4,0),0))</f>
        <v>62663</v>
      </c>
      <c r="G4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8" s="22" t="n">
        <v>410</v>
      </c>
      <c r="P408" s="54" t="s">
        <v>22</v>
      </c>
    </row>
    <row r="409" spans="2:16">
      <c r="B409" s="52">
        <f>VLOOKUP(T_ApifImport[[#This Row],[Bilans]],T_Bilansi[],4,0)</f>
        <v>28</v>
      </c>
      <c r="C409" s="173">
        <f>VLOOKUP(T_ApifImport[[#This Row],[ld]],T_Aop[],4,0)</f>
        <v>660</v>
      </c>
      <c r="D40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9" s="25">
        <f aca="1">IF(ISNA(VLOOKUP(T_ApifImport[[#This Row],[Bilans]:[Bilans]]&amp;T_ApifImport[[#Headers],[Kolona2]],T_ApifKolone[],4,0)),"",VLOOKUP(T_ApifImport[[#This Row],[AOP]:[AOP]],INDIRECT("Lookup_"&amp;T_ApifImport[[#This Row],[Bilans]:[Bilans]]),VLOOKUP(T_ApifImport[[#This Row],[Bilans]:[Bilans]]&amp;T_ApifImport[[#Headers],[Kolona2]],T_ApifKolone[],4,0),0))</f>
        <v>0</v>
      </c>
      <c r="G4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9" s="22" t="n">
        <v>411</v>
      </c>
      <c r="P409" s="54" t="s">
        <v>22</v>
      </c>
    </row>
    <row r="410" spans="2:16">
      <c r="B410" s="52">
        <f>VLOOKUP(T_ApifImport[[#This Row],[Bilans]],T_Bilansi[],4,0)</f>
        <v>28</v>
      </c>
      <c r="C410" s="173">
        <f>VLOOKUP(T_ApifImport[[#This Row],[ld]],T_Aop[],4,0)</f>
        <v>661</v>
      </c>
      <c r="D4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4309</v>
      </c>
      <c r="F410" s="573">
        <f aca="1">IF(ISNA(VLOOKUP(T_ApifImport[[#This Row],[Bilans]:[Bilans]]&amp;T_ApifImport[[#Headers],[Kolona2]],T_ApifKolone[],4,0)),"",VLOOKUP(T_ApifImport[[#This Row],[AOP]:[AOP]],INDIRECT("Lookup_"&amp;T_ApifImport[[#This Row],[Bilans]:[Bilans]]),VLOOKUP(T_ApifImport[[#This Row],[Bilans]:[Bilans]]&amp;T_ApifImport[[#Headers],[Kolona2]],T_ApifKolone[],4,0),0))</f>
        <v>22514</v>
      </c>
      <c r="G4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0" s="22" t="n">
        <v>412</v>
      </c>
      <c r="P410" s="54" t="s">
        <v>22</v>
      </c>
    </row>
    <row r="411" spans="2:16">
      <c r="B411" s="52">
        <f>VLOOKUP(T_ApifImport[[#This Row],[Bilans]],T_Bilansi[],4,0)</f>
        <v>28</v>
      </c>
      <c r="C411" s="173">
        <f>VLOOKUP(T_ApifImport[[#This Row],[ld]],T_Aop[],4,0)</f>
        <v>662</v>
      </c>
      <c r="D4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1" s="25">
        <f aca="1">IF(ISNA(VLOOKUP(T_ApifImport[[#This Row],[Bilans]:[Bilans]]&amp;T_ApifImport[[#Headers],[Kolona2]],T_ApifKolone[],4,0)),"",VLOOKUP(T_ApifImport[[#This Row],[AOP]:[AOP]],INDIRECT("Lookup_"&amp;T_ApifImport[[#This Row],[Bilans]:[Bilans]]),VLOOKUP(T_ApifImport[[#This Row],[Bilans]:[Bilans]]&amp;T_ApifImport[[#Headers],[Kolona2]],T_ApifKolone[],4,0),0))</f>
        <v>0</v>
      </c>
      <c r="G4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1" s="22" t="n">
        <v>413</v>
      </c>
      <c r="P411" s="54" t="s">
        <v>22</v>
      </c>
    </row>
    <row r="412" spans="2:16">
      <c r="B412" s="52">
        <f>VLOOKUP(T_ApifImport[[#This Row],[Bilans]],T_Bilansi[],4,0)</f>
        <v>28</v>
      </c>
      <c r="C412" s="173">
        <f>VLOOKUP(T_ApifImport[[#This Row],[ld]],T_Aop[],4,0)</f>
        <v>663</v>
      </c>
      <c r="D4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2" s="25">
        <f aca="1">IF(ISNA(VLOOKUP(T_ApifImport[[#This Row],[Bilans]:[Bilans]]&amp;T_ApifImport[[#Headers],[Kolona2]],T_ApifKolone[],4,0)),"",VLOOKUP(T_ApifImport[[#This Row],[AOP]:[AOP]],INDIRECT("Lookup_"&amp;T_ApifImport[[#This Row],[Bilans]:[Bilans]]),VLOOKUP(T_ApifImport[[#This Row],[Bilans]:[Bilans]]&amp;T_ApifImport[[#Headers],[Kolona2]],T_ApifKolone[],4,0),0))</f>
        <v>0</v>
      </c>
      <c r="G4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2" s="22" t="n">
        <v>414</v>
      </c>
      <c r="P412" s="54" t="s">
        <v>22</v>
      </c>
    </row>
    <row r="413" spans="2:16">
      <c r="B413" s="52">
        <f>VLOOKUP(T_ApifImport[[#This Row],[Bilans]],T_Bilansi[],4,0)</f>
        <v>28</v>
      </c>
      <c r="C413" s="173">
        <f>VLOOKUP(T_ApifImport[[#This Row],[ld]],T_Aop[],4,0)</f>
        <v>664</v>
      </c>
      <c r="D4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3" s="25">
        <f aca="1">IF(ISNA(VLOOKUP(T_ApifImport[[#This Row],[Bilans]:[Bilans]]&amp;T_ApifImport[[#Headers],[Kolona2]],T_ApifKolone[],4,0)),"",VLOOKUP(T_ApifImport[[#This Row],[AOP]:[AOP]],INDIRECT("Lookup_"&amp;T_ApifImport[[#This Row],[Bilans]:[Bilans]]),VLOOKUP(T_ApifImport[[#This Row],[Bilans]:[Bilans]]&amp;T_ApifImport[[#Headers],[Kolona2]],T_ApifKolone[],4,0),0))</f>
        <v>0</v>
      </c>
      <c r="G4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3" s="22" t="n">
        <v>415</v>
      </c>
      <c r="P413" s="54" t="s">
        <v>22</v>
      </c>
    </row>
    <row r="414" spans="2:16">
      <c r="B414" s="52">
        <f>VLOOKUP(T_ApifImport[[#This Row],[Bilans]],T_Bilansi[],4,0)</f>
        <v>28</v>
      </c>
      <c r="C414" s="173">
        <f>VLOOKUP(T_ApifImport[[#This Row],[ld]],T_Aop[],4,0)</f>
        <v>665</v>
      </c>
      <c r="D4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4" s="25">
        <f aca="1">IF(ISNA(VLOOKUP(T_ApifImport[[#This Row],[Bilans]:[Bilans]]&amp;T_ApifImport[[#Headers],[Kolona2]],T_ApifKolone[],4,0)),"",VLOOKUP(T_ApifImport[[#This Row],[AOP]:[AOP]],INDIRECT("Lookup_"&amp;T_ApifImport[[#This Row],[Bilans]:[Bilans]]),VLOOKUP(T_ApifImport[[#This Row],[Bilans]:[Bilans]]&amp;T_ApifImport[[#Headers],[Kolona2]],T_ApifKolone[],4,0),0))</f>
        <v>0</v>
      </c>
      <c r="G4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4" s="22" t="n">
        <v>416</v>
      </c>
      <c r="P414" s="54" t="s">
        <v>22</v>
      </c>
    </row>
    <row r="415" spans="2:16">
      <c r="B415" s="52">
        <f>VLOOKUP(T_ApifImport[[#This Row],[Bilans]],T_Bilansi[],4,0)</f>
        <v>28</v>
      </c>
      <c r="C415" s="173">
        <f>VLOOKUP(T_ApifImport[[#This Row],[ld]],T_Aop[],4,0)</f>
        <v>666</v>
      </c>
      <c r="D4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5" s="25">
        <f aca="1">IF(ISNA(VLOOKUP(T_ApifImport[[#This Row],[Bilans]:[Bilans]]&amp;T_ApifImport[[#Headers],[Kolona2]],T_ApifKolone[],4,0)),"",VLOOKUP(T_ApifImport[[#This Row],[AOP]:[AOP]],INDIRECT("Lookup_"&amp;T_ApifImport[[#This Row],[Bilans]:[Bilans]]),VLOOKUP(T_ApifImport[[#This Row],[Bilans]:[Bilans]]&amp;T_ApifImport[[#Headers],[Kolona2]],T_ApifKolone[],4,0),0))</f>
        <v>0</v>
      </c>
      <c r="G4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5" s="22" t="n">
        <v>417</v>
      </c>
      <c r="P415" s="54" t="s">
        <v>22</v>
      </c>
    </row>
    <row r="416" spans="2:16">
      <c r="B416" s="372">
        <f>VLOOKUP(T_ApifImport[[#This Row],[Bilans]],T_Bilansi[],4,0)</f>
        <v>28</v>
      </c>
      <c r="C416" s="198">
        <f>VLOOKUP(T_ApifImport[[#This Row],[ld]],T_Aop[],4,0)</f>
        <v>667</v>
      </c>
      <c r="D416" s="198"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6" s="199"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11700</v>
      </c>
      <c r="F416" s="574">
        <f aca="1">IF(ISNA(VLOOKUP(T_ApifImport[[#This Row],[Bilans]:[Bilans]]&amp;T_ApifImport[[#Headers],[Kolona2]],T_ApifKolone[],4,0)),"",VLOOKUP(T_ApifImport[[#This Row],[AOP]:[AOP]],INDIRECT("Lookup_"&amp;T_ApifImport[[#This Row],[Bilans]:[Bilans]]),VLOOKUP(T_ApifImport[[#This Row],[Bilans]:[Bilans]]&amp;T_ApifImport[[#Headers],[Kolona2]],T_ApifKolone[],4,0),0))</f>
        <v>11744</v>
      </c>
      <c r="G416" s="199" t="str">
        <f aca="1">IF(ISNA(VLOOKUP(T_ApifImport[[#This Row],[Bilans]:[Bilans]]&amp;T_ApifImport[[#Headers],[Kolona3]],T_ApifKolone[],4,0)),"",VLOOKUP(T_ApifImport[[#This Row],[AOP]:[AOP]],INDIRECT("Lookup_"&amp;T_ApifImport[[#This Row],[Bilans]:[Bilans]]),VLOOKUP(T_ApifImport[[#This Row],[Bilans]:[Bilans]]&amp;T_ApifImport[[#Headers],[Kolona3]],T_ApifKolone[],4,0),0))</f>
        <v/>
      </c>
      <c r="H416" s="199" t="str">
        <f aca="1">IF(ISNA(VLOOKUP(T_ApifImport[[#This Row],[Bilans]:[Bilans]]&amp;T_ApifImport[[#Headers],[Kolona4]],T_ApifKolone[],4,0)),"",VLOOKUP(T_ApifImport[[#This Row],[AOP]:[AOP]],INDIRECT("Lookup_"&amp;T_ApifImport[[#This Row],[Bilans]:[Bilans]]),VLOOKUP(T_ApifImport[[#This Row],[Bilans]:[Bilans]]&amp;T_ApifImport[[#Headers],[Kolona4]],T_ApifKolone[],4,0),0))</f>
        <v/>
      </c>
      <c r="I416" s="199" t="str">
        <f aca="1">IF(ISNA(VLOOKUP(T_ApifImport[[#This Row],[Bilans]:[Bilans]]&amp;T_ApifImport[[#Headers],[Kolona5]],T_ApifKolone[],4,0)),"",VLOOKUP(T_ApifImport[[#This Row],[AOP]:[AOP]],INDIRECT("Lookup_"&amp;T_ApifImport[[#This Row],[Bilans]:[Bilans]]),VLOOKUP(T_ApifImport[[#This Row],[Bilans]:[Bilans]]&amp;T_ApifImport[[#Headers],[Kolona5]],T_ApifKolone[],4,0),0))</f>
        <v/>
      </c>
      <c r="J416" s="199"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6" s="199"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6" s="199"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6" s="199"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6" s="199"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6" s="22" t="n">
        <v>418</v>
      </c>
      <c r="P416" s="54" t="s">
        <v>22</v>
      </c>
    </row>
    <row r="417" spans="2:16">
      <c r="B417" s="52">
        <f>VLOOKUP(T_ApifImport[[#This Row],[Bilans]],T_Bilansi[],4,0)</f>
        <v>30</v>
      </c>
      <c r="C417" s="173">
        <f>VLOOKUP(T_ApifImport[[#This Row],[ld]],T_Aop[],4,0)</f>
        <v>901</v>
      </c>
      <c r="D4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17" s="25">
        <f aca="1">IF(ISNA(VLOOKUP(T_ApifImport[[#This Row],[Bilans]:[Bilans]]&amp;T_ApifImport[[#Headers],[Kolona2]],T_ApifKolone[],4,0)),"",VLOOKUP(T_ApifImport[[#This Row],[AOP]:[AOP]],INDIRECT("Lookup_"&amp;T_ApifImport[[#This Row],[Bilans]:[Bilans]]),VLOOKUP(T_ApifImport[[#This Row],[Bilans]:[Bilans]]&amp;T_ApifImport[[#Headers],[Kolona2]],T_ApifKolone[],4,0),0))</f>
        <v>0</v>
      </c>
      <c r="G417" s="25">
        <f aca="1">IF(ISNA(VLOOKUP(T_ApifImport[[#This Row],[Bilans]:[Bilans]]&amp;T_ApifImport[[#Headers],[Kolona3]],T_ApifKolone[],4,0)),"",VLOOKUP(T_ApifImport[[#This Row],[AOP]:[AOP]],INDIRECT("Lookup_"&amp;T_ApifImport[[#This Row],[Bilans]:[Bilans]]),VLOOKUP(T_ApifImport[[#This Row],[Bilans]:[Bilans]]&amp;T_ApifImport[[#Headers],[Kolona3]],T_ApifKolone[],4,0),0))</f>
        <v>0</v>
      </c>
      <c r="H417" s="573">
        <f aca="1">IF(ISNA(VLOOKUP(T_ApifImport[[#This Row],[Bilans]:[Bilans]]&amp;T_ApifImport[[#Headers],[Kolona4]],T_ApifKolone[],4,0)),"",VLOOKUP(T_ApifImport[[#This Row],[AOP]:[AOP]],INDIRECT("Lookup_"&amp;T_ApifImport[[#This Row],[Bilans]:[Bilans]]),VLOOKUP(T_ApifImport[[#This Row],[Bilans]:[Bilans]]&amp;T_ApifImport[[#Headers],[Kolona4]],T_ApifKolone[],4,0),0))</f>
        <v>262625</v>
      </c>
      <c r="I417" s="25">
        <f aca="1">IF(ISNA(VLOOKUP(T_ApifImport[[#This Row],[Bilans]:[Bilans]]&amp;T_ApifImport[[#Headers],[Kolona5]],T_ApifKolone[],4,0)),"",VLOOKUP(T_ApifImport[[#This Row],[AOP]:[AOP]],INDIRECT("Lookup_"&amp;T_ApifImport[[#This Row],[Bilans]:[Bilans]]),VLOOKUP(T_ApifImport[[#This Row],[Bilans]:[Bilans]]&amp;T_ApifImport[[#Headers],[Kolona5]],T_ApifKolone[],4,0),0))</f>
        <v>0</v>
      </c>
      <c r="J417" s="573">
        <f aca="1">IF(ISNA(VLOOKUP(T_ApifImport[[#This Row],[Bilans]:[Bilans]]&amp;T_ApifImport[[#Headers],[Kolona6]],T_ApifKolone[],4,0)),"",VLOOKUP(T_ApifImport[[#This Row],[AOP]:[AOP]],INDIRECT("Lookup_"&amp;T_ApifImport[[#This Row],[Bilans]:[Bilans]]),VLOOKUP(T_ApifImport[[#This Row],[Bilans]:[Bilans]]&amp;T_ApifImport[[#Headers],[Kolona6]],T_ApifKolone[],4,0),0))</f>
        <v>869</v>
      </c>
      <c r="K417" s="573">
        <f aca="1">IF(ISNA(VLOOKUP(T_ApifImport[[#This Row],[Bilans]:[Bilans]]&amp;T_ApifImport[[#Headers],[Kolona7]],T_ApifKolone[],4,0)),"",VLOOKUP(T_ApifImport[[#This Row],[AOP]:[AOP]],INDIRECT("Lookup_"&amp;T_ApifImport[[#This Row],[Bilans]:[Bilans]]),VLOOKUP(T_ApifImport[[#This Row],[Bilans]:[Bilans]]&amp;T_ApifImport[[#Headers],[Kolona7]],T_ApifKolone[],4,0),0))</f>
        <v>-5092009</v>
      </c>
      <c r="L417" s="573">
        <f aca="1">IF(ISNA(VLOOKUP(T_ApifImport[[#This Row],[Bilans]:[Bilans]]&amp;T_ApifImport[[#Headers],[Kolona8]],T_ApifKolone[],4,0)),"",VLOOKUP(T_ApifImport[[#This Row],[AOP]:[AOP]],INDIRECT("Lookup_"&amp;T_ApifImport[[#This Row],[Bilans]:[Bilans]]),VLOOKUP(T_ApifImport[[#This Row],[Bilans]:[Bilans]]&amp;T_ApifImport[[#Headers],[Kolona8]],T_ApifKolone[],4,0),0))</f>
        <v>1186662</v>
      </c>
      <c r="M417" s="25">
        <f aca="1">IF(ISNA(VLOOKUP(T_ApifImport[[#This Row],[Bilans]:[Bilans]]&amp;T_ApifImport[[#Headers],[Kolona9]],T_ApifKolone[],4,0)),"",VLOOKUP(T_ApifImport[[#This Row],[AOP]:[AOP]],INDIRECT("Lookup_"&amp;T_ApifImport[[#This Row],[Bilans]:[Bilans]]),VLOOKUP(T_ApifImport[[#This Row],[Bilans]:[Bilans]]&amp;T_ApifImport[[#Headers],[Kolona9]],T_ApifKolone[],4,0),0))</f>
        <v>0</v>
      </c>
      <c r="N417" s="573">
        <f aca="1">IF(ISNA(VLOOKUP(T_ApifImport[[#This Row],[Bilans]:[Bilans]]&amp;T_ApifImport[[#Headers],[Kolona10]],T_ApifKolone[],4,0)),"",VLOOKUP(T_ApifImport[[#This Row],[AOP]:[AOP]],INDIRECT("Lookup_"&amp;T_ApifImport[[#This Row],[Bilans]:[Bilans]]),VLOOKUP(T_ApifImport[[#This Row],[Bilans]:[Bilans]]&amp;T_ApifImport[[#Headers],[Kolona10]],T_ApifKolone[],4,0),0))</f>
        <v>1186662</v>
      </c>
      <c r="O417" s="22" t="n">
        <v>420</v>
      </c>
      <c r="P417" s="54" t="s">
        <v>333</v>
      </c>
    </row>
    <row r="418" spans="2:16">
      <c r="B418" s="52">
        <f>VLOOKUP(T_ApifImport[[#This Row],[Bilans]],T_Bilansi[],4,0)</f>
        <v>30</v>
      </c>
      <c r="C418" s="173">
        <f>VLOOKUP(T_ApifImport[[#This Row],[ld]],T_Aop[],4,0)</f>
        <v>902</v>
      </c>
      <c r="D4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8" s="25">
        <f aca="1">IF(ISNA(VLOOKUP(T_ApifImport[[#This Row],[Bilans]:[Bilans]]&amp;T_ApifImport[[#Headers],[Kolona2]],T_ApifKolone[],4,0)),"",VLOOKUP(T_ApifImport[[#This Row],[AOP]:[AOP]],INDIRECT("Lookup_"&amp;T_ApifImport[[#This Row],[Bilans]:[Bilans]]),VLOOKUP(T_ApifImport[[#This Row],[Bilans]:[Bilans]]&amp;T_ApifImport[[#Headers],[Kolona2]],T_ApifKolone[],4,0),0))</f>
        <v>0</v>
      </c>
      <c r="G418" s="25">
        <f aca="1">IF(ISNA(VLOOKUP(T_ApifImport[[#This Row],[Bilans]:[Bilans]]&amp;T_ApifImport[[#Headers],[Kolona3]],T_ApifKolone[],4,0)),"",VLOOKUP(T_ApifImport[[#This Row],[AOP]:[AOP]],INDIRECT("Lookup_"&amp;T_ApifImport[[#This Row],[Bilans]:[Bilans]]),VLOOKUP(T_ApifImport[[#This Row],[Bilans]:[Bilans]]&amp;T_ApifImport[[#Headers],[Kolona3]],T_ApifKolone[],4,0),0))</f>
        <v>0</v>
      </c>
      <c r="H418" s="25">
        <f aca="1">IF(ISNA(VLOOKUP(T_ApifImport[[#This Row],[Bilans]:[Bilans]]&amp;T_ApifImport[[#Headers],[Kolona4]],T_ApifKolone[],4,0)),"",VLOOKUP(T_ApifImport[[#This Row],[AOP]:[AOP]],INDIRECT("Lookup_"&amp;T_ApifImport[[#This Row],[Bilans]:[Bilans]]),VLOOKUP(T_ApifImport[[#This Row],[Bilans]:[Bilans]]&amp;T_ApifImport[[#Headers],[Kolona4]],T_ApifKolone[],4,0),0))</f>
        <v>0</v>
      </c>
      <c r="I418" s="25">
        <f aca="1">IF(ISNA(VLOOKUP(T_ApifImport[[#This Row],[Bilans]:[Bilans]]&amp;T_ApifImport[[#Headers],[Kolona5]],T_ApifKolone[],4,0)),"",VLOOKUP(T_ApifImport[[#This Row],[AOP]:[AOP]],INDIRECT("Lookup_"&amp;T_ApifImport[[#This Row],[Bilans]:[Bilans]]),VLOOKUP(T_ApifImport[[#This Row],[Bilans]:[Bilans]]&amp;T_ApifImport[[#Headers],[Kolona5]],T_ApifKolone[],4,0),0))</f>
        <v>0</v>
      </c>
      <c r="J418" s="25">
        <f aca="1">IF(ISNA(VLOOKUP(T_ApifImport[[#This Row],[Bilans]:[Bilans]]&amp;T_ApifImport[[#Headers],[Kolona6]],T_ApifKolone[],4,0)),"",VLOOKUP(T_ApifImport[[#This Row],[AOP]:[AOP]],INDIRECT("Lookup_"&amp;T_ApifImport[[#This Row],[Bilans]:[Bilans]]),VLOOKUP(T_ApifImport[[#This Row],[Bilans]:[Bilans]]&amp;T_ApifImport[[#Headers],[Kolona6]],T_ApifKolone[],4,0),0))</f>
        <v>0</v>
      </c>
      <c r="K418" s="25">
        <f aca="1">IF(ISNA(VLOOKUP(T_ApifImport[[#This Row],[Bilans]:[Bilans]]&amp;T_ApifImport[[#Headers],[Kolona7]],T_ApifKolone[],4,0)),"",VLOOKUP(T_ApifImport[[#This Row],[AOP]:[AOP]],INDIRECT("Lookup_"&amp;T_ApifImport[[#This Row],[Bilans]:[Bilans]]),VLOOKUP(T_ApifImport[[#This Row],[Bilans]:[Bilans]]&amp;T_ApifImport[[#Headers],[Kolona7]],T_ApifKolone[],4,0),0))</f>
        <v>0</v>
      </c>
      <c r="L418" s="573">
        <f aca="1">IF(ISNA(VLOOKUP(T_ApifImport[[#This Row],[Bilans]:[Bilans]]&amp;T_ApifImport[[#Headers],[Kolona8]],T_ApifKolone[],4,0)),"",VLOOKUP(T_ApifImport[[#This Row],[AOP]:[AOP]],INDIRECT("Lookup_"&amp;T_ApifImport[[#This Row],[Bilans]:[Bilans]]),VLOOKUP(T_ApifImport[[#This Row],[Bilans]:[Bilans]]&amp;T_ApifImport[[#Headers],[Kolona8]],T_ApifKolone[],4,0),0))</f>
        <v>0</v>
      </c>
      <c r="M418" s="25">
        <f aca="1">IF(ISNA(VLOOKUP(T_ApifImport[[#This Row],[Bilans]:[Bilans]]&amp;T_ApifImport[[#Headers],[Kolona9]],T_ApifKolone[],4,0)),"",VLOOKUP(T_ApifImport[[#This Row],[AOP]:[AOP]],INDIRECT("Lookup_"&amp;T_ApifImport[[#This Row],[Bilans]:[Bilans]]),VLOOKUP(T_ApifImport[[#This Row],[Bilans]:[Bilans]]&amp;T_ApifImport[[#Headers],[Kolona9]],T_ApifKolone[],4,0),0))</f>
        <v>0</v>
      </c>
      <c r="N418"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18" s="22" t="n">
        <v>422</v>
      </c>
      <c r="P418" s="54" t="s">
        <v>333</v>
      </c>
    </row>
    <row r="419" spans="2:16">
      <c r="B419" s="52">
        <f>VLOOKUP(T_ApifImport[[#This Row],[Bilans]],T_Bilansi[],4,0)</f>
        <v>30</v>
      </c>
      <c r="C419" s="173">
        <f>VLOOKUP(T_ApifImport[[#This Row],[ld]],T_Aop[],4,0)</f>
        <v>903</v>
      </c>
      <c r="D4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9" s="25">
        <f aca="1">IF(ISNA(VLOOKUP(T_ApifImport[[#This Row],[Bilans]:[Bilans]]&amp;T_ApifImport[[#Headers],[Kolona2]],T_ApifKolone[],4,0)),"",VLOOKUP(T_ApifImport[[#This Row],[AOP]:[AOP]],INDIRECT("Lookup_"&amp;T_ApifImport[[#This Row],[Bilans]:[Bilans]]),VLOOKUP(T_ApifImport[[#This Row],[Bilans]:[Bilans]]&amp;T_ApifImport[[#Headers],[Kolona2]],T_ApifKolone[],4,0),0))</f>
        <v>0</v>
      </c>
      <c r="G419" s="25">
        <f aca="1">IF(ISNA(VLOOKUP(T_ApifImport[[#This Row],[Bilans]:[Bilans]]&amp;T_ApifImport[[#Headers],[Kolona3]],T_ApifKolone[],4,0)),"",VLOOKUP(T_ApifImport[[#This Row],[AOP]:[AOP]],INDIRECT("Lookup_"&amp;T_ApifImport[[#This Row],[Bilans]:[Bilans]]),VLOOKUP(T_ApifImport[[#This Row],[Bilans]:[Bilans]]&amp;T_ApifImport[[#Headers],[Kolona3]],T_ApifKolone[],4,0),0))</f>
        <v>0</v>
      </c>
      <c r="H419" s="25">
        <f aca="1">IF(ISNA(VLOOKUP(T_ApifImport[[#This Row],[Bilans]:[Bilans]]&amp;T_ApifImport[[#Headers],[Kolona4]],T_ApifKolone[],4,0)),"",VLOOKUP(T_ApifImport[[#This Row],[AOP]:[AOP]],INDIRECT("Lookup_"&amp;T_ApifImport[[#This Row],[Bilans]:[Bilans]]),VLOOKUP(T_ApifImport[[#This Row],[Bilans]:[Bilans]]&amp;T_ApifImport[[#Headers],[Kolona4]],T_ApifKolone[],4,0),0))</f>
        <v>0</v>
      </c>
      <c r="I419" s="25">
        <f aca="1">IF(ISNA(VLOOKUP(T_ApifImport[[#This Row],[Bilans]:[Bilans]]&amp;T_ApifImport[[#Headers],[Kolona5]],T_ApifKolone[],4,0)),"",VLOOKUP(T_ApifImport[[#This Row],[AOP]:[AOP]],INDIRECT("Lookup_"&amp;T_ApifImport[[#This Row],[Bilans]:[Bilans]]),VLOOKUP(T_ApifImport[[#This Row],[Bilans]:[Bilans]]&amp;T_ApifImport[[#Headers],[Kolona5]],T_ApifKolone[],4,0),0))</f>
        <v>0</v>
      </c>
      <c r="J419" s="25">
        <f aca="1">IF(ISNA(VLOOKUP(T_ApifImport[[#This Row],[Bilans]:[Bilans]]&amp;T_ApifImport[[#Headers],[Kolona6]],T_ApifKolone[],4,0)),"",VLOOKUP(T_ApifImport[[#This Row],[AOP]:[AOP]],INDIRECT("Lookup_"&amp;T_ApifImport[[#This Row],[Bilans]:[Bilans]]),VLOOKUP(T_ApifImport[[#This Row],[Bilans]:[Bilans]]&amp;T_ApifImport[[#Headers],[Kolona6]],T_ApifKolone[],4,0),0))</f>
        <v>0</v>
      </c>
      <c r="K419" s="573">
        <f aca="1">IF(ISNA(VLOOKUP(T_ApifImport[[#This Row],[Bilans]:[Bilans]]&amp;T_ApifImport[[#Headers],[Kolona7]],T_ApifKolone[],4,0)),"",VLOOKUP(T_ApifImport[[#This Row],[AOP]:[AOP]],INDIRECT("Lookup_"&amp;T_ApifImport[[#This Row],[Bilans]:[Bilans]]),VLOOKUP(T_ApifImport[[#This Row],[Bilans]:[Bilans]]&amp;T_ApifImport[[#Headers],[Kolona7]],T_ApifKolone[],4,0),0))</f>
        <v>0</v>
      </c>
      <c r="L419" s="573">
        <f aca="1">IF(ISNA(VLOOKUP(T_ApifImport[[#This Row],[Bilans]:[Bilans]]&amp;T_ApifImport[[#Headers],[Kolona8]],T_ApifKolone[],4,0)),"",VLOOKUP(T_ApifImport[[#This Row],[AOP]:[AOP]],INDIRECT("Lookup_"&amp;T_ApifImport[[#This Row],[Bilans]:[Bilans]]),VLOOKUP(T_ApifImport[[#This Row],[Bilans]:[Bilans]]&amp;T_ApifImport[[#Headers],[Kolona8]],T_ApifKolone[],4,0),0))</f>
        <v>0</v>
      </c>
      <c r="M419" s="25">
        <f aca="1">IF(ISNA(VLOOKUP(T_ApifImport[[#This Row],[Bilans]:[Bilans]]&amp;T_ApifImport[[#Headers],[Kolona9]],T_ApifKolone[],4,0)),"",VLOOKUP(T_ApifImport[[#This Row],[AOP]:[AOP]],INDIRECT("Lookup_"&amp;T_ApifImport[[#This Row],[Bilans]:[Bilans]]),VLOOKUP(T_ApifImport[[#This Row],[Bilans]:[Bilans]]&amp;T_ApifImport[[#Headers],[Kolona9]],T_ApifKolone[],4,0),0))</f>
        <v>0</v>
      </c>
      <c r="N419"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19" s="22" t="n">
        <v>423</v>
      </c>
      <c r="P419" s="54" t="s">
        <v>333</v>
      </c>
    </row>
    <row r="420" spans="2:16">
      <c r="B420" s="52">
        <f>VLOOKUP(T_ApifImport[[#This Row],[Bilans]],T_Bilansi[],4,0)</f>
        <v>30</v>
      </c>
      <c r="C420" s="173">
        <f>VLOOKUP(T_ApifImport[[#This Row],[ld]],T_Aop[],4,0)</f>
        <v>904</v>
      </c>
      <c r="D4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20" s="573">
        <f aca="1">IF(ISNA(VLOOKUP(T_ApifImport[[#This Row],[Bilans]:[Bilans]]&amp;T_ApifImport[[#Headers],[Kolona2]],T_ApifKolone[],4,0)),"",VLOOKUP(T_ApifImport[[#This Row],[AOP]:[AOP]],INDIRECT("Lookup_"&amp;T_ApifImport[[#This Row],[Bilans]:[Bilans]]),VLOOKUP(T_ApifImport[[#This Row],[Bilans]:[Bilans]]&amp;T_ApifImport[[#Headers],[Kolona2]],T_ApifKolone[],4,0),0))</f>
        <v>0</v>
      </c>
      <c r="G420" s="573">
        <f aca="1">IF(ISNA(VLOOKUP(T_ApifImport[[#This Row],[Bilans]:[Bilans]]&amp;T_ApifImport[[#Headers],[Kolona3]],T_ApifKolone[],4,0)),"",VLOOKUP(T_ApifImport[[#This Row],[AOP]:[AOP]],INDIRECT("Lookup_"&amp;T_ApifImport[[#This Row],[Bilans]:[Bilans]]),VLOOKUP(T_ApifImport[[#This Row],[Bilans]:[Bilans]]&amp;T_ApifImport[[#Headers],[Kolona3]],T_ApifKolone[],4,0),0))</f>
        <v>0</v>
      </c>
      <c r="H420" s="573">
        <f aca="1">IF(ISNA(VLOOKUP(T_ApifImport[[#This Row],[Bilans]:[Bilans]]&amp;T_ApifImport[[#Headers],[Kolona4]],T_ApifKolone[],4,0)),"",VLOOKUP(T_ApifImport[[#This Row],[AOP]:[AOP]],INDIRECT("Lookup_"&amp;T_ApifImport[[#This Row],[Bilans]:[Bilans]]),VLOOKUP(T_ApifImport[[#This Row],[Bilans]:[Bilans]]&amp;T_ApifImport[[#Headers],[Kolona4]],T_ApifKolone[],4,0),0))</f>
        <v>262625</v>
      </c>
      <c r="I420" s="573">
        <f aca="1">IF(ISNA(VLOOKUP(T_ApifImport[[#This Row],[Bilans]:[Bilans]]&amp;T_ApifImport[[#Headers],[Kolona5]],T_ApifKolone[],4,0)),"",VLOOKUP(T_ApifImport[[#This Row],[AOP]:[AOP]],INDIRECT("Lookup_"&amp;T_ApifImport[[#This Row],[Bilans]:[Bilans]]),VLOOKUP(T_ApifImport[[#This Row],[Bilans]:[Bilans]]&amp;T_ApifImport[[#Headers],[Kolona5]],T_ApifKolone[],4,0),0))</f>
        <v>0</v>
      </c>
      <c r="J420" s="573">
        <f aca="1">IF(ISNA(VLOOKUP(T_ApifImport[[#This Row],[Bilans]:[Bilans]]&amp;T_ApifImport[[#Headers],[Kolona6]],T_ApifKolone[],4,0)),"",VLOOKUP(T_ApifImport[[#This Row],[AOP]:[AOP]],INDIRECT("Lookup_"&amp;T_ApifImport[[#This Row],[Bilans]:[Bilans]]),VLOOKUP(T_ApifImport[[#This Row],[Bilans]:[Bilans]]&amp;T_ApifImport[[#Headers],[Kolona6]],T_ApifKolone[],4,0),0))</f>
        <v>869</v>
      </c>
      <c r="K420" s="573">
        <f aca="1">IF(ISNA(VLOOKUP(T_ApifImport[[#This Row],[Bilans]:[Bilans]]&amp;T_ApifImport[[#Headers],[Kolona7]],T_ApifKolone[],4,0)),"",VLOOKUP(T_ApifImport[[#This Row],[AOP]:[AOP]],INDIRECT("Lookup_"&amp;T_ApifImport[[#This Row],[Bilans]:[Bilans]]),VLOOKUP(T_ApifImport[[#This Row],[Bilans]:[Bilans]]&amp;T_ApifImport[[#Headers],[Kolona7]],T_ApifKolone[],4,0),0))</f>
        <v>-5092009</v>
      </c>
      <c r="L420" s="573">
        <f aca="1">IF(ISNA(VLOOKUP(T_ApifImport[[#This Row],[Bilans]:[Bilans]]&amp;T_ApifImport[[#Headers],[Kolona8]],T_ApifKolone[],4,0)),"",VLOOKUP(T_ApifImport[[#This Row],[AOP]:[AOP]],INDIRECT("Lookup_"&amp;T_ApifImport[[#This Row],[Bilans]:[Bilans]]),VLOOKUP(T_ApifImport[[#This Row],[Bilans]:[Bilans]]&amp;T_ApifImport[[#Headers],[Kolona8]],T_ApifKolone[],4,0),0))</f>
        <v>1186662</v>
      </c>
      <c r="M420" s="573">
        <f aca="1">IF(ISNA(VLOOKUP(T_ApifImport[[#This Row],[Bilans]:[Bilans]]&amp;T_ApifImport[[#Headers],[Kolona9]],T_ApifKolone[],4,0)),"",VLOOKUP(T_ApifImport[[#This Row],[AOP]:[AOP]],INDIRECT("Lookup_"&amp;T_ApifImport[[#This Row],[Bilans]:[Bilans]]),VLOOKUP(T_ApifImport[[#This Row],[Bilans]:[Bilans]]&amp;T_ApifImport[[#Headers],[Kolona9]],T_ApifKolone[],4,0),0))</f>
        <v>0</v>
      </c>
      <c r="N420" s="573">
        <f aca="1">IF(ISNA(VLOOKUP(T_ApifImport[[#This Row],[Bilans]:[Bilans]]&amp;T_ApifImport[[#Headers],[Kolona10]],T_ApifKolone[],4,0)),"",VLOOKUP(T_ApifImport[[#This Row],[AOP]:[AOP]],INDIRECT("Lookup_"&amp;T_ApifImport[[#This Row],[Bilans]:[Bilans]]),VLOOKUP(T_ApifImport[[#This Row],[Bilans]:[Bilans]]&amp;T_ApifImport[[#Headers],[Kolona10]],T_ApifKolone[],4,0),0))</f>
        <v>1186662</v>
      </c>
      <c r="O420" s="22" t="n">
        <v>424</v>
      </c>
      <c r="P420" s="54" t="s">
        <v>333</v>
      </c>
    </row>
    <row r="421" spans="2:16">
      <c r="B421" s="52">
        <f>VLOOKUP(T_ApifImport[[#This Row],[Bilans]],T_Bilansi[],4,0)</f>
        <v>30</v>
      </c>
      <c r="C421" s="173">
        <f>VLOOKUP(T_ApifImport[[#This Row],[ld]],T_Aop[],4,0)</f>
        <v>905</v>
      </c>
      <c r="D42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1" s="25">
        <f aca="1">IF(ISNA(VLOOKUP(T_ApifImport[[#This Row],[Bilans]:[Bilans]]&amp;T_ApifImport[[#Headers],[Kolona2]],T_ApifKolone[],4,0)),"",VLOOKUP(T_ApifImport[[#This Row],[AOP]:[AOP]],INDIRECT("Lookup_"&amp;T_ApifImport[[#This Row],[Bilans]:[Bilans]]),VLOOKUP(T_ApifImport[[#This Row],[Bilans]:[Bilans]]&amp;T_ApifImport[[#Headers],[Kolona2]],T_ApifKolone[],4,0),0))</f>
        <v>0</v>
      </c>
      <c r="G421" s="25">
        <f aca="1">IF(ISNA(VLOOKUP(T_ApifImport[[#This Row],[Bilans]:[Bilans]]&amp;T_ApifImport[[#Headers],[Kolona3]],T_ApifKolone[],4,0)),"",VLOOKUP(T_ApifImport[[#This Row],[AOP]:[AOP]],INDIRECT("Lookup_"&amp;T_ApifImport[[#This Row],[Bilans]:[Bilans]]),VLOOKUP(T_ApifImport[[#This Row],[Bilans]:[Bilans]]&amp;T_ApifImport[[#Headers],[Kolona3]],T_ApifKolone[],4,0),0))</f>
        <v>0</v>
      </c>
      <c r="H421" s="25">
        <f aca="1">IF(ISNA(VLOOKUP(T_ApifImport[[#This Row],[Bilans]:[Bilans]]&amp;T_ApifImport[[#Headers],[Kolona4]],T_ApifKolone[],4,0)),"",VLOOKUP(T_ApifImport[[#This Row],[AOP]:[AOP]],INDIRECT("Lookup_"&amp;T_ApifImport[[#This Row],[Bilans]:[Bilans]]),VLOOKUP(T_ApifImport[[#This Row],[Bilans]:[Bilans]]&amp;T_ApifImport[[#Headers],[Kolona4]],T_ApifKolone[],4,0),0))</f>
        <v>0</v>
      </c>
      <c r="I421" s="25">
        <f aca="1">IF(ISNA(VLOOKUP(T_ApifImport[[#This Row],[Bilans]:[Bilans]]&amp;T_ApifImport[[#Headers],[Kolona5]],T_ApifKolone[],4,0)),"",VLOOKUP(T_ApifImport[[#This Row],[AOP]:[AOP]],INDIRECT("Lookup_"&amp;T_ApifImport[[#This Row],[Bilans]:[Bilans]]),VLOOKUP(T_ApifImport[[#This Row],[Bilans]:[Bilans]]&amp;T_ApifImport[[#Headers],[Kolona5]],T_ApifKolone[],4,0),0))</f>
        <v>0</v>
      </c>
      <c r="J421" s="25">
        <f aca="1">IF(ISNA(VLOOKUP(T_ApifImport[[#This Row],[Bilans]:[Bilans]]&amp;T_ApifImport[[#Headers],[Kolona6]],T_ApifKolone[],4,0)),"",VLOOKUP(T_ApifImport[[#This Row],[AOP]:[AOP]],INDIRECT("Lookup_"&amp;T_ApifImport[[#This Row],[Bilans]:[Bilans]]),VLOOKUP(T_ApifImport[[#This Row],[Bilans]:[Bilans]]&amp;T_ApifImport[[#Headers],[Kolona6]],T_ApifKolone[],4,0),0))</f>
        <v>0</v>
      </c>
      <c r="K421" s="573">
        <f aca="1">IF(ISNA(VLOOKUP(T_ApifImport[[#This Row],[Bilans]:[Bilans]]&amp;T_ApifImport[[#Headers],[Kolona7]],T_ApifKolone[],4,0)),"",VLOOKUP(T_ApifImport[[#This Row],[AOP]:[AOP]],INDIRECT("Lookup_"&amp;T_ApifImport[[#This Row],[Bilans]:[Bilans]]),VLOOKUP(T_ApifImport[[#This Row],[Bilans]:[Bilans]]&amp;T_ApifImport[[#Headers],[Kolona7]],T_ApifKolone[],4,0),0))</f>
        <v>5446</v>
      </c>
      <c r="L421" s="573">
        <f aca="1">IF(ISNA(VLOOKUP(T_ApifImport[[#This Row],[Bilans]:[Bilans]]&amp;T_ApifImport[[#Headers],[Kolona8]],T_ApifKolone[],4,0)),"",VLOOKUP(T_ApifImport[[#This Row],[AOP]:[AOP]],INDIRECT("Lookup_"&amp;T_ApifImport[[#This Row],[Bilans]:[Bilans]]),VLOOKUP(T_ApifImport[[#This Row],[Bilans]:[Bilans]]&amp;T_ApifImport[[#Headers],[Kolona8]],T_ApifKolone[],4,0),0))</f>
        <v>5446</v>
      </c>
      <c r="M421" s="25">
        <f aca="1">IF(ISNA(VLOOKUP(T_ApifImport[[#This Row],[Bilans]:[Bilans]]&amp;T_ApifImport[[#Headers],[Kolona9]],T_ApifKolone[],4,0)),"",VLOOKUP(T_ApifImport[[#This Row],[AOP]:[AOP]],INDIRECT("Lookup_"&amp;T_ApifImport[[#This Row],[Bilans]:[Bilans]]),VLOOKUP(T_ApifImport[[#This Row],[Bilans]:[Bilans]]&amp;T_ApifImport[[#Headers],[Kolona9]],T_ApifKolone[],4,0),0))</f>
        <v>0</v>
      </c>
      <c r="N421" s="573">
        <f aca="1">IF(ISNA(VLOOKUP(T_ApifImport[[#This Row],[Bilans]:[Bilans]]&amp;T_ApifImport[[#Headers],[Kolona10]],T_ApifKolone[],4,0)),"",VLOOKUP(T_ApifImport[[#This Row],[AOP]:[AOP]],INDIRECT("Lookup_"&amp;T_ApifImport[[#This Row],[Bilans]:[Bilans]]),VLOOKUP(T_ApifImport[[#This Row],[Bilans]:[Bilans]]&amp;T_ApifImport[[#Headers],[Kolona10]],T_ApifKolone[],4,0),0))</f>
        <v>5446</v>
      </c>
      <c r="O421" s="22" t="n">
        <v>426</v>
      </c>
      <c r="P421" s="54" t="s">
        <v>333</v>
      </c>
    </row>
    <row r="422" spans="2:16">
      <c r="B422" s="52">
        <f>VLOOKUP(T_ApifImport[[#This Row],[Bilans]],T_Bilansi[],4,0)</f>
        <v>30</v>
      </c>
      <c r="C422" s="173">
        <f>VLOOKUP(T_ApifImport[[#This Row],[ld]],T_Aop[],4,0)</f>
        <v>906</v>
      </c>
      <c r="D42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2" s="25">
        <f aca="1">IF(ISNA(VLOOKUP(T_ApifImport[[#This Row],[Bilans]:[Bilans]]&amp;T_ApifImport[[#Headers],[Kolona2]],T_ApifKolone[],4,0)),"",VLOOKUP(T_ApifImport[[#This Row],[AOP]:[AOP]],INDIRECT("Lookup_"&amp;T_ApifImport[[#This Row],[Bilans]:[Bilans]]),VLOOKUP(T_ApifImport[[#This Row],[Bilans]:[Bilans]]&amp;T_ApifImport[[#Headers],[Kolona2]],T_ApifKolone[],4,0),0))</f>
        <v>0</v>
      </c>
      <c r="G422" s="25">
        <f aca="1">IF(ISNA(VLOOKUP(T_ApifImport[[#This Row],[Bilans]:[Bilans]]&amp;T_ApifImport[[#Headers],[Kolona3]],T_ApifKolone[],4,0)),"",VLOOKUP(T_ApifImport[[#This Row],[AOP]:[AOP]],INDIRECT("Lookup_"&amp;T_ApifImport[[#This Row],[Bilans]:[Bilans]]),VLOOKUP(T_ApifImport[[#This Row],[Bilans]:[Bilans]]&amp;T_ApifImport[[#Headers],[Kolona3]],T_ApifKolone[],4,0),0))</f>
        <v>0</v>
      </c>
      <c r="H422" s="573">
        <f aca="1">IF(ISNA(VLOOKUP(T_ApifImport[[#This Row],[Bilans]:[Bilans]]&amp;T_ApifImport[[#Headers],[Kolona4]],T_ApifKolone[],4,0)),"",VLOOKUP(T_ApifImport[[#This Row],[AOP]:[AOP]],INDIRECT("Lookup_"&amp;T_ApifImport[[#This Row],[Bilans]:[Bilans]]),VLOOKUP(T_ApifImport[[#This Row],[Bilans]:[Bilans]]&amp;T_ApifImport[[#Headers],[Kolona4]],T_ApifKolone[],4,0),0))</f>
        <v>-10942</v>
      </c>
      <c r="I422" s="25">
        <f aca="1">IF(ISNA(VLOOKUP(T_ApifImport[[#This Row],[Bilans]:[Bilans]]&amp;T_ApifImport[[#Headers],[Kolona5]],T_ApifKolone[],4,0)),"",VLOOKUP(T_ApifImport[[#This Row],[AOP]:[AOP]],INDIRECT("Lookup_"&amp;T_ApifImport[[#This Row],[Bilans]:[Bilans]]),VLOOKUP(T_ApifImport[[#This Row],[Bilans]:[Bilans]]&amp;T_ApifImport[[#Headers],[Kolona5]],T_ApifKolone[],4,0),0))</f>
        <v>0</v>
      </c>
      <c r="J422" s="25">
        <f aca="1">IF(ISNA(VLOOKUP(T_ApifImport[[#This Row],[Bilans]:[Bilans]]&amp;T_ApifImport[[#Headers],[Kolona6]],T_ApifKolone[],4,0)),"",VLOOKUP(T_ApifImport[[#This Row],[AOP]:[AOP]],INDIRECT("Lookup_"&amp;T_ApifImport[[#This Row],[Bilans]:[Bilans]]),VLOOKUP(T_ApifImport[[#This Row],[Bilans]:[Bilans]]&amp;T_ApifImport[[#Headers],[Kolona6]],T_ApifKolone[],4,0),0))</f>
        <v>0</v>
      </c>
      <c r="K422" s="573">
        <f aca="1">IF(ISNA(VLOOKUP(T_ApifImport[[#This Row],[Bilans]:[Bilans]]&amp;T_ApifImport[[#Headers],[Kolona7]],T_ApifKolone[],4,0)),"",VLOOKUP(T_ApifImport[[#This Row],[AOP]:[AOP]],INDIRECT("Lookup_"&amp;T_ApifImport[[#This Row],[Bilans]:[Bilans]]),VLOOKUP(T_ApifImport[[#This Row],[Bilans]:[Bilans]]&amp;T_ApifImport[[#Headers],[Kolona7]],T_ApifKolone[],4,0),0))</f>
        <v>10942</v>
      </c>
      <c r="L422" s="573">
        <f aca="1">IF(ISNA(VLOOKUP(T_ApifImport[[#This Row],[Bilans]:[Bilans]]&amp;T_ApifImport[[#Headers],[Kolona8]],T_ApifKolone[],4,0)),"",VLOOKUP(T_ApifImport[[#This Row],[AOP]:[AOP]],INDIRECT("Lookup_"&amp;T_ApifImport[[#This Row],[Bilans]:[Bilans]]),VLOOKUP(T_ApifImport[[#This Row],[Bilans]:[Bilans]]&amp;T_ApifImport[[#Headers],[Kolona8]],T_ApifKolone[],4,0),0))</f>
        <v>0</v>
      </c>
      <c r="M422" s="25">
        <f aca="1">IF(ISNA(VLOOKUP(T_ApifImport[[#This Row],[Bilans]:[Bilans]]&amp;T_ApifImport[[#Headers],[Kolona9]],T_ApifKolone[],4,0)),"",VLOOKUP(T_ApifImport[[#This Row],[AOP]:[AOP]],INDIRECT("Lookup_"&amp;T_ApifImport[[#This Row],[Bilans]:[Bilans]]),VLOOKUP(T_ApifImport[[#This Row],[Bilans]:[Bilans]]&amp;T_ApifImport[[#Headers],[Kolona9]],T_ApifKolone[],4,0),0))</f>
        <v>0</v>
      </c>
      <c r="N422"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22" s="22" t="n">
        <v>427</v>
      </c>
      <c r="P422" s="54" t="s">
        <v>333</v>
      </c>
    </row>
    <row r="423" spans="2:16">
      <c r="B423" s="52">
        <f>VLOOKUP(T_ApifImport[[#This Row],[Bilans]],T_Bilansi[],4,0)</f>
        <v>30</v>
      </c>
      <c r="C423" s="173">
        <f>VLOOKUP(T_ApifImport[[#This Row],[ld]],T_Aop[],4,0)</f>
        <v>907</v>
      </c>
      <c r="D42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3" s="573">
        <f aca="1">IF(ISNA(VLOOKUP(T_ApifImport[[#This Row],[Bilans]:[Bilans]]&amp;T_ApifImport[[#Headers],[Kolona2]],T_ApifKolone[],4,0)),"",VLOOKUP(T_ApifImport[[#This Row],[AOP]:[AOP]],INDIRECT("Lookup_"&amp;T_ApifImport[[#This Row],[Bilans]:[Bilans]]),VLOOKUP(T_ApifImport[[#This Row],[Bilans]:[Bilans]]&amp;T_ApifImport[[#Headers],[Kolona2]],T_ApifKolone[],4,0),0))</f>
        <v>0</v>
      </c>
      <c r="G423" s="573">
        <f aca="1">IF(ISNA(VLOOKUP(T_ApifImport[[#This Row],[Bilans]:[Bilans]]&amp;T_ApifImport[[#Headers],[Kolona3]],T_ApifKolone[],4,0)),"",VLOOKUP(T_ApifImport[[#This Row],[AOP]:[AOP]],INDIRECT("Lookup_"&amp;T_ApifImport[[#This Row],[Bilans]:[Bilans]]),VLOOKUP(T_ApifImport[[#This Row],[Bilans]:[Bilans]]&amp;T_ApifImport[[#Headers],[Kolona3]],T_ApifKolone[],4,0),0))</f>
        <v>0</v>
      </c>
      <c r="H423" s="573">
        <f aca="1">IF(ISNA(VLOOKUP(T_ApifImport[[#This Row],[Bilans]:[Bilans]]&amp;T_ApifImport[[#Headers],[Kolona4]],T_ApifKolone[],4,0)),"",VLOOKUP(T_ApifImport[[#This Row],[AOP]:[AOP]],INDIRECT("Lookup_"&amp;T_ApifImport[[#This Row],[Bilans]:[Bilans]]),VLOOKUP(T_ApifImport[[#This Row],[Bilans]:[Bilans]]&amp;T_ApifImport[[#Headers],[Kolona4]],T_ApifKolone[],4,0),0))</f>
        <v>-10942</v>
      </c>
      <c r="I423" s="573">
        <f aca="1">IF(ISNA(VLOOKUP(T_ApifImport[[#This Row],[Bilans]:[Bilans]]&amp;T_ApifImport[[#Headers],[Kolona5]],T_ApifKolone[],4,0)),"",VLOOKUP(T_ApifImport[[#This Row],[AOP]:[AOP]],INDIRECT("Lookup_"&amp;T_ApifImport[[#This Row],[Bilans]:[Bilans]]),VLOOKUP(T_ApifImport[[#This Row],[Bilans]:[Bilans]]&amp;T_ApifImport[[#Headers],[Kolona5]],T_ApifKolone[],4,0),0))</f>
        <v>0</v>
      </c>
      <c r="J423" s="573">
        <f aca="1">IF(ISNA(VLOOKUP(T_ApifImport[[#This Row],[Bilans]:[Bilans]]&amp;T_ApifImport[[#Headers],[Kolona6]],T_ApifKolone[],4,0)),"",VLOOKUP(T_ApifImport[[#This Row],[AOP]:[AOP]],INDIRECT("Lookup_"&amp;T_ApifImport[[#This Row],[Bilans]:[Bilans]]),VLOOKUP(T_ApifImport[[#This Row],[Bilans]:[Bilans]]&amp;T_ApifImport[[#Headers],[Kolona6]],T_ApifKolone[],4,0),0))</f>
        <v>0</v>
      </c>
      <c r="K423" s="573">
        <f aca="1">IF(ISNA(VLOOKUP(T_ApifImport[[#This Row],[Bilans]:[Bilans]]&amp;T_ApifImport[[#Headers],[Kolona7]],T_ApifKolone[],4,0)),"",VLOOKUP(T_ApifImport[[#This Row],[AOP]:[AOP]],INDIRECT("Lookup_"&amp;T_ApifImport[[#This Row],[Bilans]:[Bilans]]),VLOOKUP(T_ApifImport[[#This Row],[Bilans]:[Bilans]]&amp;T_ApifImport[[#Headers],[Kolona7]],T_ApifKolone[],4,0),0))</f>
        <v>16388</v>
      </c>
      <c r="L423" s="573">
        <f aca="1">IF(ISNA(VLOOKUP(T_ApifImport[[#This Row],[Bilans]:[Bilans]]&amp;T_ApifImport[[#Headers],[Kolona8]],T_ApifKolone[],4,0)),"",VLOOKUP(T_ApifImport[[#This Row],[AOP]:[AOP]],INDIRECT("Lookup_"&amp;T_ApifImport[[#This Row],[Bilans]:[Bilans]]),VLOOKUP(T_ApifImport[[#This Row],[Bilans]:[Bilans]]&amp;T_ApifImport[[#Headers],[Kolona8]],T_ApifKolone[],4,0),0))</f>
        <v>5446</v>
      </c>
      <c r="M423" s="573">
        <f aca="1">IF(ISNA(VLOOKUP(T_ApifImport[[#This Row],[Bilans]:[Bilans]]&amp;T_ApifImport[[#Headers],[Kolona9]],T_ApifKolone[],4,0)),"",VLOOKUP(T_ApifImport[[#This Row],[AOP]:[AOP]],INDIRECT("Lookup_"&amp;T_ApifImport[[#This Row],[Bilans]:[Bilans]]),VLOOKUP(T_ApifImport[[#This Row],[Bilans]:[Bilans]]&amp;T_ApifImport[[#Headers],[Kolona9]],T_ApifKolone[],4,0),0))</f>
        <v>0</v>
      </c>
      <c r="N423" s="573">
        <f aca="1">IF(ISNA(VLOOKUP(T_ApifImport[[#This Row],[Bilans]:[Bilans]]&amp;T_ApifImport[[#Headers],[Kolona10]],T_ApifKolone[],4,0)),"",VLOOKUP(T_ApifImport[[#This Row],[AOP]:[AOP]],INDIRECT("Lookup_"&amp;T_ApifImport[[#This Row],[Bilans]:[Bilans]]),VLOOKUP(T_ApifImport[[#This Row],[Bilans]:[Bilans]]&amp;T_ApifImport[[#Headers],[Kolona10]],T_ApifKolone[],4,0),0))</f>
        <v>5446</v>
      </c>
      <c r="O423" s="22" t="n">
        <v>428</v>
      </c>
      <c r="P423" s="54" t="s">
        <v>333</v>
      </c>
    </row>
    <row r="424" spans="2:16">
      <c r="B424" s="52">
        <f>VLOOKUP(T_ApifImport[[#This Row],[Bilans]],T_Bilansi[],4,0)</f>
        <v>30</v>
      </c>
      <c r="C424" s="173">
        <f>VLOOKUP(T_ApifImport[[#This Row],[ld]],T_Aop[],4,0)</f>
        <v>908</v>
      </c>
      <c r="D42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4" s="25">
        <f aca="1">IF(ISNA(VLOOKUP(T_ApifImport[[#This Row],[Bilans]:[Bilans]]&amp;T_ApifImport[[#Headers],[Kolona2]],T_ApifKolone[],4,0)),"",VLOOKUP(T_ApifImport[[#This Row],[AOP]:[AOP]],INDIRECT("Lookup_"&amp;T_ApifImport[[#This Row],[Bilans]:[Bilans]]),VLOOKUP(T_ApifImport[[#This Row],[Bilans]:[Bilans]]&amp;T_ApifImport[[#Headers],[Kolona2]],T_ApifKolone[],4,0),0))</f>
        <v>0</v>
      </c>
      <c r="G424" s="25">
        <f aca="1">IF(ISNA(VLOOKUP(T_ApifImport[[#This Row],[Bilans]:[Bilans]]&amp;T_ApifImport[[#Headers],[Kolona3]],T_ApifKolone[],4,0)),"",VLOOKUP(T_ApifImport[[#This Row],[AOP]:[AOP]],INDIRECT("Lookup_"&amp;T_ApifImport[[#This Row],[Bilans]:[Bilans]]),VLOOKUP(T_ApifImport[[#This Row],[Bilans]:[Bilans]]&amp;T_ApifImport[[#Headers],[Kolona3]],T_ApifKolone[],4,0),0))</f>
        <v>0</v>
      </c>
      <c r="H424" s="25">
        <f aca="1">IF(ISNA(VLOOKUP(T_ApifImport[[#This Row],[Bilans]:[Bilans]]&amp;T_ApifImport[[#Headers],[Kolona4]],T_ApifKolone[],4,0)),"",VLOOKUP(T_ApifImport[[#This Row],[AOP]:[AOP]],INDIRECT("Lookup_"&amp;T_ApifImport[[#This Row],[Bilans]:[Bilans]]),VLOOKUP(T_ApifImport[[#This Row],[Bilans]:[Bilans]]&amp;T_ApifImport[[#Headers],[Kolona4]],T_ApifKolone[],4,0),0))</f>
        <v>0</v>
      </c>
      <c r="I424" s="25">
        <f aca="1">IF(ISNA(VLOOKUP(T_ApifImport[[#This Row],[Bilans]:[Bilans]]&amp;T_ApifImport[[#Headers],[Kolona5]],T_ApifKolone[],4,0)),"",VLOOKUP(T_ApifImport[[#This Row],[AOP]:[AOP]],INDIRECT("Lookup_"&amp;T_ApifImport[[#This Row],[Bilans]:[Bilans]]),VLOOKUP(T_ApifImport[[#This Row],[Bilans]:[Bilans]]&amp;T_ApifImport[[#Headers],[Kolona5]],T_ApifKolone[],4,0),0))</f>
        <v>0</v>
      </c>
      <c r="J424" s="25">
        <f aca="1">IF(ISNA(VLOOKUP(T_ApifImport[[#This Row],[Bilans]:[Bilans]]&amp;T_ApifImport[[#Headers],[Kolona6]],T_ApifKolone[],4,0)),"",VLOOKUP(T_ApifImport[[#This Row],[AOP]:[AOP]],INDIRECT("Lookup_"&amp;T_ApifImport[[#This Row],[Bilans]:[Bilans]]),VLOOKUP(T_ApifImport[[#This Row],[Bilans]:[Bilans]]&amp;T_ApifImport[[#Headers],[Kolona6]],T_ApifKolone[],4,0),0))</f>
        <v>0</v>
      </c>
      <c r="K424" s="25">
        <f aca="1">IF(ISNA(VLOOKUP(T_ApifImport[[#This Row],[Bilans]:[Bilans]]&amp;T_ApifImport[[#Headers],[Kolona7]],T_ApifKolone[],4,0)),"",VLOOKUP(T_ApifImport[[#This Row],[AOP]:[AOP]],INDIRECT("Lookup_"&amp;T_ApifImport[[#This Row],[Bilans]:[Bilans]]),VLOOKUP(T_ApifImport[[#This Row],[Bilans]:[Bilans]]&amp;T_ApifImport[[#Headers],[Kolona7]],T_ApifKolone[],4,0),0))</f>
        <v>0</v>
      </c>
      <c r="L424" s="573">
        <f aca="1">IF(ISNA(VLOOKUP(T_ApifImport[[#This Row],[Bilans]:[Bilans]]&amp;T_ApifImport[[#Headers],[Kolona8]],T_ApifKolone[],4,0)),"",VLOOKUP(T_ApifImport[[#This Row],[AOP]:[AOP]],INDIRECT("Lookup_"&amp;T_ApifImport[[#This Row],[Bilans]:[Bilans]]),VLOOKUP(T_ApifImport[[#This Row],[Bilans]:[Bilans]]&amp;T_ApifImport[[#Headers],[Kolona8]],T_ApifKolone[],4,0),0))</f>
        <v>0</v>
      </c>
      <c r="M424" s="25">
        <f aca="1">IF(ISNA(VLOOKUP(T_ApifImport[[#This Row],[Bilans]:[Bilans]]&amp;T_ApifImport[[#Headers],[Kolona9]],T_ApifKolone[],4,0)),"",VLOOKUP(T_ApifImport[[#This Row],[AOP]:[AOP]],INDIRECT("Lookup_"&amp;T_ApifImport[[#This Row],[Bilans]:[Bilans]]),VLOOKUP(T_ApifImport[[#This Row],[Bilans]:[Bilans]]&amp;T_ApifImport[[#Headers],[Kolona9]],T_ApifKolone[],4,0),0))</f>
        <v>0</v>
      </c>
      <c r="N424"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24" s="22" t="n">
        <v>430</v>
      </c>
      <c r="P424" s="54" t="s">
        <v>333</v>
      </c>
    </row>
    <row r="425" spans="2:16">
      <c r="B425" s="52">
        <f>VLOOKUP(T_ApifImport[[#This Row],[Bilans]],T_Bilansi[],4,0)</f>
        <v>30</v>
      </c>
      <c r="C425" s="173">
        <f>VLOOKUP(T_ApifImport[[#This Row],[ld]],T_Aop[],4,0)</f>
        <v>909</v>
      </c>
      <c r="D42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5" s="25">
        <f aca="1">IF(ISNA(VLOOKUP(T_ApifImport[[#This Row],[Bilans]:[Bilans]]&amp;T_ApifImport[[#Headers],[Kolona2]],T_ApifKolone[],4,0)),"",VLOOKUP(T_ApifImport[[#This Row],[AOP]:[AOP]],INDIRECT("Lookup_"&amp;T_ApifImport[[#This Row],[Bilans]:[Bilans]]),VLOOKUP(T_ApifImport[[#This Row],[Bilans]:[Bilans]]&amp;T_ApifImport[[#Headers],[Kolona2]],T_ApifKolone[],4,0),0))</f>
        <v>0</v>
      </c>
      <c r="G425" s="25">
        <f aca="1">IF(ISNA(VLOOKUP(T_ApifImport[[#This Row],[Bilans]:[Bilans]]&amp;T_ApifImport[[#Headers],[Kolona3]],T_ApifKolone[],4,0)),"",VLOOKUP(T_ApifImport[[#This Row],[AOP]:[AOP]],INDIRECT("Lookup_"&amp;T_ApifImport[[#This Row],[Bilans]:[Bilans]]),VLOOKUP(T_ApifImport[[#This Row],[Bilans]:[Bilans]]&amp;T_ApifImport[[#Headers],[Kolona3]],T_ApifKolone[],4,0),0))</f>
        <v>0</v>
      </c>
      <c r="H425" s="25">
        <f aca="1">IF(ISNA(VLOOKUP(T_ApifImport[[#This Row],[Bilans]:[Bilans]]&amp;T_ApifImport[[#Headers],[Kolona4]],T_ApifKolone[],4,0)),"",VLOOKUP(T_ApifImport[[#This Row],[AOP]:[AOP]],INDIRECT("Lookup_"&amp;T_ApifImport[[#This Row],[Bilans]:[Bilans]]),VLOOKUP(T_ApifImport[[#This Row],[Bilans]:[Bilans]]&amp;T_ApifImport[[#Headers],[Kolona4]],T_ApifKolone[],4,0),0))</f>
        <v>0</v>
      </c>
      <c r="I425" s="25">
        <f aca="1">IF(ISNA(VLOOKUP(T_ApifImport[[#This Row],[Bilans]:[Bilans]]&amp;T_ApifImport[[#Headers],[Kolona5]],T_ApifKolone[],4,0)),"",VLOOKUP(T_ApifImport[[#This Row],[AOP]:[AOP]],INDIRECT("Lookup_"&amp;T_ApifImport[[#This Row],[Bilans]:[Bilans]]),VLOOKUP(T_ApifImport[[#This Row],[Bilans]:[Bilans]]&amp;T_ApifImport[[#Headers],[Kolona5]],T_ApifKolone[],4,0),0))</f>
        <v>0</v>
      </c>
      <c r="J425" s="25">
        <f aca="1">IF(ISNA(VLOOKUP(T_ApifImport[[#This Row],[Bilans]:[Bilans]]&amp;T_ApifImport[[#Headers],[Kolona6]],T_ApifKolone[],4,0)),"",VLOOKUP(T_ApifImport[[#This Row],[AOP]:[AOP]],INDIRECT("Lookup_"&amp;T_ApifImport[[#This Row],[Bilans]:[Bilans]]),VLOOKUP(T_ApifImport[[#This Row],[Bilans]:[Bilans]]&amp;T_ApifImport[[#Headers],[Kolona6]],T_ApifKolone[],4,0),0))</f>
        <v>0</v>
      </c>
      <c r="K425" s="25">
        <f aca="1">IF(ISNA(VLOOKUP(T_ApifImport[[#This Row],[Bilans]:[Bilans]]&amp;T_ApifImport[[#Headers],[Kolona7]],T_ApifKolone[],4,0)),"",VLOOKUP(T_ApifImport[[#This Row],[AOP]:[AOP]],INDIRECT("Lookup_"&amp;T_ApifImport[[#This Row],[Bilans]:[Bilans]]),VLOOKUP(T_ApifImport[[#This Row],[Bilans]:[Bilans]]&amp;T_ApifImport[[#Headers],[Kolona7]],T_ApifKolone[],4,0),0))</f>
        <v>0</v>
      </c>
      <c r="L425" s="573">
        <f aca="1">IF(ISNA(VLOOKUP(T_ApifImport[[#This Row],[Bilans]:[Bilans]]&amp;T_ApifImport[[#Headers],[Kolona8]],T_ApifKolone[],4,0)),"",VLOOKUP(T_ApifImport[[#This Row],[AOP]:[AOP]],INDIRECT("Lookup_"&amp;T_ApifImport[[#This Row],[Bilans]:[Bilans]]),VLOOKUP(T_ApifImport[[#This Row],[Bilans]:[Bilans]]&amp;T_ApifImport[[#Headers],[Kolona8]],T_ApifKolone[],4,0),0))</f>
        <v>0</v>
      </c>
      <c r="M425" s="25">
        <f aca="1">IF(ISNA(VLOOKUP(T_ApifImport[[#This Row],[Bilans]:[Bilans]]&amp;T_ApifImport[[#Headers],[Kolona9]],T_ApifKolone[],4,0)),"",VLOOKUP(T_ApifImport[[#This Row],[AOP]:[AOP]],INDIRECT("Lookup_"&amp;T_ApifImport[[#This Row],[Bilans]:[Bilans]]),VLOOKUP(T_ApifImport[[#This Row],[Bilans]:[Bilans]]&amp;T_ApifImport[[#Headers],[Kolona9]],T_ApifKolone[],4,0),0))</f>
        <v>0</v>
      </c>
      <c r="N425"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25" s="22" t="n">
        <v>431</v>
      </c>
      <c r="P425" s="54" t="s">
        <v>333</v>
      </c>
    </row>
    <row r="426" spans="2:16">
      <c r="B426" s="52">
        <f>VLOOKUP(T_ApifImport[[#This Row],[Bilans]],T_Bilansi[],4,0)</f>
        <v>30</v>
      </c>
      <c r="C426" s="173">
        <f>VLOOKUP(T_ApifImport[[#This Row],[ld]],T_Aop[],4,0)</f>
        <v>910</v>
      </c>
      <c r="D42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6" s="25">
        <f aca="1">IF(ISNA(VLOOKUP(T_ApifImport[[#This Row],[Bilans]:[Bilans]]&amp;T_ApifImport[[#Headers],[Kolona2]],T_ApifKolone[],4,0)),"",VLOOKUP(T_ApifImport[[#This Row],[AOP]:[AOP]],INDIRECT("Lookup_"&amp;T_ApifImport[[#This Row],[Bilans]:[Bilans]]),VLOOKUP(T_ApifImport[[#This Row],[Bilans]:[Bilans]]&amp;T_ApifImport[[#Headers],[Kolona2]],T_ApifKolone[],4,0),0))</f>
        <v>0</v>
      </c>
      <c r="G426" s="25">
        <f aca="1">IF(ISNA(VLOOKUP(T_ApifImport[[#This Row],[Bilans]:[Bilans]]&amp;T_ApifImport[[#Headers],[Kolona3]],T_ApifKolone[],4,0)),"",VLOOKUP(T_ApifImport[[#This Row],[AOP]:[AOP]],INDIRECT("Lookup_"&amp;T_ApifImport[[#This Row],[Bilans]:[Bilans]]),VLOOKUP(T_ApifImport[[#This Row],[Bilans]:[Bilans]]&amp;T_ApifImport[[#Headers],[Kolona3]],T_ApifKolone[],4,0),0))</f>
        <v>0</v>
      </c>
      <c r="H426" s="25">
        <f aca="1">IF(ISNA(VLOOKUP(T_ApifImport[[#This Row],[Bilans]:[Bilans]]&amp;T_ApifImport[[#Headers],[Kolona4]],T_ApifKolone[],4,0)),"",VLOOKUP(T_ApifImport[[#This Row],[AOP]:[AOP]],INDIRECT("Lookup_"&amp;T_ApifImport[[#This Row],[Bilans]:[Bilans]]),VLOOKUP(T_ApifImport[[#This Row],[Bilans]:[Bilans]]&amp;T_ApifImport[[#Headers],[Kolona4]],T_ApifKolone[],4,0),0))</f>
        <v>0</v>
      </c>
      <c r="I426" s="25">
        <f aca="1">IF(ISNA(VLOOKUP(T_ApifImport[[#This Row],[Bilans]:[Bilans]]&amp;T_ApifImport[[#Headers],[Kolona5]],T_ApifKolone[],4,0)),"",VLOOKUP(T_ApifImport[[#This Row],[AOP]:[AOP]],INDIRECT("Lookup_"&amp;T_ApifImport[[#This Row],[Bilans]:[Bilans]]),VLOOKUP(T_ApifImport[[#This Row],[Bilans]:[Bilans]]&amp;T_ApifImport[[#Headers],[Kolona5]],T_ApifKolone[],4,0),0))</f>
        <v>0</v>
      </c>
      <c r="J426" s="25">
        <f aca="1">IF(ISNA(VLOOKUP(T_ApifImport[[#This Row],[Bilans]:[Bilans]]&amp;T_ApifImport[[#Headers],[Kolona6]],T_ApifKolone[],4,0)),"",VLOOKUP(T_ApifImport[[#This Row],[AOP]:[AOP]],INDIRECT("Lookup_"&amp;T_ApifImport[[#This Row],[Bilans]:[Bilans]]),VLOOKUP(T_ApifImport[[#This Row],[Bilans]:[Bilans]]&amp;T_ApifImport[[#Headers],[Kolona6]],T_ApifKolone[],4,0),0))</f>
        <v>0</v>
      </c>
      <c r="K426" s="25">
        <f aca="1">IF(ISNA(VLOOKUP(T_ApifImport[[#This Row],[Bilans]:[Bilans]]&amp;T_ApifImport[[#Headers],[Kolona7]],T_ApifKolone[],4,0)),"",VLOOKUP(T_ApifImport[[#This Row],[AOP]:[AOP]],INDIRECT("Lookup_"&amp;T_ApifImport[[#This Row],[Bilans]:[Bilans]]),VLOOKUP(T_ApifImport[[#This Row],[Bilans]:[Bilans]]&amp;T_ApifImport[[#Headers],[Kolona7]],T_ApifKolone[],4,0),0))</f>
        <v>0</v>
      </c>
      <c r="L426" s="573">
        <f aca="1">IF(ISNA(VLOOKUP(T_ApifImport[[#This Row],[Bilans]:[Bilans]]&amp;T_ApifImport[[#Headers],[Kolona8]],T_ApifKolone[],4,0)),"",VLOOKUP(T_ApifImport[[#This Row],[AOP]:[AOP]],INDIRECT("Lookup_"&amp;T_ApifImport[[#This Row],[Bilans]:[Bilans]]),VLOOKUP(T_ApifImport[[#This Row],[Bilans]:[Bilans]]&amp;T_ApifImport[[#Headers],[Kolona8]],T_ApifKolone[],4,0),0))</f>
        <v>0</v>
      </c>
      <c r="M426" s="25">
        <f aca="1">IF(ISNA(VLOOKUP(T_ApifImport[[#This Row],[Bilans]:[Bilans]]&amp;T_ApifImport[[#Headers],[Kolona9]],T_ApifKolone[],4,0)),"",VLOOKUP(T_ApifImport[[#This Row],[AOP]:[AOP]],INDIRECT("Lookup_"&amp;T_ApifImport[[#This Row],[Bilans]:[Bilans]]),VLOOKUP(T_ApifImport[[#This Row],[Bilans]:[Bilans]]&amp;T_ApifImport[[#Headers],[Kolona9]],T_ApifKolone[],4,0),0))</f>
        <v>0</v>
      </c>
      <c r="N426"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26" s="22" t="n">
        <v>432</v>
      </c>
      <c r="P426" s="54" t="s">
        <v>333</v>
      </c>
    </row>
    <row r="427" spans="2:16">
      <c r="B427" s="52">
        <f>VLOOKUP(T_ApifImport[[#This Row],[Bilans]],T_Bilansi[],4,0)</f>
        <v>30</v>
      </c>
      <c r="C427" s="173">
        <f>VLOOKUP(T_ApifImport[[#This Row],[ld]],T_Aop[],4,0)</f>
        <v>911</v>
      </c>
      <c r="D42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7" s="25">
        <f aca="1">IF(ISNA(VLOOKUP(T_ApifImport[[#This Row],[Bilans]:[Bilans]]&amp;T_ApifImport[[#Headers],[Kolona2]],T_ApifKolone[],4,0)),"",VLOOKUP(T_ApifImport[[#This Row],[AOP]:[AOP]],INDIRECT("Lookup_"&amp;T_ApifImport[[#This Row],[Bilans]:[Bilans]]),VLOOKUP(T_ApifImport[[#This Row],[Bilans]:[Bilans]]&amp;T_ApifImport[[#Headers],[Kolona2]],T_ApifKolone[],4,0),0))</f>
        <v>0</v>
      </c>
      <c r="G427" s="25">
        <f aca="1">IF(ISNA(VLOOKUP(T_ApifImport[[#This Row],[Bilans]:[Bilans]]&amp;T_ApifImport[[#Headers],[Kolona3]],T_ApifKolone[],4,0)),"",VLOOKUP(T_ApifImport[[#This Row],[AOP]:[AOP]],INDIRECT("Lookup_"&amp;T_ApifImport[[#This Row],[Bilans]:[Bilans]]),VLOOKUP(T_ApifImport[[#This Row],[Bilans]:[Bilans]]&amp;T_ApifImport[[#Headers],[Kolona3]],T_ApifKolone[],4,0),0))</f>
        <v>0</v>
      </c>
      <c r="H427" s="25">
        <f aca="1">IF(ISNA(VLOOKUP(T_ApifImport[[#This Row],[Bilans]:[Bilans]]&amp;T_ApifImport[[#Headers],[Kolona4]],T_ApifKolone[],4,0)),"",VLOOKUP(T_ApifImport[[#This Row],[AOP]:[AOP]],INDIRECT("Lookup_"&amp;T_ApifImport[[#This Row],[Bilans]:[Bilans]]),VLOOKUP(T_ApifImport[[#This Row],[Bilans]:[Bilans]]&amp;T_ApifImport[[#Headers],[Kolona4]],T_ApifKolone[],4,0),0))</f>
        <v>0</v>
      </c>
      <c r="I427" s="25">
        <f aca="1">IF(ISNA(VLOOKUP(T_ApifImport[[#This Row],[Bilans]:[Bilans]]&amp;T_ApifImport[[#Headers],[Kolona5]],T_ApifKolone[],4,0)),"",VLOOKUP(T_ApifImport[[#This Row],[AOP]:[AOP]],INDIRECT("Lookup_"&amp;T_ApifImport[[#This Row],[Bilans]:[Bilans]]),VLOOKUP(T_ApifImport[[#This Row],[Bilans]:[Bilans]]&amp;T_ApifImport[[#Headers],[Kolona5]],T_ApifKolone[],4,0),0))</f>
        <v>0</v>
      </c>
      <c r="J427" s="25">
        <f aca="1">IF(ISNA(VLOOKUP(T_ApifImport[[#This Row],[Bilans]:[Bilans]]&amp;T_ApifImport[[#Headers],[Kolona6]],T_ApifKolone[],4,0)),"",VLOOKUP(T_ApifImport[[#This Row],[AOP]:[AOP]],INDIRECT("Lookup_"&amp;T_ApifImport[[#This Row],[Bilans]:[Bilans]]),VLOOKUP(T_ApifImport[[#This Row],[Bilans]:[Bilans]]&amp;T_ApifImport[[#Headers],[Kolona6]],T_ApifKolone[],4,0),0))</f>
        <v>0</v>
      </c>
      <c r="K427" s="25">
        <f aca="1">IF(ISNA(VLOOKUP(T_ApifImport[[#This Row],[Bilans]:[Bilans]]&amp;T_ApifImport[[#Headers],[Kolona7]],T_ApifKolone[],4,0)),"",VLOOKUP(T_ApifImport[[#This Row],[AOP]:[AOP]],INDIRECT("Lookup_"&amp;T_ApifImport[[#This Row],[Bilans]:[Bilans]]),VLOOKUP(T_ApifImport[[#This Row],[Bilans]:[Bilans]]&amp;T_ApifImport[[#Headers],[Kolona7]],T_ApifKolone[],4,0),0))</f>
        <v>0</v>
      </c>
      <c r="L427" s="573">
        <f aca="1">IF(ISNA(VLOOKUP(T_ApifImport[[#This Row],[Bilans]:[Bilans]]&amp;T_ApifImport[[#Headers],[Kolona8]],T_ApifKolone[],4,0)),"",VLOOKUP(T_ApifImport[[#This Row],[AOP]:[AOP]],INDIRECT("Lookup_"&amp;T_ApifImport[[#This Row],[Bilans]:[Bilans]]),VLOOKUP(T_ApifImport[[#This Row],[Bilans]:[Bilans]]&amp;T_ApifImport[[#Headers],[Kolona8]],T_ApifKolone[],4,0),0))</f>
        <v>0</v>
      </c>
      <c r="M427" s="25">
        <f aca="1">IF(ISNA(VLOOKUP(T_ApifImport[[#This Row],[Bilans]:[Bilans]]&amp;T_ApifImport[[#Headers],[Kolona9]],T_ApifKolone[],4,0)),"",VLOOKUP(T_ApifImport[[#This Row],[AOP]:[AOP]],INDIRECT("Lookup_"&amp;T_ApifImport[[#This Row],[Bilans]:[Bilans]]),VLOOKUP(T_ApifImport[[#This Row],[Bilans]:[Bilans]]&amp;T_ApifImport[[#Headers],[Kolona9]],T_ApifKolone[],4,0),0))</f>
        <v>0</v>
      </c>
      <c r="N427"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27" s="22" t="n">
        <v>433</v>
      </c>
      <c r="P427" s="54" t="s">
        <v>333</v>
      </c>
    </row>
    <row r="428" spans="2:16">
      <c r="B428" s="52">
        <f>VLOOKUP(T_ApifImport[[#This Row],[Bilans]],T_Bilansi[],4,0)</f>
        <v>30</v>
      </c>
      <c r="C428" s="173">
        <f>VLOOKUP(T_ApifImport[[#This Row],[ld]],T_Aop[],4,0)</f>
        <v>912</v>
      </c>
      <c r="D42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8" s="25">
        <f aca="1">IF(ISNA(VLOOKUP(T_ApifImport[[#This Row],[Bilans]:[Bilans]]&amp;T_ApifImport[[#Headers],[Kolona2]],T_ApifKolone[],4,0)),"",VLOOKUP(T_ApifImport[[#This Row],[AOP]:[AOP]],INDIRECT("Lookup_"&amp;T_ApifImport[[#This Row],[Bilans]:[Bilans]]),VLOOKUP(T_ApifImport[[#This Row],[Bilans]:[Bilans]]&amp;T_ApifImport[[#Headers],[Kolona2]],T_ApifKolone[],4,0),0))</f>
        <v>0</v>
      </c>
      <c r="G428" s="25">
        <f aca="1">IF(ISNA(VLOOKUP(T_ApifImport[[#This Row],[Bilans]:[Bilans]]&amp;T_ApifImport[[#Headers],[Kolona3]],T_ApifKolone[],4,0)),"",VLOOKUP(T_ApifImport[[#This Row],[AOP]:[AOP]],INDIRECT("Lookup_"&amp;T_ApifImport[[#This Row],[Bilans]:[Bilans]]),VLOOKUP(T_ApifImport[[#This Row],[Bilans]:[Bilans]]&amp;T_ApifImport[[#Headers],[Kolona3]],T_ApifKolone[],4,0),0))</f>
        <v>0</v>
      </c>
      <c r="H428" s="25">
        <f aca="1">IF(ISNA(VLOOKUP(T_ApifImport[[#This Row],[Bilans]:[Bilans]]&amp;T_ApifImport[[#Headers],[Kolona4]],T_ApifKolone[],4,0)),"",VLOOKUP(T_ApifImport[[#This Row],[AOP]:[AOP]],INDIRECT("Lookup_"&amp;T_ApifImport[[#This Row],[Bilans]:[Bilans]]),VLOOKUP(T_ApifImport[[#This Row],[Bilans]:[Bilans]]&amp;T_ApifImport[[#Headers],[Kolona4]],T_ApifKolone[],4,0),0))</f>
        <v>0</v>
      </c>
      <c r="I428" s="25">
        <f aca="1">IF(ISNA(VLOOKUP(T_ApifImport[[#This Row],[Bilans]:[Bilans]]&amp;T_ApifImport[[#Headers],[Kolona5]],T_ApifKolone[],4,0)),"",VLOOKUP(T_ApifImport[[#This Row],[AOP]:[AOP]],INDIRECT("Lookup_"&amp;T_ApifImport[[#This Row],[Bilans]:[Bilans]]),VLOOKUP(T_ApifImport[[#This Row],[Bilans]:[Bilans]]&amp;T_ApifImport[[#Headers],[Kolona5]],T_ApifKolone[],4,0),0))</f>
        <v>0</v>
      </c>
      <c r="J428" s="25">
        <f aca="1">IF(ISNA(VLOOKUP(T_ApifImport[[#This Row],[Bilans]:[Bilans]]&amp;T_ApifImport[[#Headers],[Kolona6]],T_ApifKolone[],4,0)),"",VLOOKUP(T_ApifImport[[#This Row],[AOP]:[AOP]],INDIRECT("Lookup_"&amp;T_ApifImport[[#This Row],[Bilans]:[Bilans]]),VLOOKUP(T_ApifImport[[#This Row],[Bilans]:[Bilans]]&amp;T_ApifImport[[#Headers],[Kolona6]],T_ApifKolone[],4,0),0))</f>
        <v>0</v>
      </c>
      <c r="K428" s="25">
        <f aca="1">IF(ISNA(VLOOKUP(T_ApifImport[[#This Row],[Bilans]:[Bilans]]&amp;T_ApifImport[[#Headers],[Kolona7]],T_ApifKolone[],4,0)),"",VLOOKUP(T_ApifImport[[#This Row],[AOP]:[AOP]],INDIRECT("Lookup_"&amp;T_ApifImport[[#This Row],[Bilans]:[Bilans]]),VLOOKUP(T_ApifImport[[#This Row],[Bilans]:[Bilans]]&amp;T_ApifImport[[#Headers],[Kolona7]],T_ApifKolone[],4,0),0))</f>
        <v>0</v>
      </c>
      <c r="L428" s="573">
        <f aca="1">IF(ISNA(VLOOKUP(T_ApifImport[[#This Row],[Bilans]:[Bilans]]&amp;T_ApifImport[[#Headers],[Kolona8]],T_ApifKolone[],4,0)),"",VLOOKUP(T_ApifImport[[#This Row],[AOP]:[AOP]],INDIRECT("Lookup_"&amp;T_ApifImport[[#This Row],[Bilans]:[Bilans]]),VLOOKUP(T_ApifImport[[#This Row],[Bilans]:[Bilans]]&amp;T_ApifImport[[#Headers],[Kolona8]],T_ApifKolone[],4,0),0))</f>
        <v>0</v>
      </c>
      <c r="M428" s="25">
        <f aca="1">IF(ISNA(VLOOKUP(T_ApifImport[[#This Row],[Bilans]:[Bilans]]&amp;T_ApifImport[[#Headers],[Kolona9]],T_ApifKolone[],4,0)),"",VLOOKUP(T_ApifImport[[#This Row],[AOP]:[AOP]],INDIRECT("Lookup_"&amp;T_ApifImport[[#This Row],[Bilans]:[Bilans]]),VLOOKUP(T_ApifImport[[#This Row],[Bilans]:[Bilans]]&amp;T_ApifImport[[#Headers],[Kolona9]],T_ApifKolone[],4,0),0))</f>
        <v>0</v>
      </c>
      <c r="N428"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28" s="22" t="n">
        <v>434</v>
      </c>
      <c r="P428" s="54" t="s">
        <v>333</v>
      </c>
    </row>
    <row r="429" spans="2:16">
      <c r="B429" s="52">
        <f>VLOOKUP(T_ApifImport[[#This Row],[Bilans]],T_Bilansi[],4,0)</f>
        <v>30</v>
      </c>
      <c r="C429" s="173">
        <f>VLOOKUP(T_ApifImport[[#This Row],[ld]],T_Aop[],4,0)</f>
        <v>913</v>
      </c>
      <c r="D42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29" s="573">
        <f aca="1">IF(ISNA(VLOOKUP(T_ApifImport[[#This Row],[Bilans]:[Bilans]]&amp;T_ApifImport[[#Headers],[Kolona2]],T_ApifKolone[],4,0)),"",VLOOKUP(T_ApifImport[[#This Row],[AOP]:[AOP]],INDIRECT("Lookup_"&amp;T_ApifImport[[#This Row],[Bilans]:[Bilans]]),VLOOKUP(T_ApifImport[[#This Row],[Bilans]:[Bilans]]&amp;T_ApifImport[[#Headers],[Kolona2]],T_ApifKolone[],4,0),0))</f>
        <v>0</v>
      </c>
      <c r="G429" s="573">
        <f aca="1">IF(ISNA(VLOOKUP(T_ApifImport[[#This Row],[Bilans]:[Bilans]]&amp;T_ApifImport[[#Headers],[Kolona3]],T_ApifKolone[],4,0)),"",VLOOKUP(T_ApifImport[[#This Row],[AOP]:[AOP]],INDIRECT("Lookup_"&amp;T_ApifImport[[#This Row],[Bilans]:[Bilans]]),VLOOKUP(T_ApifImport[[#This Row],[Bilans]:[Bilans]]&amp;T_ApifImport[[#Headers],[Kolona3]],T_ApifKolone[],4,0),0))</f>
        <v>0</v>
      </c>
      <c r="H429" s="573">
        <f aca="1">IF(ISNA(VLOOKUP(T_ApifImport[[#This Row],[Bilans]:[Bilans]]&amp;T_ApifImport[[#Headers],[Kolona4]],T_ApifKolone[],4,0)),"",VLOOKUP(T_ApifImport[[#This Row],[AOP]:[AOP]],INDIRECT("Lookup_"&amp;T_ApifImport[[#This Row],[Bilans]:[Bilans]]),VLOOKUP(T_ApifImport[[#This Row],[Bilans]:[Bilans]]&amp;T_ApifImport[[#Headers],[Kolona4]],T_ApifKolone[],4,0),0))</f>
        <v>251683</v>
      </c>
      <c r="I429" s="573">
        <f aca="1">IF(ISNA(VLOOKUP(T_ApifImport[[#This Row],[Bilans]:[Bilans]]&amp;T_ApifImport[[#Headers],[Kolona5]],T_ApifKolone[],4,0)),"",VLOOKUP(T_ApifImport[[#This Row],[AOP]:[AOP]],INDIRECT("Lookup_"&amp;T_ApifImport[[#This Row],[Bilans]:[Bilans]]),VLOOKUP(T_ApifImport[[#This Row],[Bilans]:[Bilans]]&amp;T_ApifImport[[#Headers],[Kolona5]],T_ApifKolone[],4,0),0))</f>
        <v>0</v>
      </c>
      <c r="J429" s="573">
        <f aca="1">IF(ISNA(VLOOKUP(T_ApifImport[[#This Row],[Bilans]:[Bilans]]&amp;T_ApifImport[[#Headers],[Kolona6]],T_ApifKolone[],4,0)),"",VLOOKUP(T_ApifImport[[#This Row],[AOP]:[AOP]],INDIRECT("Lookup_"&amp;T_ApifImport[[#This Row],[Bilans]:[Bilans]]),VLOOKUP(T_ApifImport[[#This Row],[Bilans]:[Bilans]]&amp;T_ApifImport[[#Headers],[Kolona6]],T_ApifKolone[],4,0),0))</f>
        <v>869</v>
      </c>
      <c r="K429" s="573">
        <f aca="1">IF(ISNA(VLOOKUP(T_ApifImport[[#This Row],[Bilans]:[Bilans]]&amp;T_ApifImport[[#Headers],[Kolona7]],T_ApifKolone[],4,0)),"",VLOOKUP(T_ApifImport[[#This Row],[AOP]:[AOP]],INDIRECT("Lookup_"&amp;T_ApifImport[[#This Row],[Bilans]:[Bilans]]),VLOOKUP(T_ApifImport[[#This Row],[Bilans]:[Bilans]]&amp;T_ApifImport[[#Headers],[Kolona7]],T_ApifKolone[],4,0),0))</f>
        <v>-5075621</v>
      </c>
      <c r="L429" s="573">
        <f aca="1">IF(ISNA(VLOOKUP(T_ApifImport[[#This Row],[Bilans]:[Bilans]]&amp;T_ApifImport[[#Headers],[Kolona8]],T_ApifKolone[],4,0)),"",VLOOKUP(T_ApifImport[[#This Row],[AOP]:[AOP]],INDIRECT("Lookup_"&amp;T_ApifImport[[#This Row],[Bilans]:[Bilans]]),VLOOKUP(T_ApifImport[[#This Row],[Bilans]:[Bilans]]&amp;T_ApifImport[[#Headers],[Kolona8]],T_ApifKolone[],4,0),0))</f>
        <v>1192108</v>
      </c>
      <c r="M429" s="573">
        <f aca="1">IF(ISNA(VLOOKUP(T_ApifImport[[#This Row],[Bilans]:[Bilans]]&amp;T_ApifImport[[#Headers],[Kolona9]],T_ApifKolone[],4,0)),"",VLOOKUP(T_ApifImport[[#This Row],[AOP]:[AOP]],INDIRECT("Lookup_"&amp;T_ApifImport[[#This Row],[Bilans]:[Bilans]]),VLOOKUP(T_ApifImport[[#This Row],[Bilans]:[Bilans]]&amp;T_ApifImport[[#Headers],[Kolona9]],T_ApifKolone[],4,0),0))</f>
        <v>0</v>
      </c>
      <c r="N429" s="573">
        <f aca="1">IF(ISNA(VLOOKUP(T_ApifImport[[#This Row],[Bilans]:[Bilans]]&amp;T_ApifImport[[#Headers],[Kolona10]],T_ApifKolone[],4,0)),"",VLOOKUP(T_ApifImport[[#This Row],[AOP]:[AOP]],INDIRECT("Lookup_"&amp;T_ApifImport[[#This Row],[Bilans]:[Bilans]]),VLOOKUP(T_ApifImport[[#This Row],[Bilans]:[Bilans]]&amp;T_ApifImport[[#Headers],[Kolona10]],T_ApifKolone[],4,0),0))</f>
        <v>1192108</v>
      </c>
      <c r="O429" s="22" t="n">
        <v>436</v>
      </c>
      <c r="P429" s="54" t="s">
        <v>333</v>
      </c>
    </row>
    <row r="430" spans="2:16">
      <c r="B430" s="52">
        <f>VLOOKUP(T_ApifImport[[#This Row],[Bilans]],T_Bilansi[],4,0)</f>
        <v>30</v>
      </c>
      <c r="C430" s="173">
        <f>VLOOKUP(T_ApifImport[[#This Row],[ld]],T_Aop[],4,0)</f>
        <v>914</v>
      </c>
      <c r="D43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0" s="25">
        <f aca="1">IF(ISNA(VLOOKUP(T_ApifImport[[#This Row],[Bilans]:[Bilans]]&amp;T_ApifImport[[#Headers],[Kolona2]],T_ApifKolone[],4,0)),"",VLOOKUP(T_ApifImport[[#This Row],[AOP]:[AOP]],INDIRECT("Lookup_"&amp;T_ApifImport[[#This Row],[Bilans]:[Bilans]]),VLOOKUP(T_ApifImport[[#This Row],[Bilans]:[Bilans]]&amp;T_ApifImport[[#Headers],[Kolona2]],T_ApifKolone[],4,0),0))</f>
        <v>0</v>
      </c>
      <c r="G430" s="25">
        <f aca="1">IF(ISNA(VLOOKUP(T_ApifImport[[#This Row],[Bilans]:[Bilans]]&amp;T_ApifImport[[#Headers],[Kolona3]],T_ApifKolone[],4,0)),"",VLOOKUP(T_ApifImport[[#This Row],[AOP]:[AOP]],INDIRECT("Lookup_"&amp;T_ApifImport[[#This Row],[Bilans]:[Bilans]]),VLOOKUP(T_ApifImport[[#This Row],[Bilans]:[Bilans]]&amp;T_ApifImport[[#Headers],[Kolona3]],T_ApifKolone[],4,0),0))</f>
        <v>0</v>
      </c>
      <c r="H430" s="25">
        <f aca="1">IF(ISNA(VLOOKUP(T_ApifImport[[#This Row],[Bilans]:[Bilans]]&amp;T_ApifImport[[#Headers],[Kolona4]],T_ApifKolone[],4,0)),"",VLOOKUP(T_ApifImport[[#This Row],[AOP]:[AOP]],INDIRECT("Lookup_"&amp;T_ApifImport[[#This Row],[Bilans]:[Bilans]]),VLOOKUP(T_ApifImport[[#This Row],[Bilans]:[Bilans]]&amp;T_ApifImport[[#Headers],[Kolona4]],T_ApifKolone[],4,0),0))</f>
        <v>0</v>
      </c>
      <c r="I430" s="25">
        <f aca="1">IF(ISNA(VLOOKUP(T_ApifImport[[#This Row],[Bilans]:[Bilans]]&amp;T_ApifImport[[#Headers],[Kolona5]],T_ApifKolone[],4,0)),"",VLOOKUP(T_ApifImport[[#This Row],[AOP]:[AOP]],INDIRECT("Lookup_"&amp;T_ApifImport[[#This Row],[Bilans]:[Bilans]]),VLOOKUP(T_ApifImport[[#This Row],[Bilans]:[Bilans]]&amp;T_ApifImport[[#Headers],[Kolona5]],T_ApifKolone[],4,0),0))</f>
        <v>0</v>
      </c>
      <c r="J430" s="25">
        <f aca="1">IF(ISNA(VLOOKUP(T_ApifImport[[#This Row],[Bilans]:[Bilans]]&amp;T_ApifImport[[#Headers],[Kolona6]],T_ApifKolone[],4,0)),"",VLOOKUP(T_ApifImport[[#This Row],[AOP]:[AOP]],INDIRECT("Lookup_"&amp;T_ApifImport[[#This Row],[Bilans]:[Bilans]]),VLOOKUP(T_ApifImport[[#This Row],[Bilans]:[Bilans]]&amp;T_ApifImport[[#Headers],[Kolona6]],T_ApifKolone[],4,0),0))</f>
        <v>0</v>
      </c>
      <c r="K430" s="25">
        <f aca="1">IF(ISNA(VLOOKUP(T_ApifImport[[#This Row],[Bilans]:[Bilans]]&amp;T_ApifImport[[#Headers],[Kolona7]],T_ApifKolone[],4,0)),"",VLOOKUP(T_ApifImport[[#This Row],[AOP]:[AOP]],INDIRECT("Lookup_"&amp;T_ApifImport[[#This Row],[Bilans]:[Bilans]]),VLOOKUP(T_ApifImport[[#This Row],[Bilans]:[Bilans]]&amp;T_ApifImport[[#Headers],[Kolona7]],T_ApifKolone[],4,0),0))</f>
        <v>0</v>
      </c>
      <c r="L430" s="573">
        <f aca="1">IF(ISNA(VLOOKUP(T_ApifImport[[#This Row],[Bilans]:[Bilans]]&amp;T_ApifImport[[#Headers],[Kolona8]],T_ApifKolone[],4,0)),"",VLOOKUP(T_ApifImport[[#This Row],[AOP]:[AOP]],INDIRECT("Lookup_"&amp;T_ApifImport[[#This Row],[Bilans]:[Bilans]]),VLOOKUP(T_ApifImport[[#This Row],[Bilans]:[Bilans]]&amp;T_ApifImport[[#Headers],[Kolona8]],T_ApifKolone[],4,0),0))</f>
        <v>0</v>
      </c>
      <c r="M430" s="25">
        <f aca="1">IF(ISNA(VLOOKUP(T_ApifImport[[#This Row],[Bilans]:[Bilans]]&amp;T_ApifImport[[#Headers],[Kolona9]],T_ApifKolone[],4,0)),"",VLOOKUP(T_ApifImport[[#This Row],[AOP]:[AOP]],INDIRECT("Lookup_"&amp;T_ApifImport[[#This Row],[Bilans]:[Bilans]]),VLOOKUP(T_ApifImport[[#This Row],[Bilans]:[Bilans]]&amp;T_ApifImport[[#Headers],[Kolona9]],T_ApifKolone[],4,0),0))</f>
        <v>0</v>
      </c>
      <c r="N430"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30" s="22" t="n">
        <v>438</v>
      </c>
      <c r="P430" s="54" t="s">
        <v>333</v>
      </c>
    </row>
    <row r="431" spans="2:16">
      <c r="B431" s="52">
        <f>VLOOKUP(T_ApifImport[[#This Row],[Bilans]],T_Bilansi[],4,0)</f>
        <v>30</v>
      </c>
      <c r="C431" s="173">
        <f>VLOOKUP(T_ApifImport[[#This Row],[ld]],T_Aop[],4,0)</f>
        <v>915</v>
      </c>
      <c r="D43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1" s="25">
        <f aca="1">IF(ISNA(VLOOKUP(T_ApifImport[[#This Row],[Bilans]:[Bilans]]&amp;T_ApifImport[[#Headers],[Kolona2]],T_ApifKolone[],4,0)),"",VLOOKUP(T_ApifImport[[#This Row],[AOP]:[AOP]],INDIRECT("Lookup_"&amp;T_ApifImport[[#This Row],[Bilans]:[Bilans]]),VLOOKUP(T_ApifImport[[#This Row],[Bilans]:[Bilans]]&amp;T_ApifImport[[#Headers],[Kolona2]],T_ApifKolone[],4,0),0))</f>
        <v>0</v>
      </c>
      <c r="G431" s="25">
        <f aca="1">IF(ISNA(VLOOKUP(T_ApifImport[[#This Row],[Bilans]:[Bilans]]&amp;T_ApifImport[[#Headers],[Kolona3]],T_ApifKolone[],4,0)),"",VLOOKUP(T_ApifImport[[#This Row],[AOP]:[AOP]],INDIRECT("Lookup_"&amp;T_ApifImport[[#This Row],[Bilans]:[Bilans]]),VLOOKUP(T_ApifImport[[#This Row],[Bilans]:[Bilans]]&amp;T_ApifImport[[#Headers],[Kolona3]],T_ApifKolone[],4,0),0))</f>
        <v>0</v>
      </c>
      <c r="H431" s="25">
        <f aca="1">IF(ISNA(VLOOKUP(T_ApifImport[[#This Row],[Bilans]:[Bilans]]&amp;T_ApifImport[[#Headers],[Kolona4]],T_ApifKolone[],4,0)),"",VLOOKUP(T_ApifImport[[#This Row],[AOP]:[AOP]],INDIRECT("Lookup_"&amp;T_ApifImport[[#This Row],[Bilans]:[Bilans]]),VLOOKUP(T_ApifImport[[#This Row],[Bilans]:[Bilans]]&amp;T_ApifImport[[#Headers],[Kolona4]],T_ApifKolone[],4,0),0))</f>
        <v>0</v>
      </c>
      <c r="I431" s="25">
        <f aca="1">IF(ISNA(VLOOKUP(T_ApifImport[[#This Row],[Bilans]:[Bilans]]&amp;T_ApifImport[[#Headers],[Kolona5]],T_ApifKolone[],4,0)),"",VLOOKUP(T_ApifImport[[#This Row],[AOP]:[AOP]],INDIRECT("Lookup_"&amp;T_ApifImport[[#This Row],[Bilans]:[Bilans]]),VLOOKUP(T_ApifImport[[#This Row],[Bilans]:[Bilans]]&amp;T_ApifImport[[#Headers],[Kolona5]],T_ApifKolone[],4,0),0))</f>
        <v>0</v>
      </c>
      <c r="J431" s="25">
        <f aca="1">IF(ISNA(VLOOKUP(T_ApifImport[[#This Row],[Bilans]:[Bilans]]&amp;T_ApifImport[[#Headers],[Kolona6]],T_ApifKolone[],4,0)),"",VLOOKUP(T_ApifImport[[#This Row],[AOP]:[AOP]],INDIRECT("Lookup_"&amp;T_ApifImport[[#This Row],[Bilans]:[Bilans]]),VLOOKUP(T_ApifImport[[#This Row],[Bilans]:[Bilans]]&amp;T_ApifImport[[#Headers],[Kolona6]],T_ApifKolone[],4,0),0))</f>
        <v>0</v>
      </c>
      <c r="K431" s="573">
        <f aca="1">IF(ISNA(VLOOKUP(T_ApifImport[[#This Row],[Bilans]:[Bilans]]&amp;T_ApifImport[[#Headers],[Kolona7]],T_ApifKolone[],4,0)),"",VLOOKUP(T_ApifImport[[#This Row],[AOP]:[AOP]],INDIRECT("Lookup_"&amp;T_ApifImport[[#This Row],[Bilans]:[Bilans]]),VLOOKUP(T_ApifImport[[#This Row],[Bilans]:[Bilans]]&amp;T_ApifImport[[#Headers],[Kolona7]],T_ApifKolone[],4,0),0))</f>
        <v>-2399</v>
      </c>
      <c r="L431" s="573">
        <f aca="1">IF(ISNA(VLOOKUP(T_ApifImport[[#This Row],[Bilans]:[Bilans]]&amp;T_ApifImport[[#Headers],[Kolona8]],T_ApifKolone[],4,0)),"",VLOOKUP(T_ApifImport[[#This Row],[AOP]:[AOP]],INDIRECT("Lookup_"&amp;T_ApifImport[[#This Row],[Bilans]:[Bilans]]),VLOOKUP(T_ApifImport[[#This Row],[Bilans]:[Bilans]]&amp;T_ApifImport[[#Headers],[Kolona8]],T_ApifKolone[],4,0),0))</f>
        <v>-2399</v>
      </c>
      <c r="M431" s="25">
        <f aca="1">IF(ISNA(VLOOKUP(T_ApifImport[[#This Row],[Bilans]:[Bilans]]&amp;T_ApifImport[[#Headers],[Kolona9]],T_ApifKolone[],4,0)),"",VLOOKUP(T_ApifImport[[#This Row],[AOP]:[AOP]],INDIRECT("Lookup_"&amp;T_ApifImport[[#This Row],[Bilans]:[Bilans]]),VLOOKUP(T_ApifImport[[#This Row],[Bilans]:[Bilans]]&amp;T_ApifImport[[#Headers],[Kolona9]],T_ApifKolone[],4,0),0))</f>
        <v>0</v>
      </c>
      <c r="N431" s="573">
        <f aca="1">IF(ISNA(VLOOKUP(T_ApifImport[[#This Row],[Bilans]:[Bilans]]&amp;T_ApifImport[[#Headers],[Kolona10]],T_ApifKolone[],4,0)),"",VLOOKUP(T_ApifImport[[#This Row],[AOP]:[AOP]],INDIRECT("Lookup_"&amp;T_ApifImport[[#This Row],[Bilans]:[Bilans]]),VLOOKUP(T_ApifImport[[#This Row],[Bilans]:[Bilans]]&amp;T_ApifImport[[#Headers],[Kolona10]],T_ApifKolone[],4,0),0))</f>
        <v>-2399</v>
      </c>
      <c r="O431" s="22" t="n">
        <v>439</v>
      </c>
      <c r="P431" s="54" t="s">
        <v>333</v>
      </c>
    </row>
    <row r="432" spans="2:16">
      <c r="B432" s="52">
        <f>VLOOKUP(T_ApifImport[[#This Row],[Bilans]],T_Bilansi[],4,0)</f>
        <v>30</v>
      </c>
      <c r="C432" s="173">
        <f>VLOOKUP(T_ApifImport[[#This Row],[ld]],T_Aop[],4,0)</f>
        <v>916</v>
      </c>
      <c r="D43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32" s="573">
        <f aca="1">IF(ISNA(VLOOKUP(T_ApifImport[[#This Row],[Bilans]:[Bilans]]&amp;T_ApifImport[[#Headers],[Kolona2]],T_ApifKolone[],4,0)),"",VLOOKUP(T_ApifImport[[#This Row],[AOP]:[AOP]],INDIRECT("Lookup_"&amp;T_ApifImport[[#This Row],[Bilans]:[Bilans]]),VLOOKUP(T_ApifImport[[#This Row],[Bilans]:[Bilans]]&amp;T_ApifImport[[#Headers],[Kolona2]],T_ApifKolone[],4,0),0))</f>
        <v>0</v>
      </c>
      <c r="G432" s="573">
        <f aca="1">IF(ISNA(VLOOKUP(T_ApifImport[[#This Row],[Bilans]:[Bilans]]&amp;T_ApifImport[[#Headers],[Kolona3]],T_ApifKolone[],4,0)),"",VLOOKUP(T_ApifImport[[#This Row],[AOP]:[AOP]],INDIRECT("Lookup_"&amp;T_ApifImport[[#This Row],[Bilans]:[Bilans]]),VLOOKUP(T_ApifImport[[#This Row],[Bilans]:[Bilans]]&amp;T_ApifImport[[#Headers],[Kolona3]],T_ApifKolone[],4,0),0))</f>
        <v>0</v>
      </c>
      <c r="H432" s="573">
        <f aca="1">IF(ISNA(VLOOKUP(T_ApifImport[[#This Row],[Bilans]:[Bilans]]&amp;T_ApifImport[[#Headers],[Kolona4]],T_ApifKolone[],4,0)),"",VLOOKUP(T_ApifImport[[#This Row],[AOP]:[AOP]],INDIRECT("Lookup_"&amp;T_ApifImport[[#This Row],[Bilans]:[Bilans]]),VLOOKUP(T_ApifImport[[#This Row],[Bilans]:[Bilans]]&amp;T_ApifImport[[#Headers],[Kolona4]],T_ApifKolone[],4,0),0))</f>
        <v>251683</v>
      </c>
      <c r="I432" s="573">
        <f aca="1">IF(ISNA(VLOOKUP(T_ApifImport[[#This Row],[Bilans]:[Bilans]]&amp;T_ApifImport[[#Headers],[Kolona5]],T_ApifKolone[],4,0)),"",VLOOKUP(T_ApifImport[[#This Row],[AOP]:[AOP]],INDIRECT("Lookup_"&amp;T_ApifImport[[#This Row],[Bilans]:[Bilans]]),VLOOKUP(T_ApifImport[[#This Row],[Bilans]:[Bilans]]&amp;T_ApifImport[[#Headers],[Kolona5]],T_ApifKolone[],4,0),0))</f>
        <v>0</v>
      </c>
      <c r="J432" s="573">
        <f aca="1">IF(ISNA(VLOOKUP(T_ApifImport[[#This Row],[Bilans]:[Bilans]]&amp;T_ApifImport[[#Headers],[Kolona6]],T_ApifKolone[],4,0)),"",VLOOKUP(T_ApifImport[[#This Row],[AOP]:[AOP]],INDIRECT("Lookup_"&amp;T_ApifImport[[#This Row],[Bilans]:[Bilans]]),VLOOKUP(T_ApifImport[[#This Row],[Bilans]:[Bilans]]&amp;T_ApifImport[[#Headers],[Kolona6]],T_ApifKolone[],4,0),0))</f>
        <v>869</v>
      </c>
      <c r="K432" s="573">
        <f aca="1">IF(ISNA(VLOOKUP(T_ApifImport[[#This Row],[Bilans]:[Bilans]]&amp;T_ApifImport[[#Headers],[Kolona7]],T_ApifKolone[],4,0)),"",VLOOKUP(T_ApifImport[[#This Row],[AOP]:[AOP]],INDIRECT("Lookup_"&amp;T_ApifImport[[#This Row],[Bilans]:[Bilans]]),VLOOKUP(T_ApifImport[[#This Row],[Bilans]:[Bilans]]&amp;T_ApifImport[[#Headers],[Kolona7]],T_ApifKolone[],4,0),0))</f>
        <v>-5078020</v>
      </c>
      <c r="L432" s="573">
        <f aca="1">IF(ISNA(VLOOKUP(T_ApifImport[[#This Row],[Bilans]:[Bilans]]&amp;T_ApifImport[[#Headers],[Kolona8]],T_ApifKolone[],4,0)),"",VLOOKUP(T_ApifImport[[#This Row],[AOP]:[AOP]],INDIRECT("Lookup_"&amp;T_ApifImport[[#This Row],[Bilans]:[Bilans]]),VLOOKUP(T_ApifImport[[#This Row],[Bilans]:[Bilans]]&amp;T_ApifImport[[#Headers],[Kolona8]],T_ApifKolone[],4,0),0))</f>
        <v>1189709</v>
      </c>
      <c r="M432" s="573">
        <f aca="1">IF(ISNA(VLOOKUP(T_ApifImport[[#This Row],[Bilans]:[Bilans]]&amp;T_ApifImport[[#Headers],[Kolona9]],T_ApifKolone[],4,0)),"",VLOOKUP(T_ApifImport[[#This Row],[AOP]:[AOP]],INDIRECT("Lookup_"&amp;T_ApifImport[[#This Row],[Bilans]:[Bilans]]),VLOOKUP(T_ApifImport[[#This Row],[Bilans]:[Bilans]]&amp;T_ApifImport[[#Headers],[Kolona9]],T_ApifKolone[],4,0),0))</f>
        <v>0</v>
      </c>
      <c r="N432" s="573">
        <f aca="1">IF(ISNA(VLOOKUP(T_ApifImport[[#This Row],[Bilans]:[Bilans]]&amp;T_ApifImport[[#Headers],[Kolona10]],T_ApifKolone[],4,0)),"",VLOOKUP(T_ApifImport[[#This Row],[AOP]:[AOP]],INDIRECT("Lookup_"&amp;T_ApifImport[[#This Row],[Bilans]:[Bilans]]),VLOOKUP(T_ApifImport[[#This Row],[Bilans]:[Bilans]]&amp;T_ApifImport[[#Headers],[Kolona10]],T_ApifKolone[],4,0),0))</f>
        <v>1189709</v>
      </c>
      <c r="O432" s="22" t="n">
        <v>440</v>
      </c>
      <c r="P432" s="54" t="s">
        <v>333</v>
      </c>
    </row>
    <row r="433" spans="2:16">
      <c r="B433" s="52">
        <f>VLOOKUP(T_ApifImport[[#This Row],[Bilans]],T_Bilansi[],4,0)</f>
        <v>30</v>
      </c>
      <c r="C433" s="173">
        <f>VLOOKUP(T_ApifImport[[#This Row],[ld]],T_Aop[],4,0)</f>
        <v>917</v>
      </c>
      <c r="D43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3" s="25">
        <f aca="1">IF(ISNA(VLOOKUP(T_ApifImport[[#This Row],[Bilans]:[Bilans]]&amp;T_ApifImport[[#Headers],[Kolona2]],T_ApifKolone[],4,0)),"",VLOOKUP(T_ApifImport[[#This Row],[AOP]:[AOP]],INDIRECT("Lookup_"&amp;T_ApifImport[[#This Row],[Bilans]:[Bilans]]),VLOOKUP(T_ApifImport[[#This Row],[Bilans]:[Bilans]]&amp;T_ApifImport[[#Headers],[Kolona2]],T_ApifKolone[],4,0),0))</f>
        <v>0</v>
      </c>
      <c r="G433" s="25">
        <f aca="1">IF(ISNA(VLOOKUP(T_ApifImport[[#This Row],[Bilans]:[Bilans]]&amp;T_ApifImport[[#Headers],[Kolona3]],T_ApifKolone[],4,0)),"",VLOOKUP(T_ApifImport[[#This Row],[AOP]:[AOP]],INDIRECT("Lookup_"&amp;T_ApifImport[[#This Row],[Bilans]:[Bilans]]),VLOOKUP(T_ApifImport[[#This Row],[Bilans]:[Bilans]]&amp;T_ApifImport[[#Headers],[Kolona3]],T_ApifKolone[],4,0),0))</f>
        <v>0</v>
      </c>
      <c r="H433" s="25">
        <f aca="1">IF(ISNA(VLOOKUP(T_ApifImport[[#This Row],[Bilans]:[Bilans]]&amp;T_ApifImport[[#Headers],[Kolona4]],T_ApifKolone[],4,0)),"",VLOOKUP(T_ApifImport[[#This Row],[AOP]:[AOP]],INDIRECT("Lookup_"&amp;T_ApifImport[[#This Row],[Bilans]:[Bilans]]),VLOOKUP(T_ApifImport[[#This Row],[Bilans]:[Bilans]]&amp;T_ApifImport[[#Headers],[Kolona4]],T_ApifKolone[],4,0),0))</f>
        <v>0</v>
      </c>
      <c r="I433" s="25">
        <f aca="1">IF(ISNA(VLOOKUP(T_ApifImport[[#This Row],[Bilans]:[Bilans]]&amp;T_ApifImport[[#Headers],[Kolona5]],T_ApifKolone[],4,0)),"",VLOOKUP(T_ApifImport[[#This Row],[AOP]:[AOP]],INDIRECT("Lookup_"&amp;T_ApifImport[[#This Row],[Bilans]:[Bilans]]),VLOOKUP(T_ApifImport[[#This Row],[Bilans]:[Bilans]]&amp;T_ApifImport[[#Headers],[Kolona5]],T_ApifKolone[],4,0),0))</f>
        <v>0</v>
      </c>
      <c r="J433" s="25">
        <f aca="1">IF(ISNA(VLOOKUP(T_ApifImport[[#This Row],[Bilans]:[Bilans]]&amp;T_ApifImport[[#Headers],[Kolona6]],T_ApifKolone[],4,0)),"",VLOOKUP(T_ApifImport[[#This Row],[AOP]:[AOP]],INDIRECT("Lookup_"&amp;T_ApifImport[[#This Row],[Bilans]:[Bilans]]),VLOOKUP(T_ApifImport[[#This Row],[Bilans]:[Bilans]]&amp;T_ApifImport[[#Headers],[Kolona6]],T_ApifKolone[],4,0),0))</f>
        <v>0</v>
      </c>
      <c r="K433" s="577">
        <f aca="1">IF(ISNA(VLOOKUP(T_ApifImport[[#This Row],[Bilans]:[Bilans]]&amp;T_ApifImport[[#Headers],[Kolona7]],T_ApifKolone[],4,0)),"",VLOOKUP(T_ApifImport[[#This Row],[AOP]:[AOP]],INDIRECT("Lookup_"&amp;T_ApifImport[[#This Row],[Bilans]:[Bilans]]),VLOOKUP(T_ApifImport[[#This Row],[Bilans]:[Bilans]]&amp;T_ApifImport[[#Headers],[Kolona7]],T_ApifKolone[],4,0),0))</f>
        <v>805</v>
      </c>
      <c r="L433" s="573">
        <f aca="1">IF(ISNA(VLOOKUP(T_ApifImport[[#This Row],[Bilans]:[Bilans]]&amp;T_ApifImport[[#Headers],[Kolona8]],T_ApifKolone[],4,0)),"",VLOOKUP(T_ApifImport[[#This Row],[AOP]:[AOP]],INDIRECT("Lookup_"&amp;T_ApifImport[[#This Row],[Bilans]:[Bilans]]),VLOOKUP(T_ApifImport[[#This Row],[Bilans]:[Bilans]]&amp;T_ApifImport[[#Headers],[Kolona8]],T_ApifKolone[],4,0),0))</f>
        <v>805</v>
      </c>
      <c r="M433" s="25">
        <f aca="1">IF(ISNA(VLOOKUP(T_ApifImport[[#This Row],[Bilans]:[Bilans]]&amp;T_ApifImport[[#Headers],[Kolona9]],T_ApifKolone[],4,0)),"",VLOOKUP(T_ApifImport[[#This Row],[AOP]:[AOP]],INDIRECT("Lookup_"&amp;T_ApifImport[[#This Row],[Bilans]:[Bilans]]),VLOOKUP(T_ApifImport[[#This Row],[Bilans]:[Bilans]]&amp;T_ApifImport[[#Headers],[Kolona9]],T_ApifKolone[],4,0),0))</f>
        <v>0</v>
      </c>
      <c r="N433" s="573">
        <f aca="1">IF(ISNA(VLOOKUP(T_ApifImport[[#This Row],[Bilans]:[Bilans]]&amp;T_ApifImport[[#Headers],[Kolona10]],T_ApifKolone[],4,0)),"",VLOOKUP(T_ApifImport[[#This Row],[AOP]:[AOP]],INDIRECT("Lookup_"&amp;T_ApifImport[[#This Row],[Bilans]:[Bilans]]),VLOOKUP(T_ApifImport[[#This Row],[Bilans]:[Bilans]]&amp;T_ApifImport[[#Headers],[Kolona10]],T_ApifKolone[],4,0),0))</f>
        <v>805</v>
      </c>
      <c r="O433" s="22" t="n">
        <v>442</v>
      </c>
      <c r="P433" s="54" t="s">
        <v>333</v>
      </c>
    </row>
    <row r="434" spans="2:16">
      <c r="B434" s="52">
        <f>VLOOKUP(T_ApifImport[[#This Row],[Bilans]],T_Bilansi[],4,0)</f>
        <v>30</v>
      </c>
      <c r="C434" s="173">
        <f>VLOOKUP(T_ApifImport[[#This Row],[ld]],T_Aop[],4,0)</f>
        <v>918</v>
      </c>
      <c r="D43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4" s="25">
        <f aca="1">IF(ISNA(VLOOKUP(T_ApifImport[[#This Row],[Bilans]:[Bilans]]&amp;T_ApifImport[[#Headers],[Kolona2]],T_ApifKolone[],4,0)),"",VLOOKUP(T_ApifImport[[#This Row],[AOP]:[AOP]],INDIRECT("Lookup_"&amp;T_ApifImport[[#This Row],[Bilans]:[Bilans]]),VLOOKUP(T_ApifImport[[#This Row],[Bilans]:[Bilans]]&amp;T_ApifImport[[#Headers],[Kolona2]],T_ApifKolone[],4,0),0))</f>
        <v>0</v>
      </c>
      <c r="G434" s="25">
        <f aca="1">IF(ISNA(VLOOKUP(T_ApifImport[[#This Row],[Bilans]:[Bilans]]&amp;T_ApifImport[[#Headers],[Kolona3]],T_ApifKolone[],4,0)),"",VLOOKUP(T_ApifImport[[#This Row],[AOP]:[AOP]],INDIRECT("Lookup_"&amp;T_ApifImport[[#This Row],[Bilans]:[Bilans]]),VLOOKUP(T_ApifImport[[#This Row],[Bilans]:[Bilans]]&amp;T_ApifImport[[#Headers],[Kolona3]],T_ApifKolone[],4,0),0))</f>
        <v>0</v>
      </c>
      <c r="H434" s="577">
        <f aca="1">IF(ISNA(VLOOKUP(T_ApifImport[[#This Row],[Bilans]:[Bilans]]&amp;T_ApifImport[[#Headers],[Kolona4]],T_ApifKolone[],4,0)),"",VLOOKUP(T_ApifImport[[#This Row],[AOP]:[AOP]],INDIRECT("Lookup_"&amp;T_ApifImport[[#This Row],[Bilans]:[Bilans]]),VLOOKUP(T_ApifImport[[#This Row],[Bilans]:[Bilans]]&amp;T_ApifImport[[#Headers],[Kolona4]],T_ApifKolone[],4,0),0))</f>
        <v>-2736</v>
      </c>
      <c r="I434" s="25">
        <f aca="1">IF(ISNA(VLOOKUP(T_ApifImport[[#This Row],[Bilans]:[Bilans]]&amp;T_ApifImport[[#Headers],[Kolona5]],T_ApifKolone[],4,0)),"",VLOOKUP(T_ApifImport[[#This Row],[AOP]:[AOP]],INDIRECT("Lookup_"&amp;T_ApifImport[[#This Row],[Bilans]:[Bilans]]),VLOOKUP(T_ApifImport[[#This Row],[Bilans]:[Bilans]]&amp;T_ApifImport[[#Headers],[Kolona5]],T_ApifKolone[],4,0),0))</f>
        <v>0</v>
      </c>
      <c r="J434" s="25">
        <f aca="1">IF(ISNA(VLOOKUP(T_ApifImport[[#This Row],[Bilans]:[Bilans]]&amp;T_ApifImport[[#Headers],[Kolona6]],T_ApifKolone[],4,0)),"",VLOOKUP(T_ApifImport[[#This Row],[AOP]:[AOP]],INDIRECT("Lookup_"&amp;T_ApifImport[[#This Row],[Bilans]:[Bilans]]),VLOOKUP(T_ApifImport[[#This Row],[Bilans]:[Bilans]]&amp;T_ApifImport[[#Headers],[Kolona6]],T_ApifKolone[],4,0),0))</f>
        <v>0</v>
      </c>
      <c r="K434" s="577">
        <f aca="1">IF(ISNA(VLOOKUP(T_ApifImport[[#This Row],[Bilans]:[Bilans]]&amp;T_ApifImport[[#Headers],[Kolona7]],T_ApifKolone[],4,0)),"",VLOOKUP(T_ApifImport[[#This Row],[AOP]:[AOP]],INDIRECT("Lookup_"&amp;T_ApifImport[[#This Row],[Bilans]:[Bilans]]),VLOOKUP(T_ApifImport[[#This Row],[Bilans]:[Bilans]]&amp;T_ApifImport[[#Headers],[Kolona7]],T_ApifKolone[],4,0),0))</f>
        <v>2736</v>
      </c>
      <c r="L434" s="573">
        <f aca="1">IF(ISNA(VLOOKUP(T_ApifImport[[#This Row],[Bilans]:[Bilans]]&amp;T_ApifImport[[#Headers],[Kolona8]],T_ApifKolone[],4,0)),"",VLOOKUP(T_ApifImport[[#This Row],[AOP]:[AOP]],INDIRECT("Lookup_"&amp;T_ApifImport[[#This Row],[Bilans]:[Bilans]]),VLOOKUP(T_ApifImport[[#This Row],[Bilans]:[Bilans]]&amp;T_ApifImport[[#Headers],[Kolona8]],T_ApifKolone[],4,0),0))</f>
        <v>0</v>
      </c>
      <c r="M434" s="25">
        <f aca="1">IF(ISNA(VLOOKUP(T_ApifImport[[#This Row],[Bilans]:[Bilans]]&amp;T_ApifImport[[#Headers],[Kolona9]],T_ApifKolone[],4,0)),"",VLOOKUP(T_ApifImport[[#This Row],[AOP]:[AOP]],INDIRECT("Lookup_"&amp;T_ApifImport[[#This Row],[Bilans]:[Bilans]]),VLOOKUP(T_ApifImport[[#This Row],[Bilans]:[Bilans]]&amp;T_ApifImport[[#Headers],[Kolona9]],T_ApifKolone[],4,0),0))</f>
        <v>0</v>
      </c>
      <c r="N434"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34" s="22" t="n">
        <v>443</v>
      </c>
      <c r="P434" s="54" t="s">
        <v>333</v>
      </c>
    </row>
    <row r="435" spans="2:16">
      <c r="B435" s="52">
        <f>VLOOKUP(T_ApifImport[[#This Row],[Bilans]],T_Bilansi[],4,0)</f>
        <v>30</v>
      </c>
      <c r="C435" s="173">
        <f>VLOOKUP(T_ApifImport[[#This Row],[ld]],T_Aop[],4,0)</f>
        <v>919</v>
      </c>
      <c r="D43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5" s="573">
        <f aca="1">IF(ISNA(VLOOKUP(T_ApifImport[[#This Row],[Bilans]:[Bilans]]&amp;T_ApifImport[[#Headers],[Kolona2]],T_ApifKolone[],4,0)),"",VLOOKUP(T_ApifImport[[#This Row],[AOP]:[AOP]],INDIRECT("Lookup_"&amp;T_ApifImport[[#This Row],[Bilans]:[Bilans]]),VLOOKUP(T_ApifImport[[#This Row],[Bilans]:[Bilans]]&amp;T_ApifImport[[#Headers],[Kolona2]],T_ApifKolone[],4,0),0))</f>
        <v>0</v>
      </c>
      <c r="G435" s="573">
        <f aca="1">IF(ISNA(VLOOKUP(T_ApifImport[[#This Row],[Bilans]:[Bilans]]&amp;T_ApifImport[[#Headers],[Kolona3]],T_ApifKolone[],4,0)),"",VLOOKUP(T_ApifImport[[#This Row],[AOP]:[AOP]],INDIRECT("Lookup_"&amp;T_ApifImport[[#This Row],[Bilans]:[Bilans]]),VLOOKUP(T_ApifImport[[#This Row],[Bilans]:[Bilans]]&amp;T_ApifImport[[#Headers],[Kolona3]],T_ApifKolone[],4,0),0))</f>
        <v>0</v>
      </c>
      <c r="H435" s="573">
        <f aca="1">IF(ISNA(VLOOKUP(T_ApifImport[[#This Row],[Bilans]:[Bilans]]&amp;T_ApifImport[[#Headers],[Kolona4]],T_ApifKolone[],4,0)),"",VLOOKUP(T_ApifImport[[#This Row],[AOP]:[AOP]],INDIRECT("Lookup_"&amp;T_ApifImport[[#This Row],[Bilans]:[Bilans]]),VLOOKUP(T_ApifImport[[#This Row],[Bilans]:[Bilans]]&amp;T_ApifImport[[#Headers],[Kolona4]],T_ApifKolone[],4,0),0))</f>
        <v>-2736</v>
      </c>
      <c r="I435" s="573">
        <f aca="1">IF(ISNA(VLOOKUP(T_ApifImport[[#This Row],[Bilans]:[Bilans]]&amp;T_ApifImport[[#Headers],[Kolona5]],T_ApifKolone[],4,0)),"",VLOOKUP(T_ApifImport[[#This Row],[AOP]:[AOP]],INDIRECT("Lookup_"&amp;T_ApifImport[[#This Row],[Bilans]:[Bilans]]),VLOOKUP(T_ApifImport[[#This Row],[Bilans]:[Bilans]]&amp;T_ApifImport[[#Headers],[Kolona5]],T_ApifKolone[],4,0),0))</f>
        <v>0</v>
      </c>
      <c r="J435" s="573">
        <f aca="1">IF(ISNA(VLOOKUP(T_ApifImport[[#This Row],[Bilans]:[Bilans]]&amp;T_ApifImport[[#Headers],[Kolona6]],T_ApifKolone[],4,0)),"",VLOOKUP(T_ApifImport[[#This Row],[AOP]:[AOP]],INDIRECT("Lookup_"&amp;T_ApifImport[[#This Row],[Bilans]:[Bilans]]),VLOOKUP(T_ApifImport[[#This Row],[Bilans]:[Bilans]]&amp;T_ApifImport[[#Headers],[Kolona6]],T_ApifKolone[],4,0),0))</f>
        <v>0</v>
      </c>
      <c r="K435" s="573">
        <f aca="1">IF(ISNA(VLOOKUP(T_ApifImport[[#This Row],[Bilans]:[Bilans]]&amp;T_ApifImport[[#Headers],[Kolona7]],T_ApifKolone[],4,0)),"",VLOOKUP(T_ApifImport[[#This Row],[AOP]:[AOP]],INDIRECT("Lookup_"&amp;T_ApifImport[[#This Row],[Bilans]:[Bilans]]),VLOOKUP(T_ApifImport[[#This Row],[Bilans]:[Bilans]]&amp;T_ApifImport[[#Headers],[Kolona7]],T_ApifKolone[],4,0),0))</f>
        <v>3541</v>
      </c>
      <c r="L435" s="573">
        <f aca="1">IF(ISNA(VLOOKUP(T_ApifImport[[#This Row],[Bilans]:[Bilans]]&amp;T_ApifImport[[#Headers],[Kolona8]],T_ApifKolone[],4,0)),"",VLOOKUP(T_ApifImport[[#This Row],[AOP]:[AOP]],INDIRECT("Lookup_"&amp;T_ApifImport[[#This Row],[Bilans]:[Bilans]]),VLOOKUP(T_ApifImport[[#This Row],[Bilans]:[Bilans]]&amp;T_ApifImport[[#Headers],[Kolona8]],T_ApifKolone[],4,0),0))</f>
        <v>805</v>
      </c>
      <c r="M435" s="573">
        <f aca="1">IF(ISNA(VLOOKUP(T_ApifImport[[#This Row],[Bilans]:[Bilans]]&amp;T_ApifImport[[#Headers],[Kolona9]],T_ApifKolone[],4,0)),"",VLOOKUP(T_ApifImport[[#This Row],[AOP]:[AOP]],INDIRECT("Lookup_"&amp;T_ApifImport[[#This Row],[Bilans]:[Bilans]]),VLOOKUP(T_ApifImport[[#This Row],[Bilans]:[Bilans]]&amp;T_ApifImport[[#Headers],[Kolona9]],T_ApifKolone[],4,0),0))</f>
        <v>0</v>
      </c>
      <c r="N435" s="573">
        <f aca="1">IF(ISNA(VLOOKUP(T_ApifImport[[#This Row],[Bilans]:[Bilans]]&amp;T_ApifImport[[#Headers],[Kolona10]],T_ApifKolone[],4,0)),"",VLOOKUP(T_ApifImport[[#This Row],[AOP]:[AOP]],INDIRECT("Lookup_"&amp;T_ApifImport[[#This Row],[Bilans]:[Bilans]]),VLOOKUP(T_ApifImport[[#This Row],[Bilans]:[Bilans]]&amp;T_ApifImport[[#Headers],[Kolona10]],T_ApifKolone[],4,0),0))</f>
        <v>805</v>
      </c>
      <c r="O435" s="22" t="n">
        <v>444</v>
      </c>
      <c r="P435" s="54" t="s">
        <v>333</v>
      </c>
    </row>
    <row r="436" spans="2:16">
      <c r="B436" s="52">
        <f>VLOOKUP(T_ApifImport[[#This Row],[Bilans]],T_Bilansi[],4,0)</f>
        <v>30</v>
      </c>
      <c r="C436" s="173">
        <f>VLOOKUP(T_ApifImport[[#This Row],[ld]],T_Aop[],4,0)</f>
        <v>920</v>
      </c>
      <c r="D43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6" s="25">
        <f aca="1">IF(ISNA(VLOOKUP(T_ApifImport[[#This Row],[Bilans]:[Bilans]]&amp;T_ApifImport[[#Headers],[Kolona2]],T_ApifKolone[],4,0)),"",VLOOKUP(T_ApifImport[[#This Row],[AOP]:[AOP]],INDIRECT("Lookup_"&amp;T_ApifImport[[#This Row],[Bilans]:[Bilans]]),VLOOKUP(T_ApifImport[[#This Row],[Bilans]:[Bilans]]&amp;T_ApifImport[[#Headers],[Kolona2]],T_ApifKolone[],4,0),0))</f>
        <v>0</v>
      </c>
      <c r="G436" s="25">
        <f aca="1">IF(ISNA(VLOOKUP(T_ApifImport[[#This Row],[Bilans]:[Bilans]]&amp;T_ApifImport[[#Headers],[Kolona3]],T_ApifKolone[],4,0)),"",VLOOKUP(T_ApifImport[[#This Row],[AOP]:[AOP]],INDIRECT("Lookup_"&amp;T_ApifImport[[#This Row],[Bilans]:[Bilans]]),VLOOKUP(T_ApifImport[[#This Row],[Bilans]:[Bilans]]&amp;T_ApifImport[[#Headers],[Kolona3]],T_ApifKolone[],4,0),0))</f>
        <v>0</v>
      </c>
      <c r="H436" s="25">
        <f aca="1">IF(ISNA(VLOOKUP(T_ApifImport[[#This Row],[Bilans]:[Bilans]]&amp;T_ApifImport[[#Headers],[Kolona4]],T_ApifKolone[],4,0)),"",VLOOKUP(T_ApifImport[[#This Row],[AOP]:[AOP]],INDIRECT("Lookup_"&amp;T_ApifImport[[#This Row],[Bilans]:[Bilans]]),VLOOKUP(T_ApifImport[[#This Row],[Bilans]:[Bilans]]&amp;T_ApifImport[[#Headers],[Kolona4]],T_ApifKolone[],4,0),0))</f>
        <v>0</v>
      </c>
      <c r="I436" s="25">
        <f aca="1">IF(ISNA(VLOOKUP(T_ApifImport[[#This Row],[Bilans]:[Bilans]]&amp;T_ApifImport[[#Headers],[Kolona5]],T_ApifKolone[],4,0)),"",VLOOKUP(T_ApifImport[[#This Row],[AOP]:[AOP]],INDIRECT("Lookup_"&amp;T_ApifImport[[#This Row],[Bilans]:[Bilans]]),VLOOKUP(T_ApifImport[[#This Row],[Bilans]:[Bilans]]&amp;T_ApifImport[[#Headers],[Kolona5]],T_ApifKolone[],4,0),0))</f>
        <v>0</v>
      </c>
      <c r="J436" s="25">
        <f aca="1">IF(ISNA(VLOOKUP(T_ApifImport[[#This Row],[Bilans]:[Bilans]]&amp;T_ApifImport[[#Headers],[Kolona6]],T_ApifKolone[],4,0)),"",VLOOKUP(T_ApifImport[[#This Row],[AOP]:[AOP]],INDIRECT("Lookup_"&amp;T_ApifImport[[#This Row],[Bilans]:[Bilans]]),VLOOKUP(T_ApifImport[[#This Row],[Bilans]:[Bilans]]&amp;T_ApifImport[[#Headers],[Kolona6]],T_ApifKolone[],4,0),0))</f>
        <v>0</v>
      </c>
      <c r="K436" s="25">
        <f aca="1">IF(ISNA(VLOOKUP(T_ApifImport[[#This Row],[Bilans]:[Bilans]]&amp;T_ApifImport[[#Headers],[Kolona7]],T_ApifKolone[],4,0)),"",VLOOKUP(T_ApifImport[[#This Row],[AOP]:[AOP]],INDIRECT("Lookup_"&amp;T_ApifImport[[#This Row],[Bilans]:[Bilans]]),VLOOKUP(T_ApifImport[[#This Row],[Bilans]:[Bilans]]&amp;T_ApifImport[[#Headers],[Kolona7]],T_ApifKolone[],4,0),0))</f>
        <v>0</v>
      </c>
      <c r="L436" s="573">
        <f aca="1">IF(ISNA(VLOOKUP(T_ApifImport[[#This Row],[Bilans]:[Bilans]]&amp;T_ApifImport[[#Headers],[Kolona8]],T_ApifKolone[],4,0)),"",VLOOKUP(T_ApifImport[[#This Row],[AOP]:[AOP]],INDIRECT("Lookup_"&amp;T_ApifImport[[#This Row],[Bilans]:[Bilans]]),VLOOKUP(T_ApifImport[[#This Row],[Bilans]:[Bilans]]&amp;T_ApifImport[[#Headers],[Kolona8]],T_ApifKolone[],4,0),0))</f>
        <v>0</v>
      </c>
      <c r="M436" s="25">
        <f aca="1">IF(ISNA(VLOOKUP(T_ApifImport[[#This Row],[Bilans]:[Bilans]]&amp;T_ApifImport[[#Headers],[Kolona9]],T_ApifKolone[],4,0)),"",VLOOKUP(T_ApifImport[[#This Row],[AOP]:[AOP]],INDIRECT("Lookup_"&amp;T_ApifImport[[#This Row],[Bilans]:[Bilans]]),VLOOKUP(T_ApifImport[[#This Row],[Bilans]:[Bilans]]&amp;T_ApifImport[[#Headers],[Kolona9]],T_ApifKolone[],4,0),0))</f>
        <v>0</v>
      </c>
      <c r="N436"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36" s="22" t="n">
        <v>446</v>
      </c>
      <c r="P436" s="54" t="s">
        <v>333</v>
      </c>
    </row>
    <row r="437" spans="2:16">
      <c r="B437" s="52">
        <f>VLOOKUP(T_ApifImport[[#This Row],[Bilans]],T_Bilansi[],4,0)</f>
        <v>30</v>
      </c>
      <c r="C437" s="173">
        <f>VLOOKUP(T_ApifImport[[#This Row],[ld]],T_Aop[],4,0)</f>
        <v>921</v>
      </c>
      <c r="D43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7" s="25">
        <f aca="1">IF(ISNA(VLOOKUP(T_ApifImport[[#This Row],[Bilans]:[Bilans]]&amp;T_ApifImport[[#Headers],[Kolona2]],T_ApifKolone[],4,0)),"",VLOOKUP(T_ApifImport[[#This Row],[AOP]:[AOP]],INDIRECT("Lookup_"&amp;T_ApifImport[[#This Row],[Bilans]:[Bilans]]),VLOOKUP(T_ApifImport[[#This Row],[Bilans]:[Bilans]]&amp;T_ApifImport[[#Headers],[Kolona2]],T_ApifKolone[],4,0),0))</f>
        <v>0</v>
      </c>
      <c r="G437" s="25">
        <f aca="1">IF(ISNA(VLOOKUP(T_ApifImport[[#This Row],[Bilans]:[Bilans]]&amp;T_ApifImport[[#Headers],[Kolona3]],T_ApifKolone[],4,0)),"",VLOOKUP(T_ApifImport[[#This Row],[AOP]:[AOP]],INDIRECT("Lookup_"&amp;T_ApifImport[[#This Row],[Bilans]:[Bilans]]),VLOOKUP(T_ApifImport[[#This Row],[Bilans]:[Bilans]]&amp;T_ApifImport[[#Headers],[Kolona3]],T_ApifKolone[],4,0),0))</f>
        <v>0</v>
      </c>
      <c r="H437" s="25">
        <f aca="1">IF(ISNA(VLOOKUP(T_ApifImport[[#This Row],[Bilans]:[Bilans]]&amp;T_ApifImport[[#Headers],[Kolona4]],T_ApifKolone[],4,0)),"",VLOOKUP(T_ApifImport[[#This Row],[AOP]:[AOP]],INDIRECT("Lookup_"&amp;T_ApifImport[[#This Row],[Bilans]:[Bilans]]),VLOOKUP(T_ApifImport[[#This Row],[Bilans]:[Bilans]]&amp;T_ApifImport[[#Headers],[Kolona4]],T_ApifKolone[],4,0),0))</f>
        <v>0</v>
      </c>
      <c r="I437" s="25">
        <f aca="1">IF(ISNA(VLOOKUP(T_ApifImport[[#This Row],[Bilans]:[Bilans]]&amp;T_ApifImport[[#Headers],[Kolona5]],T_ApifKolone[],4,0)),"",VLOOKUP(T_ApifImport[[#This Row],[AOP]:[AOP]],INDIRECT("Lookup_"&amp;T_ApifImport[[#This Row],[Bilans]:[Bilans]]),VLOOKUP(T_ApifImport[[#This Row],[Bilans]:[Bilans]]&amp;T_ApifImport[[#Headers],[Kolona5]],T_ApifKolone[],4,0),0))</f>
        <v>0</v>
      </c>
      <c r="J437" s="25">
        <f aca="1">IF(ISNA(VLOOKUP(T_ApifImport[[#This Row],[Bilans]:[Bilans]]&amp;T_ApifImport[[#Headers],[Kolona6]],T_ApifKolone[],4,0)),"",VLOOKUP(T_ApifImport[[#This Row],[AOP]:[AOP]],INDIRECT("Lookup_"&amp;T_ApifImport[[#This Row],[Bilans]:[Bilans]]),VLOOKUP(T_ApifImport[[#This Row],[Bilans]:[Bilans]]&amp;T_ApifImport[[#Headers],[Kolona6]],T_ApifKolone[],4,0),0))</f>
        <v>0</v>
      </c>
      <c r="K437" s="25">
        <f aca="1">IF(ISNA(VLOOKUP(T_ApifImport[[#This Row],[Bilans]:[Bilans]]&amp;T_ApifImport[[#Headers],[Kolona7]],T_ApifKolone[],4,0)),"",VLOOKUP(T_ApifImport[[#This Row],[AOP]:[AOP]],INDIRECT("Lookup_"&amp;T_ApifImport[[#This Row],[Bilans]:[Bilans]]),VLOOKUP(T_ApifImport[[#This Row],[Bilans]:[Bilans]]&amp;T_ApifImport[[#Headers],[Kolona7]],T_ApifKolone[],4,0),0))</f>
        <v>0</v>
      </c>
      <c r="L437" s="573">
        <f aca="1">IF(ISNA(VLOOKUP(T_ApifImport[[#This Row],[Bilans]:[Bilans]]&amp;T_ApifImport[[#Headers],[Kolona8]],T_ApifKolone[],4,0)),"",VLOOKUP(T_ApifImport[[#This Row],[AOP]:[AOP]],INDIRECT("Lookup_"&amp;T_ApifImport[[#This Row],[Bilans]:[Bilans]]),VLOOKUP(T_ApifImport[[#This Row],[Bilans]:[Bilans]]&amp;T_ApifImport[[#Headers],[Kolona8]],T_ApifKolone[],4,0),0))</f>
        <v>0</v>
      </c>
      <c r="M437" s="25">
        <f aca="1">IF(ISNA(VLOOKUP(T_ApifImport[[#This Row],[Bilans]:[Bilans]]&amp;T_ApifImport[[#Headers],[Kolona9]],T_ApifKolone[],4,0)),"",VLOOKUP(T_ApifImport[[#This Row],[AOP]:[AOP]],INDIRECT("Lookup_"&amp;T_ApifImport[[#This Row],[Bilans]:[Bilans]]),VLOOKUP(T_ApifImport[[#This Row],[Bilans]:[Bilans]]&amp;T_ApifImport[[#Headers],[Kolona9]],T_ApifKolone[],4,0),0))</f>
        <v>0</v>
      </c>
      <c r="N437"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37" s="22" t="n">
        <v>447</v>
      </c>
      <c r="P437" s="54" t="s">
        <v>333</v>
      </c>
    </row>
    <row r="438" spans="2:16">
      <c r="B438" s="52">
        <f>VLOOKUP(T_ApifImport[[#This Row],[Bilans]],T_Bilansi[],4,0)</f>
        <v>30</v>
      </c>
      <c r="C438" s="173">
        <f>VLOOKUP(T_ApifImport[[#This Row],[ld]],T_Aop[],4,0)</f>
        <v>922</v>
      </c>
      <c r="D43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8" s="25">
        <f aca="1">IF(ISNA(VLOOKUP(T_ApifImport[[#This Row],[Bilans]:[Bilans]]&amp;T_ApifImport[[#Headers],[Kolona2]],T_ApifKolone[],4,0)),"",VLOOKUP(T_ApifImport[[#This Row],[AOP]:[AOP]],INDIRECT("Lookup_"&amp;T_ApifImport[[#This Row],[Bilans]:[Bilans]]),VLOOKUP(T_ApifImport[[#This Row],[Bilans]:[Bilans]]&amp;T_ApifImport[[#Headers],[Kolona2]],T_ApifKolone[],4,0),0))</f>
        <v>0</v>
      </c>
      <c r="G438" s="25">
        <f aca="1">IF(ISNA(VLOOKUP(T_ApifImport[[#This Row],[Bilans]:[Bilans]]&amp;T_ApifImport[[#Headers],[Kolona3]],T_ApifKolone[],4,0)),"",VLOOKUP(T_ApifImport[[#This Row],[AOP]:[AOP]],INDIRECT("Lookup_"&amp;T_ApifImport[[#This Row],[Bilans]:[Bilans]]),VLOOKUP(T_ApifImport[[#This Row],[Bilans]:[Bilans]]&amp;T_ApifImport[[#Headers],[Kolona3]],T_ApifKolone[],4,0),0))</f>
        <v>0</v>
      </c>
      <c r="H438" s="25">
        <f aca="1">IF(ISNA(VLOOKUP(T_ApifImport[[#This Row],[Bilans]:[Bilans]]&amp;T_ApifImport[[#Headers],[Kolona4]],T_ApifKolone[],4,0)),"",VLOOKUP(T_ApifImport[[#This Row],[AOP]:[AOP]],INDIRECT("Lookup_"&amp;T_ApifImport[[#This Row],[Bilans]:[Bilans]]),VLOOKUP(T_ApifImport[[#This Row],[Bilans]:[Bilans]]&amp;T_ApifImport[[#Headers],[Kolona4]],T_ApifKolone[],4,0),0))</f>
        <v>0</v>
      </c>
      <c r="I438" s="25">
        <f aca="1">IF(ISNA(VLOOKUP(T_ApifImport[[#This Row],[Bilans]:[Bilans]]&amp;T_ApifImport[[#Headers],[Kolona5]],T_ApifKolone[],4,0)),"",VLOOKUP(T_ApifImport[[#This Row],[AOP]:[AOP]],INDIRECT("Lookup_"&amp;T_ApifImport[[#This Row],[Bilans]:[Bilans]]),VLOOKUP(T_ApifImport[[#This Row],[Bilans]:[Bilans]]&amp;T_ApifImport[[#Headers],[Kolona5]],T_ApifKolone[],4,0),0))</f>
        <v>0</v>
      </c>
      <c r="J438" s="25">
        <f aca="1">IF(ISNA(VLOOKUP(T_ApifImport[[#This Row],[Bilans]:[Bilans]]&amp;T_ApifImport[[#Headers],[Kolona6]],T_ApifKolone[],4,0)),"",VLOOKUP(T_ApifImport[[#This Row],[AOP]:[AOP]],INDIRECT("Lookup_"&amp;T_ApifImport[[#This Row],[Bilans]:[Bilans]]),VLOOKUP(T_ApifImport[[#This Row],[Bilans]:[Bilans]]&amp;T_ApifImport[[#Headers],[Kolona6]],T_ApifKolone[],4,0),0))</f>
        <v>0</v>
      </c>
      <c r="K438" s="25">
        <f aca="1">IF(ISNA(VLOOKUP(T_ApifImport[[#This Row],[Bilans]:[Bilans]]&amp;T_ApifImport[[#Headers],[Kolona7]],T_ApifKolone[],4,0)),"",VLOOKUP(T_ApifImport[[#This Row],[AOP]:[AOP]],INDIRECT("Lookup_"&amp;T_ApifImport[[#This Row],[Bilans]:[Bilans]]),VLOOKUP(T_ApifImport[[#This Row],[Bilans]:[Bilans]]&amp;T_ApifImport[[#Headers],[Kolona7]],T_ApifKolone[],4,0),0))</f>
        <v>0</v>
      </c>
      <c r="L438" s="573">
        <f aca="1">IF(ISNA(VLOOKUP(T_ApifImport[[#This Row],[Bilans]:[Bilans]]&amp;T_ApifImport[[#Headers],[Kolona8]],T_ApifKolone[],4,0)),"",VLOOKUP(T_ApifImport[[#This Row],[AOP]:[AOP]],INDIRECT("Lookup_"&amp;T_ApifImport[[#This Row],[Bilans]:[Bilans]]),VLOOKUP(T_ApifImport[[#This Row],[Bilans]:[Bilans]]&amp;T_ApifImport[[#Headers],[Kolona8]],T_ApifKolone[],4,0),0))</f>
        <v>0</v>
      </c>
      <c r="M438" s="25">
        <f aca="1">IF(ISNA(VLOOKUP(T_ApifImport[[#This Row],[Bilans]:[Bilans]]&amp;T_ApifImport[[#Headers],[Kolona9]],T_ApifKolone[],4,0)),"",VLOOKUP(T_ApifImport[[#This Row],[AOP]:[AOP]],INDIRECT("Lookup_"&amp;T_ApifImport[[#This Row],[Bilans]:[Bilans]]),VLOOKUP(T_ApifImport[[#This Row],[Bilans]:[Bilans]]&amp;T_ApifImport[[#Headers],[Kolona9]],T_ApifKolone[],4,0),0))</f>
        <v>0</v>
      </c>
      <c r="N438"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38" s="22" t="n">
        <v>448</v>
      </c>
      <c r="P438" s="54" t="s">
        <v>333</v>
      </c>
    </row>
    <row r="439" spans="2:16">
      <c r="B439" s="52">
        <f>VLOOKUP(T_ApifImport[[#This Row],[Bilans]],T_Bilansi[],4,0)</f>
        <v>30</v>
      </c>
      <c r="C439" s="173">
        <f>VLOOKUP(T_ApifImport[[#This Row],[ld]],T_Aop[],4,0)</f>
        <v>923</v>
      </c>
      <c r="D43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9" s="25">
        <f aca="1">IF(ISNA(VLOOKUP(T_ApifImport[[#This Row],[Bilans]:[Bilans]]&amp;T_ApifImport[[#Headers],[Kolona2]],T_ApifKolone[],4,0)),"",VLOOKUP(T_ApifImport[[#This Row],[AOP]:[AOP]],INDIRECT("Lookup_"&amp;T_ApifImport[[#This Row],[Bilans]:[Bilans]]),VLOOKUP(T_ApifImport[[#This Row],[Bilans]:[Bilans]]&amp;T_ApifImport[[#Headers],[Kolona2]],T_ApifKolone[],4,0),0))</f>
        <v>0</v>
      </c>
      <c r="G439" s="25">
        <f aca="1">IF(ISNA(VLOOKUP(T_ApifImport[[#This Row],[Bilans]:[Bilans]]&amp;T_ApifImport[[#Headers],[Kolona3]],T_ApifKolone[],4,0)),"",VLOOKUP(T_ApifImport[[#This Row],[AOP]:[AOP]],INDIRECT("Lookup_"&amp;T_ApifImport[[#This Row],[Bilans]:[Bilans]]),VLOOKUP(T_ApifImport[[#This Row],[Bilans]:[Bilans]]&amp;T_ApifImport[[#Headers],[Kolona3]],T_ApifKolone[],4,0),0))</f>
        <v>0</v>
      </c>
      <c r="H439" s="25">
        <f aca="1">IF(ISNA(VLOOKUP(T_ApifImport[[#This Row],[Bilans]:[Bilans]]&amp;T_ApifImport[[#Headers],[Kolona4]],T_ApifKolone[],4,0)),"",VLOOKUP(T_ApifImport[[#This Row],[AOP]:[AOP]],INDIRECT("Lookup_"&amp;T_ApifImport[[#This Row],[Bilans]:[Bilans]]),VLOOKUP(T_ApifImport[[#This Row],[Bilans]:[Bilans]]&amp;T_ApifImport[[#Headers],[Kolona4]],T_ApifKolone[],4,0),0))</f>
        <v>0</v>
      </c>
      <c r="I439" s="25">
        <f aca="1">IF(ISNA(VLOOKUP(T_ApifImport[[#This Row],[Bilans]:[Bilans]]&amp;T_ApifImport[[#Headers],[Kolona5]],T_ApifKolone[],4,0)),"",VLOOKUP(T_ApifImport[[#This Row],[AOP]:[AOP]],INDIRECT("Lookup_"&amp;T_ApifImport[[#This Row],[Bilans]:[Bilans]]),VLOOKUP(T_ApifImport[[#This Row],[Bilans]:[Bilans]]&amp;T_ApifImport[[#Headers],[Kolona5]],T_ApifKolone[],4,0),0))</f>
        <v>0</v>
      </c>
      <c r="J439" s="25">
        <f aca="1">IF(ISNA(VLOOKUP(T_ApifImport[[#This Row],[Bilans]:[Bilans]]&amp;T_ApifImport[[#Headers],[Kolona6]],T_ApifKolone[],4,0)),"",VLOOKUP(T_ApifImport[[#This Row],[AOP]:[AOP]],INDIRECT("Lookup_"&amp;T_ApifImport[[#This Row],[Bilans]:[Bilans]]),VLOOKUP(T_ApifImport[[#This Row],[Bilans]:[Bilans]]&amp;T_ApifImport[[#Headers],[Kolona6]],T_ApifKolone[],4,0),0))</f>
        <v>0</v>
      </c>
      <c r="K439" s="25">
        <f aca="1">IF(ISNA(VLOOKUP(T_ApifImport[[#This Row],[Bilans]:[Bilans]]&amp;T_ApifImport[[#Headers],[Kolona7]],T_ApifKolone[],4,0)),"",VLOOKUP(T_ApifImport[[#This Row],[AOP]:[AOP]],INDIRECT("Lookup_"&amp;T_ApifImport[[#This Row],[Bilans]:[Bilans]]),VLOOKUP(T_ApifImport[[#This Row],[Bilans]:[Bilans]]&amp;T_ApifImport[[#Headers],[Kolona7]],T_ApifKolone[],4,0),0))</f>
        <v>0</v>
      </c>
      <c r="L439" s="573">
        <f aca="1">IF(ISNA(VLOOKUP(T_ApifImport[[#This Row],[Bilans]:[Bilans]]&amp;T_ApifImport[[#Headers],[Kolona8]],T_ApifKolone[],4,0)),"",VLOOKUP(T_ApifImport[[#This Row],[AOP]:[AOP]],INDIRECT("Lookup_"&amp;T_ApifImport[[#This Row],[Bilans]:[Bilans]]),VLOOKUP(T_ApifImport[[#This Row],[Bilans]:[Bilans]]&amp;T_ApifImport[[#Headers],[Kolona8]],T_ApifKolone[],4,0),0))</f>
        <v>0</v>
      </c>
      <c r="M439" s="25">
        <f aca="1">IF(ISNA(VLOOKUP(T_ApifImport[[#This Row],[Bilans]:[Bilans]]&amp;T_ApifImport[[#Headers],[Kolona9]],T_ApifKolone[],4,0)),"",VLOOKUP(T_ApifImport[[#This Row],[AOP]:[AOP]],INDIRECT("Lookup_"&amp;T_ApifImport[[#This Row],[Bilans]:[Bilans]]),VLOOKUP(T_ApifImport[[#This Row],[Bilans]:[Bilans]]&amp;T_ApifImport[[#Headers],[Kolona9]],T_ApifKolone[],4,0),0))</f>
        <v>0</v>
      </c>
      <c r="N439"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39" s="22" t="n">
        <v>449</v>
      </c>
      <c r="P439" s="54" t="s">
        <v>333</v>
      </c>
    </row>
    <row r="440" spans="2:16">
      <c r="B440" s="52">
        <f>VLOOKUP(T_ApifImport[[#This Row],[Bilans]],T_Bilansi[],4,0)</f>
        <v>30</v>
      </c>
      <c r="C440" s="173">
        <f>VLOOKUP(T_ApifImport[[#This Row],[ld]],T_Aop[],4,0)</f>
        <v>924</v>
      </c>
      <c r="D44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4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40" s="25">
        <f aca="1">IF(ISNA(VLOOKUP(T_ApifImport[[#This Row],[Bilans]:[Bilans]]&amp;T_ApifImport[[#Headers],[Kolona2]],T_ApifKolone[],4,0)),"",VLOOKUP(T_ApifImport[[#This Row],[AOP]:[AOP]],INDIRECT("Lookup_"&amp;T_ApifImport[[#This Row],[Bilans]:[Bilans]]),VLOOKUP(T_ApifImport[[#This Row],[Bilans]:[Bilans]]&amp;T_ApifImport[[#Headers],[Kolona2]],T_ApifKolone[],4,0),0))</f>
        <v>0</v>
      </c>
      <c r="G440" s="25">
        <f aca="1">IF(ISNA(VLOOKUP(T_ApifImport[[#This Row],[Bilans]:[Bilans]]&amp;T_ApifImport[[#Headers],[Kolona3]],T_ApifKolone[],4,0)),"",VLOOKUP(T_ApifImport[[#This Row],[AOP]:[AOP]],INDIRECT("Lookup_"&amp;T_ApifImport[[#This Row],[Bilans]:[Bilans]]),VLOOKUP(T_ApifImport[[#This Row],[Bilans]:[Bilans]]&amp;T_ApifImport[[#Headers],[Kolona3]],T_ApifKolone[],4,0),0))</f>
        <v>0</v>
      </c>
      <c r="H440" s="25">
        <f aca="1">IF(ISNA(VLOOKUP(T_ApifImport[[#This Row],[Bilans]:[Bilans]]&amp;T_ApifImport[[#Headers],[Kolona4]],T_ApifKolone[],4,0)),"",VLOOKUP(T_ApifImport[[#This Row],[AOP]:[AOP]],INDIRECT("Lookup_"&amp;T_ApifImport[[#This Row],[Bilans]:[Bilans]]),VLOOKUP(T_ApifImport[[#This Row],[Bilans]:[Bilans]]&amp;T_ApifImport[[#Headers],[Kolona4]],T_ApifKolone[],4,0),0))</f>
        <v>0</v>
      </c>
      <c r="I440" s="25">
        <f aca="1">IF(ISNA(VLOOKUP(T_ApifImport[[#This Row],[Bilans]:[Bilans]]&amp;T_ApifImport[[#Headers],[Kolona5]],T_ApifKolone[],4,0)),"",VLOOKUP(T_ApifImport[[#This Row],[AOP]:[AOP]],INDIRECT("Lookup_"&amp;T_ApifImport[[#This Row],[Bilans]:[Bilans]]),VLOOKUP(T_ApifImport[[#This Row],[Bilans]:[Bilans]]&amp;T_ApifImport[[#Headers],[Kolona5]],T_ApifKolone[],4,0),0))</f>
        <v>0</v>
      </c>
      <c r="J440" s="25">
        <f aca="1">IF(ISNA(VLOOKUP(T_ApifImport[[#This Row],[Bilans]:[Bilans]]&amp;T_ApifImport[[#Headers],[Kolona6]],T_ApifKolone[],4,0)),"",VLOOKUP(T_ApifImport[[#This Row],[AOP]:[AOP]],INDIRECT("Lookup_"&amp;T_ApifImport[[#This Row],[Bilans]:[Bilans]]),VLOOKUP(T_ApifImport[[#This Row],[Bilans]:[Bilans]]&amp;T_ApifImport[[#Headers],[Kolona6]],T_ApifKolone[],4,0),0))</f>
        <v>0</v>
      </c>
      <c r="K440" s="25">
        <f aca="1">IF(ISNA(VLOOKUP(T_ApifImport[[#This Row],[Bilans]:[Bilans]]&amp;T_ApifImport[[#Headers],[Kolona7]],T_ApifKolone[],4,0)),"",VLOOKUP(T_ApifImport[[#This Row],[AOP]:[AOP]],INDIRECT("Lookup_"&amp;T_ApifImport[[#This Row],[Bilans]:[Bilans]]),VLOOKUP(T_ApifImport[[#This Row],[Bilans]:[Bilans]]&amp;T_ApifImport[[#Headers],[Kolona7]],T_ApifKolone[],4,0),0))</f>
        <v>0</v>
      </c>
      <c r="L440" s="573">
        <f aca="1">IF(ISNA(VLOOKUP(T_ApifImport[[#This Row],[Bilans]:[Bilans]]&amp;T_ApifImport[[#Headers],[Kolona8]],T_ApifKolone[],4,0)),"",VLOOKUP(T_ApifImport[[#This Row],[AOP]:[AOP]],INDIRECT("Lookup_"&amp;T_ApifImport[[#This Row],[Bilans]:[Bilans]]),VLOOKUP(T_ApifImport[[#This Row],[Bilans]:[Bilans]]&amp;T_ApifImport[[#Headers],[Kolona8]],T_ApifKolone[],4,0),0))</f>
        <v>0</v>
      </c>
      <c r="M440" s="25">
        <f aca="1">IF(ISNA(VLOOKUP(T_ApifImport[[#This Row],[Bilans]:[Bilans]]&amp;T_ApifImport[[#Headers],[Kolona9]],T_ApifKolone[],4,0)),"",VLOOKUP(T_ApifImport[[#This Row],[AOP]:[AOP]],INDIRECT("Lookup_"&amp;T_ApifImport[[#This Row],[Bilans]:[Bilans]]),VLOOKUP(T_ApifImport[[#This Row],[Bilans]:[Bilans]]&amp;T_ApifImport[[#Headers],[Kolona9]],T_ApifKolone[],4,0),0))</f>
        <v>0</v>
      </c>
      <c r="N440" s="573">
        <f aca="1">IF(ISNA(VLOOKUP(T_ApifImport[[#This Row],[Bilans]:[Bilans]]&amp;T_ApifImport[[#Headers],[Kolona10]],T_ApifKolone[],4,0)),"",VLOOKUP(T_ApifImport[[#This Row],[AOP]:[AOP]],INDIRECT("Lookup_"&amp;T_ApifImport[[#This Row],[Bilans]:[Bilans]]),VLOOKUP(T_ApifImport[[#This Row],[Bilans]:[Bilans]]&amp;T_ApifImport[[#Headers],[Kolona10]],T_ApifKolone[],4,0),0))</f>
        <v>0</v>
      </c>
      <c r="O440" s="22" t="n">
        <v>450</v>
      </c>
      <c r="P440" s="54" t="s">
        <v>333</v>
      </c>
    </row>
    <row r="441" spans="2:16">
      <c r="B441" s="372">
        <f>VLOOKUP(T_ApifImport[[#This Row],[Bilans]],T_Bilansi[],4,0)</f>
        <v>30</v>
      </c>
      <c r="C441" s="198">
        <f>VLOOKUP(T_ApifImport[[#This Row],[ld]],T_Aop[],4,0)</f>
        <v>925</v>
      </c>
      <c r="D44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41" s="199"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41" s="574">
        <f aca="1">IF(ISNA(VLOOKUP(T_ApifImport[[#This Row],[Bilans]:[Bilans]]&amp;T_ApifImport[[#Headers],[Kolona2]],T_ApifKolone[],4,0)),"",VLOOKUP(T_ApifImport[[#This Row],[AOP]:[AOP]],INDIRECT("Lookup_"&amp;T_ApifImport[[#This Row],[Bilans]:[Bilans]]),VLOOKUP(T_ApifImport[[#This Row],[Bilans]:[Bilans]]&amp;T_ApifImport[[#Headers],[Kolona2]],T_ApifKolone[],4,0),0))</f>
        <v>0</v>
      </c>
      <c r="G441" s="574">
        <f aca="1">IF(ISNA(VLOOKUP(T_ApifImport[[#This Row],[Bilans]:[Bilans]]&amp;T_ApifImport[[#Headers],[Kolona3]],T_ApifKolone[],4,0)),"",VLOOKUP(T_ApifImport[[#This Row],[AOP]:[AOP]],INDIRECT("Lookup_"&amp;T_ApifImport[[#This Row],[Bilans]:[Bilans]]),VLOOKUP(T_ApifImport[[#This Row],[Bilans]:[Bilans]]&amp;T_ApifImport[[#Headers],[Kolona3]],T_ApifKolone[],4,0),0))</f>
        <v>0</v>
      </c>
      <c r="H441" s="574">
        <f aca="1">IF(ISNA(VLOOKUP(T_ApifImport[[#This Row],[Bilans]:[Bilans]]&amp;T_ApifImport[[#Headers],[Kolona4]],T_ApifKolone[],4,0)),"",VLOOKUP(T_ApifImport[[#This Row],[AOP]:[AOP]],INDIRECT("Lookup_"&amp;T_ApifImport[[#This Row],[Bilans]:[Bilans]]),VLOOKUP(T_ApifImport[[#This Row],[Bilans]:[Bilans]]&amp;T_ApifImport[[#Headers],[Kolona4]],T_ApifKolone[],4,0),0))</f>
        <v>248947</v>
      </c>
      <c r="I441" s="574">
        <f aca="1">IF(ISNA(VLOOKUP(T_ApifImport[[#This Row],[Bilans]:[Bilans]]&amp;T_ApifImport[[#Headers],[Kolona5]],T_ApifKolone[],4,0)),"",VLOOKUP(T_ApifImport[[#This Row],[AOP]:[AOP]],INDIRECT("Lookup_"&amp;T_ApifImport[[#This Row],[Bilans]:[Bilans]]),VLOOKUP(T_ApifImport[[#This Row],[Bilans]:[Bilans]]&amp;T_ApifImport[[#Headers],[Kolona5]],T_ApifKolone[],4,0),0))</f>
        <v>0</v>
      </c>
      <c r="J441" s="574">
        <f aca="1">IF(ISNA(VLOOKUP(T_ApifImport[[#This Row],[Bilans]:[Bilans]]&amp;T_ApifImport[[#Headers],[Kolona6]],T_ApifKolone[],4,0)),"",VLOOKUP(T_ApifImport[[#This Row],[AOP]:[AOP]],INDIRECT("Lookup_"&amp;T_ApifImport[[#This Row],[Bilans]:[Bilans]]),VLOOKUP(T_ApifImport[[#This Row],[Bilans]:[Bilans]]&amp;T_ApifImport[[#Headers],[Kolona6]],T_ApifKolone[],4,0),0))</f>
        <v>869</v>
      </c>
      <c r="K441" s="574">
        <f aca="1">IF(ISNA(VLOOKUP(T_ApifImport[[#This Row],[Bilans]:[Bilans]]&amp;T_ApifImport[[#Headers],[Kolona7]],T_ApifKolone[],4,0)),"",VLOOKUP(T_ApifImport[[#This Row],[AOP]:[AOP]],INDIRECT("Lookup_"&amp;T_ApifImport[[#This Row],[Bilans]:[Bilans]]),VLOOKUP(T_ApifImport[[#This Row],[Bilans]:[Bilans]]&amp;T_ApifImport[[#Headers],[Kolona7]],T_ApifKolone[],4,0),0))</f>
        <v>-5074479</v>
      </c>
      <c r="L441" s="574">
        <f aca="1">IF(ISNA(VLOOKUP(T_ApifImport[[#This Row],[Bilans]:[Bilans]]&amp;T_ApifImport[[#Headers],[Kolona8]],T_ApifKolone[],4,0)),"",VLOOKUP(T_ApifImport[[#This Row],[AOP]:[AOP]],INDIRECT("Lookup_"&amp;T_ApifImport[[#This Row],[Bilans]:[Bilans]]),VLOOKUP(T_ApifImport[[#This Row],[Bilans]:[Bilans]]&amp;T_ApifImport[[#Headers],[Kolona8]],T_ApifKolone[],4,0),0))</f>
        <v>1190514</v>
      </c>
      <c r="M441" s="574">
        <f aca="1">IF(ISNA(VLOOKUP(T_ApifImport[[#This Row],[Bilans]:[Bilans]]&amp;T_ApifImport[[#Headers],[Kolona9]],T_ApifKolone[],4,0)),"",VLOOKUP(T_ApifImport[[#This Row],[AOP]:[AOP]],INDIRECT("Lookup_"&amp;T_ApifImport[[#This Row],[Bilans]:[Bilans]]),VLOOKUP(T_ApifImport[[#This Row],[Bilans]:[Bilans]]&amp;T_ApifImport[[#Headers],[Kolona9]],T_ApifKolone[],4,0),0))</f>
        <v>0</v>
      </c>
      <c r="N441" s="574">
        <f aca="1">IF(ISNA(VLOOKUP(T_ApifImport[[#This Row],[Bilans]:[Bilans]]&amp;T_ApifImport[[#Headers],[Kolona10]],T_ApifKolone[],4,0)),"",VLOOKUP(T_ApifImport[[#This Row],[AOP]:[AOP]],INDIRECT("Lookup_"&amp;T_ApifImport[[#This Row],[Bilans]:[Bilans]]),VLOOKUP(T_ApifImport[[#This Row],[Bilans]:[Bilans]]&amp;T_ApifImport[[#Headers],[Kolona10]],T_ApifKolone[],4,0),0))</f>
        <v>1190514</v>
      </c>
      <c r="O441" s="22" t="n">
        <v>452</v>
      </c>
      <c r="P441" s="54" t="s">
        <v>333</v>
      </c>
    </row>
  </sheetData>
  <sheetProtection algorithmName="SHA-512" hashValue="Ujliqya0soqd7kAyvpHoXgpJIw7IsYR0DN0TGEah2fJm1DAq0cZksKItC9wgcvfl0Q2wOrDluCdX7xFjbjmaag==" saltValue="rJd+4+cdzP2lXGIXeklTAQ==" spinCount="100000" sheet="1" autoFilter="0"/>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112" priority="1">
      <formula>$B2&lt;&gt;$B1</formula>
    </cfRule>
  </conditionalFormatting>
  <conditionalFormatting sqref="B2:B441 E397:I409">
    <cfRule type="expression" dxfId="113" priority="2">
      <formula>#REF!&lt;&gt;$B2</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114" priority="3">
      <formula>#REF!&lt;&gt;$B136</formula>
    </cfRule>
  </conditionalFormatting>
  <conditionalFormatting sqref="C278:C279 E278:P279 E280:E281">
    <cfRule type="expression" dxfId="115" priority="4">
      <formula>#REF!&lt;&gt;$B278</formula>
    </cfRule>
  </conditionalFormatting>
  <conditionalFormatting sqref="J416:P416">
    <cfRule type="expression" dxfId="116" priority="5">
      <formula>#REF!&lt;&gt;$B416</formula>
    </cfRule>
  </conditionalFormatting>
  <conditionalFormatting sqref="D136 J136:N136 P136">
    <cfRule type="expression" dxfId="117" priority="6">
      <formula>#REF!&lt;&gt;$B136</formula>
    </cfRule>
  </conditionalFormatting>
  <printOptions>
    <extLst>
      <ext uri="smNativeData">
        <pm:pageFlags xmlns:pm="smNativeData" id="1714042646" printRowHead="0" printColHead="0" printHeadLine="0" printFootLine="0" autoHeightHeader="0" autoHeightFooter="0" fitToPageBoth="0"/>
      </ext>
    </extLst>
  </printOptions>
  <pageMargins left="0.700000" right="0.700000" top="0.750000" bottom="0.750000" header="0.300000" footer="0.300000"/>
  <pageSetup paperSize="9" fitToWidth="0" fitToHeight="1" orientation="landscape"/>
  <header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drawing r:id="rId1"/>
  <legacyDrawing r:id="rId3"/>
  <tableParts count="1">
    <tablePart r:id="rId4"/>
  </tableParts>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B2B2B2"/>
  </sheetPr>
  <dimension ref="A1:AF126"/>
  <sheetViews>
    <sheetView showGridLines="0" showRowColHeaders="0" view="normal" workbookViewId="0">
      <pane xSplit="1" ySplit="6" topLeftCell="B30" activePane="bottomRight" state="frozen"/>
      <selection pane="bottomRight" activeCell="AB49" sqref="AB49"/>
    </sheetView>
  </sheetViews>
  <sheetFormatPr defaultRowHeight="14.20" zeroHeight="1"/>
  <cols>
    <col min="1" max="1" width="5.712871" customWidth="1" style="22"/>
    <col min="2" max="2" width="41.425743" customWidth="1" style="22"/>
    <col min="3" max="3" width="2.851485" customWidth="1" style="22"/>
    <col min="4" max="23" width="3.138614" customWidth="1" style="22"/>
    <col min="24" max="24" width="11.425743" customWidth="1" style="22"/>
    <col min="25" max="26" width="13.138614" hidden="1" customWidth="1" style="22">
      <extLst>
        <ext uri="smNativeData">
          <pm:columnDef xmlns:pm="smNativeData" id="1714042646" min="25" max="26" hidden="1" collapsedDB="0" collapsedOL="0"/>
        </ext>
      </extLst>
    </col>
    <col min="27" max="27" width="37.712871" hidden="1" customWidth="1" style="22">
      <extLst>
        <ext uri="smNativeData">
          <pm:columnDef xmlns:pm="smNativeData" id="1714042646" min="27" max="27" hidden="1" collapsedDB="0" collapsedOL="0"/>
        </ext>
      </extLst>
    </col>
    <col min="28" max="28" width="38.138614" customWidth="1" style="22"/>
    <col min="29" max="30" width="9.138614" hidden="1" customWidth="1" style="22">
      <extLst>
        <ext uri="smNativeData">
          <pm:columnDef xmlns:pm="smNativeData" id="1714042646" min="29" max="30" hidden="1" collapsedDB="0" collapsedOL="0"/>
        </ext>
      </extLst>
    </col>
    <col min="31" max="31" width="12.000000" hidden="1" customWidth="1" style="22">
      <extLst>
        <ext uri="smNativeData">
          <pm:columnDef xmlns:pm="smNativeData" id="1714042646" min="31" max="31" hidden="1" collapsedDB="0" collapsedOL="0"/>
        </ext>
      </extLst>
    </col>
    <col min="32" max="33" width="9.138614" hidden="1" customWidth="1" style="22">
      <extLst>
        <ext uri="smNativeData">
          <pm:columnDef xmlns:pm="smNativeData" id="1714042646" min="32" max="33" hidden="1" collapsedDB="0" collapsedOL="0"/>
        </ext>
      </extLst>
    </col>
    <col min="34" max="16384" width="8.742574" hidden="1" style="22">
      <extLst>
        <ext uri="smNativeData">
          <pm:columnDef xmlns:pm="smNativeData" id="1714042646" min="34" max="16384" hidden="1" collapsedDB="0" collapsedOL="0"/>
        </ext>
      </extLst>
    </col>
  </cols>
  <sheetData>
    <row r="1" spans="1:1" ht="21" customHeight="1"/>
    <row r="2" spans="27:27" ht="21" customHeight="1">
      <c r="AA2" s="85"/>
    </row>
    <row r="3" spans="1:1" ht="19.50" customHeight="1"/>
    <row r="4" spans="1:1" ht="16.50" customHeight="1"/>
    <row r="5" spans="2:26" ht="20.25" customHeight="1">
      <c r="B5" s="79" t="str">
        <f aca="1">Osnovno_Izaberite_jezik</f>
        <v>Izaberite jezik | Choose language</v>
      </c>
      <c r="C5"/>
      <c r="Y5" s="22">
        <f>COUNTIF(Y8:Y116,FALSE)</f>
        <v>3</v>
      </c>
      <c r="Z5" s="22">
        <f>COUNTIF(Z8:Z116,FALSE)</f>
        <v>0</v>
      </c>
    </row>
    <row r="6" spans="25:28" ht="12.75" customHeight="1">
      <c r="Y6" s="103" t="s">
        <v>52</v>
      </c>
      <c r="Z6" s="103" t="s">
        <v>53</v>
      </c>
      <c r="AA6" s="114" t="s">
        <v>54</v>
      </c>
      <c r="AB6" s="115" t="s">
        <v>55</v>
      </c>
    </row>
    <row r="7" spans="2:13" ht="15.75" customHeight="1">
      <c r="B7" s="87" t="str">
        <f aca="1">Osnovno_Izvjestajni_period</f>
        <v>Izvještajni period:</v>
      </c>
      <c r="D7" s="75" t="str">
        <f aca="1">Objasnjenja_Dan</f>
        <v>Dan</v>
      </c>
      <c r="E7" s="75"/>
      <c r="F7" s="75"/>
      <c r="G7" s="75" t="str">
        <f aca="1">Objasnjenja_Mjesec</f>
        <v>Mjesec</v>
      </c>
      <c r="H7" s="75"/>
      <c r="I7" s="75"/>
      <c r="J7" s="75" t="str">
        <f aca="1">Objasnjenja_Godina</f>
        <v>Godina</v>
      </c>
      <c r="K7" s="75"/>
      <c r="L7" s="75"/>
      <c r="M7" s="75"/>
    </row>
    <row r="8" spans="2:28" ht="15" customHeight="1">
      <c r="B8" s="54" t="str">
        <f aca="1">Osnovno_Pocetak_perioda</f>
        <v>Početak izvještajnog perioda:</v>
      </c>
      <c r="D8" s="418" t="n">
        <v>1</v>
      </c>
      <c r="E8" s="418"/>
      <c r="F8" s="52"/>
      <c r="G8" s="418" t="n">
        <v>1</v>
      </c>
      <c r="H8" s="418"/>
      <c r="I8" s="52"/>
      <c r="J8" s="421" t="n">
        <v>2024</v>
      </c>
      <c r="K8" s="422"/>
      <c r="L8" s="423"/>
      <c r="M8"/>
      <c r="N8"/>
      <c r="O8"/>
      <c r="P8"/>
      <c r="Y8" s="24" t="b">
        <f aca="1">AND(Period_Pocetak_Dan&lt;&gt;"",Period_Pocetak_Mjesec&lt;&gt;"",Godina&lt;&gt;"")</f>
        <v>1</v>
      </c>
      <c r="Z8" s="52" t="b">
        <f aca="1">IF(Y8,TEXT(DATE(Godina,Period_Pocetak_Mjesec,Period_Pocetak_Dan),"dd.mm.yyyy")=TEXT(Period_Pocetak_Dan,"00")&amp;"."&amp;TEXT(Period_Pocetak_Mjesec,"00")&amp;"."&amp;CONCATENATE(Godina),FALSE)</f>
        <v>1</v>
      </c>
      <c r="AA8" s="24" t="str">
        <f aca="1">TEXT(DATE(Godina,Period_Pocetak_Mjesec,Period_Pocetak_Dan),"dd.mm.yyyy.")</f>
        <v>01.01.2024.</v>
      </c>
      <c r="AB8" s="81" t="str">
        <f aca="1">IF(Y8,IF(Z8,AA8,Kontrola_Neispravno),Kontrola_Obavezno)</f>
        <v>01.01.2024.</v>
      </c>
    </row>
    <row r="9" spans="2:28" ht="4.50" customHeight="1">
      <c r="B9" s="54"/>
      <c r="J9" s="424"/>
      <c r="K9" s="425"/>
      <c r="L9" s="426"/>
      <c r="Y9" s="24"/>
      <c r="Z9" s="24"/>
      <c r="AA9" s="84"/>
      <c r="AB9" s="82"/>
    </row>
    <row r="10" spans="2:31" ht="15.75" customHeight="1">
      <c r="B10" s="54" t="str">
        <f aca="1">Osnovno_Kraj_perioda</f>
        <v>Kraj izvještajnog perioda:</v>
      </c>
      <c r="D10" s="419" t="n">
        <v>31</v>
      </c>
      <c r="E10" s="420"/>
      <c r="F10" s="52"/>
      <c r="G10" s="419" t="n">
        <v>3</v>
      </c>
      <c r="H10" s="420"/>
      <c r="I10" s="52"/>
      <c r="J10" s="427"/>
      <c r="K10" s="428"/>
      <c r="L10" s="429"/>
      <c r="M10"/>
      <c r="Y10" s="24" t="b">
        <f aca="1">AND(Period_Kraj_Dan&lt;&gt;"",Period_Kraj_Mjesec&lt;&gt;"",Godina&lt;&gt;"")</f>
        <v>1</v>
      </c>
      <c r="Z10" s="52" t="b">
        <f aca="1">IF(Y10,TEXT(DATE(Godina,Period_Kraj_Mjesec,Period_Kraj_Dan),"dd.mm.yyyy")=TEXT(Period_Kraj_Dan,"00")&amp;"."&amp;TEXT(Period_Kraj_Mjesec,"00")&amp;"."&amp;CONCATENATE(Godina),FALSE)</f>
        <v>1</v>
      </c>
      <c r="AA10" s="75" t="str">
        <f aca="1">TEXT(DATE(Godina,Period_Kraj_Mjesec,Period_Kraj_Dan),"dd.mm.yyyy.")</f>
        <v>31.03.2024.</v>
      </c>
      <c r="AB10" s="81" t="str">
        <f aca="1">IF(Y10,IF(Z10,AA10,Kontrola_Neispravno),Kontrola_Obavezno)</f>
        <v>31.03.2024.</v>
      </c>
      <c r="AD10"/>
      <c r="AE10"/>
    </row>
    <row r="11" spans="2:28" ht="4.50" customHeight="1">
      <c r="B11" s="54"/>
      <c r="D11"/>
      <c r="E11"/>
      <c r="F11"/>
      <c r="G11"/>
      <c r="H11"/>
      <c r="I11"/>
      <c r="J11"/>
      <c r="K11"/>
      <c r="L11"/>
      <c r="M11"/>
      <c r="Y11" s="24"/>
      <c r="Z11" s="52"/>
      <c r="AA11" s="75"/>
      <c r="AB11" s="82"/>
    </row>
    <row r="12" spans="2:28" ht="15" customHeight="1">
      <c r="B12" s="54" t="str">
        <f aca="1">Osnovno_Vrsta_izvjestaja</f>
        <v>Vrsta izvještaja:</v>
      </c>
      <c r="D12" s="130" t="str">
        <f aca="1">IF(AND(DATE(Godina,Period_Pocetak_Mjesec,Period_Pocetak_Dan)=DATE(Godina,1,1),NOT(ISNA(VLOOKUP(Datum_Broj,T_Vrsta_izvjestaja[],2,0)))),VLOOKUP(Datum_Broj,T_Vrsta_izvjestaja[],3,0),Vrsta_izvjestaja_Specificni)</f>
        <v>Prvi kvartal</v>
      </c>
      <c r="E12" s="130"/>
      <c r="F12" s="130"/>
      <c r="G12" s="130"/>
      <c r="H12" s="130"/>
      <c r="I12" s="130"/>
      <c r="J12" s="130"/>
      <c r="K12" s="130"/>
      <c r="L12" s="130"/>
      <c r="M12"/>
      <c r="N12"/>
      <c r="O12"/>
      <c r="P12"/>
      <c r="Q12"/>
      <c r="R12"/>
      <c r="S12"/>
      <c r="T12"/>
      <c r="U12"/>
      <c r="V12"/>
      <c r="Y12" s="24"/>
      <c r="Z12" s="24"/>
      <c r="AA12" s="75"/>
      <c r="AB12" s="81" t="str">
        <f>D12</f>
        <v>Prvi kvartal</v>
      </c>
    </row>
    <row r="13" spans="2:28" ht="13.50" customHeight="1">
      <c r="B13" s="54"/>
      <c r="M13"/>
      <c r="N13"/>
      <c r="O13"/>
      <c r="P13"/>
      <c r="Q13"/>
      <c r="R13"/>
      <c r="S13"/>
      <c r="T13"/>
      <c r="U13"/>
      <c r="V13"/>
      <c r="Y13" s="24"/>
      <c r="Z13" s="24"/>
      <c r="AA13" s="84"/>
      <c r="AB13" s="82"/>
    </row>
    <row r="14" spans="2:28" ht="15.75" customHeight="1">
      <c r="B14" s="87" t="str">
        <f aca="1">Objasnjenja_Zaglavlje</f>
        <v>Podaci u zaglavlju:</v>
      </c>
      <c r="Y14" s="24"/>
      <c r="Z14" s="24"/>
      <c r="AA14" s="84"/>
      <c r="AB14" s="82"/>
    </row>
    <row r="15" spans="2:28" ht="15" customHeight="1">
      <c r="B15" s="54" t="str">
        <f aca="1">Zaglavlje_MB</f>
        <v>Matični broj</v>
      </c>
      <c r="D15" s="16" t="n">
        <v>1</v>
      </c>
      <c r="E15" s="16" t="n">
        <v>0</v>
      </c>
      <c r="F15" s="16" t="n">
        <v>6</v>
      </c>
      <c r="G15" s="16" t="n">
        <v>2</v>
      </c>
      <c r="H15" s="16" t="n">
        <v>2</v>
      </c>
      <c r="I15" s="16" t="n">
        <v>8</v>
      </c>
      <c r="J15" s="16" t="n">
        <v>0</v>
      </c>
      <c r="K15" s="16"/>
      <c r="Y15" s="24" t="b">
        <f>LEN(AA15)&gt;=7</f>
        <v>1</v>
      </c>
      <c r="Z15" s="24" t="b">
        <v>1</v>
      </c>
      <c r="AA15" s="84" t="str">
        <f>CONCATENATE(D15,E15,F15,G15,H15,I15,J15,K15)</f>
        <v>1062280</v>
      </c>
      <c r="AB15" s="81" t="str">
        <f aca="1">IF(Y15,IF(Z15,AA15,Kontrola_Neispravno),Kontrola_Obavezno)</f>
        <v>1062280</v>
      </c>
    </row>
    <row r="16" spans="2:28" ht="4.50" customHeight="1">
      <c r="B16" s="54"/>
      <c r="Y16" s="24"/>
      <c r="Z16" s="24"/>
      <c r="AA16" s="84"/>
      <c r="AB16" s="82"/>
    </row>
    <row r="17" spans="2:31" ht="15" customHeight="1">
      <c r="B17" s="54" t="str">
        <f aca="1">Zaglavlje_Sifra_djelatnosti</f>
        <v>Šifra djelatnosti</v>
      </c>
      <c r="D17" s="16" t="n">
        <v>0</v>
      </c>
      <c r="E17" s="16" t="n">
        <v>1</v>
      </c>
      <c r="F17" s="76" t="s">
        <v>56</v>
      </c>
      <c r="G17" s="16" t="n">
        <v>1</v>
      </c>
      <c r="H17" s="16" t="n">
        <v>1</v>
      </c>
      <c r="I17" s="80"/>
      <c r="Y17" s="24" t="b">
        <f>AND(D17&lt;&gt;"",LEN(AA17)&gt;=5)</f>
        <v>1</v>
      </c>
      <c r="Z17" s="24" t="b">
        <v>1</v>
      </c>
      <c r="AA17" s="84" t="str">
        <f>CONCATENATE(D17,E17,F17,G17,H17,I17)</f>
        <v>01.11</v>
      </c>
      <c r="AB17" s="81" t="str">
        <f aca="1">IF(Y17,IF(Z17,AA17,Kontrola_Neispravno),Kontrola_Obavezno)</f>
        <v>01.11</v>
      </c>
      <c r="AE17" s="77"/>
    </row>
    <row r="18" spans="2:28" ht="4.50" customHeight="1">
      <c r="B18" s="54"/>
      <c r="Y18" s="24"/>
      <c r="Z18" s="24"/>
      <c r="AA18" s="84"/>
      <c r="AB18" s="82"/>
    </row>
    <row r="19" spans="2:28" ht="12.75" customHeight="1">
      <c r="B19" s="414" t="str">
        <f aca="1">Zaglavlje_Naziv_preduzeca</f>
        <v>Naziv privrednog društva, zadruge, drugog pravnog lica ili preduzetnika: </v>
      </c>
      <c r="Y19" s="24"/>
      <c r="Z19" s="24"/>
      <c r="AA19" s="84"/>
      <c r="AB19" s="82"/>
    </row>
    <row r="20" spans="2:28" ht="22.50" customHeight="1">
      <c r="B20" s="414"/>
      <c r="D20" s="567" t="s">
        <v>57</v>
      </c>
      <c r="E20" s="567"/>
      <c r="F20" s="567"/>
      <c r="G20" s="567"/>
      <c r="H20" s="567"/>
      <c r="I20" s="567"/>
      <c r="J20" s="567"/>
      <c r="K20" s="567"/>
      <c r="L20" s="567"/>
      <c r="M20" s="567"/>
      <c r="N20" s="567"/>
      <c r="O20" s="567"/>
      <c r="P20" s="567"/>
      <c r="Q20" s="567"/>
      <c r="R20" s="567"/>
      <c r="S20" s="567"/>
      <c r="T20" s="567"/>
      <c r="U20" s="567"/>
      <c r="V20" s="567"/>
      <c r="Y20" s="24" t="b">
        <f>LEN(AA20)&gt;0</f>
        <v>1</v>
      </c>
      <c r="Z20" s="24" t="b">
        <v>1</v>
      </c>
      <c r="AA20" s="84" t="str">
        <f>CONCATENATE(D20)</f>
        <v>Napredak a.d. Pelagićevo</v>
      </c>
      <c r="AB20" s="83" t="str">
        <f aca="1">IF(Y20,IF(Z20,AA20,Kontrola_Neispravno),Kontrola_Obavezno)</f>
        <v>Napredak a.d. Pelagićevo</v>
      </c>
    </row>
    <row r="21" spans="2:28" ht="8.25" customHeight="1">
      <c r="B21" s="54"/>
      <c r="D21" s="19"/>
      <c r="E21" s="19"/>
      <c r="F21" s="19"/>
      <c r="G21" s="19"/>
      <c r="H21" s="19"/>
      <c r="I21" s="19"/>
      <c r="J21" s="19"/>
      <c r="K21" s="19"/>
      <c r="L21" s="19"/>
      <c r="M21" s="19"/>
      <c r="N21" s="19"/>
      <c r="O21" s="19"/>
      <c r="P21" s="19"/>
      <c r="Q21" s="19"/>
      <c r="R21" s="19"/>
      <c r="S21" s="19"/>
      <c r="T21" s="19"/>
      <c r="U21" s="19"/>
      <c r="V21" s="19"/>
      <c r="Y21" s="24"/>
      <c r="Z21" s="24"/>
      <c r="AA21" s="84"/>
      <c r="AB21" s="82"/>
    </row>
    <row r="22" spans="2:28" ht="15" customHeight="1">
      <c r="B22" s="54" t="str">
        <f aca="1">Zaglavlje_Sjediste</f>
        <v>Sjedište:</v>
      </c>
      <c r="D22" s="17" t="s">
        <v>58</v>
      </c>
      <c r="E22" s="17"/>
      <c r="F22" s="17"/>
      <c r="G22" s="17"/>
      <c r="H22" s="17"/>
      <c r="I22" s="17"/>
      <c r="J22" s="17"/>
      <c r="K22" s="17"/>
      <c r="L22" s="17"/>
      <c r="M22" s="17"/>
      <c r="N22" s="17"/>
      <c r="O22" s="17"/>
      <c r="P22" s="17"/>
      <c r="Q22" s="17"/>
      <c r="R22" s="17"/>
      <c r="S22" s="17"/>
      <c r="T22" s="17"/>
      <c r="U22" s="17"/>
      <c r="V22" s="17"/>
      <c r="Y22" s="24" t="b">
        <f>LEN(AA22)&gt;0</f>
        <v>1</v>
      </c>
      <c r="Z22" s="24" t="b">
        <v>1</v>
      </c>
      <c r="AA22" s="84" t="str">
        <f>CONCATENATE(D22)</f>
        <v>Pelagićevo</v>
      </c>
      <c r="AB22" s="81" t="str">
        <f aca="1">IF(Y22,IF(Z22,AA22,Kontrola_Neispravno),Kontrola_Obavezno)</f>
        <v>Pelagićevo</v>
      </c>
    </row>
    <row r="23" spans="2:28" ht="6.75" customHeight="1">
      <c r="B23" s="54"/>
      <c r="Y23" s="24"/>
      <c r="Z23" s="24"/>
      <c r="AA23" s="84"/>
      <c r="AB23" s="82"/>
    </row>
    <row r="24" spans="2:28" ht="15" customHeight="1">
      <c r="B24" s="54" t="str">
        <f aca="1">Zaglavlje_JIB</f>
        <v>JIB</v>
      </c>
      <c r="D24" s="16" t="n">
        <v>4</v>
      </c>
      <c r="E24" s="108" t="n">
        <v>4</v>
      </c>
      <c r="F24" s="109" t="n">
        <v>0</v>
      </c>
      <c r="G24" s="16" t="n">
        <v>0</v>
      </c>
      <c r="H24" s="108" t="n">
        <v>4</v>
      </c>
      <c r="I24" s="109" t="n">
        <v>7</v>
      </c>
      <c r="J24" s="16" t="n">
        <v>1</v>
      </c>
      <c r="K24" s="108" t="n">
        <v>4</v>
      </c>
      <c r="L24" s="109" t="n">
        <v>0</v>
      </c>
      <c r="M24" s="108" t="n">
        <v>0</v>
      </c>
      <c r="N24" s="109" t="n">
        <v>0</v>
      </c>
      <c r="O24" s="108" t="n">
        <v>0</v>
      </c>
      <c r="P24" s="109" t="n">
        <v>1</v>
      </c>
      <c r="Q24" s="52"/>
      <c r="R24" s="52"/>
      <c r="S24" s="52"/>
      <c r="T24" s="52"/>
      <c r="U24" s="52"/>
      <c r="V24" s="52"/>
      <c r="Y24" s="24" t="b">
        <f>LEN(AA24)=13</f>
        <v>1</v>
      </c>
      <c r="Z24" s="24" t="b">
        <f>IF(Y24,VALUE(CONCATENATE(P24))=IF(11-MOD(SUMPRODUCT({7;6;5;4;3;2;7;6;5;4;3;2},VALUE(MID(CONCATENATE(D24,E24,F24,G24,H24,I24,J24,K24,L24,M24,N24,O24,P24),{1;2;3;4;5;6;7;8;9;10;11;12},1))),11)&gt;=10,0,11-MOD(SUMPRODUCT({7;6;5;4;3;2;7;6;5;4;3;2},VALUE(MID(CONCATENATE(D24,E24,F24,G24,H24,I24,J24,K24,L24,M24,N24,O24,P24),{1;2;3;4;5;6;7;8;9;10;11;12},1))),11)),FALSE)</f>
        <v>1</v>
      </c>
      <c r="AA24" s="84" t="str">
        <f>CONCATENATE(D24,E24,F24,G24,H24,I24,J24,K24,L24,M24,N24,O24,P24)</f>
        <v>4400471400001</v>
      </c>
      <c r="AB24" s="81" t="str">
        <f aca="1">IF(Y24,IF(Z24,AA24,Kontrola_Neispravno),Kontrola_Obavezno)</f>
        <v>4400471400001</v>
      </c>
    </row>
    <row r="25" spans="2:28" ht="15" customHeight="1">
      <c r="B25" s="54"/>
      <c r="D25" s="19"/>
      <c r="E25" s="19"/>
      <c r="F25" s="19"/>
      <c r="G25" s="19"/>
      <c r="H25" s="19"/>
      <c r="I25" s="19"/>
      <c r="J25" s="19"/>
      <c r="K25" s="19"/>
      <c r="L25" s="19"/>
      <c r="M25" s="19"/>
      <c r="N25" s="19"/>
      <c r="O25" s="19"/>
      <c r="P25" s="19"/>
      <c r="Q25" s="19"/>
      <c r="R25" s="19"/>
      <c r="S25" s="19"/>
      <c r="T25" s="19"/>
      <c r="U25" s="19"/>
      <c r="V25" s="19"/>
      <c r="Y25" s="24"/>
      <c r="Z25" s="24"/>
      <c r="AA25" s="84"/>
      <c r="AB25" s="82"/>
    </row>
    <row r="26" spans="2:28" ht="15" customHeight="1">
      <c r="B26" s="100" t="str">
        <f aca="1">Objasnjenja_Bankovni_racun</f>
        <v>Računi u banci:</v>
      </c>
      <c r="Y26" s="24"/>
      <c r="Z26" s="24"/>
      <c r="AA26" s="84"/>
      <c r="AB26" s="82"/>
    </row>
    <row r="27" spans="2:28" ht="15" customHeight="1">
      <c r="B27" s="54" t="str">
        <f aca="1">Objasnjenja_Glavni_racun</f>
        <v>Glavni račun:</v>
      </c>
      <c r="D27" s="16" t="n">
        <v>5</v>
      </c>
      <c r="E27" s="16" t="n">
        <v>5</v>
      </c>
      <c r="F27" s="16" t="n">
        <v>4</v>
      </c>
      <c r="G27" s="52" t="s">
        <v>59</v>
      </c>
      <c r="H27" s="16" t="n">
        <v>0</v>
      </c>
      <c r="I27" s="16" t="n">
        <v>0</v>
      </c>
      <c r="J27" s="16" t="n">
        <v>5</v>
      </c>
      <c r="K27" s="52" t="s">
        <v>59</v>
      </c>
      <c r="L27" s="16" t="n">
        <v>0</v>
      </c>
      <c r="M27" s="16" t="n">
        <v>0</v>
      </c>
      <c r="N27" s="16" t="n">
        <v>0</v>
      </c>
      <c r="O27" s="16" t="n">
        <v>0</v>
      </c>
      <c r="P27" s="16" t="n">
        <v>0</v>
      </c>
      <c r="Q27" s="16" t="n">
        <v>0</v>
      </c>
      <c r="R27" s="16" t="n">
        <v>3</v>
      </c>
      <c r="S27" s="16" t="n">
        <v>1</v>
      </c>
      <c r="T27" s="52" t="s">
        <v>59</v>
      </c>
      <c r="U27" s="16" t="n">
        <v>8</v>
      </c>
      <c r="V27" s="16" t="n">
        <v>3</v>
      </c>
      <c r="Y27" s="24" t="b">
        <f>LEN(AA27)=16</f>
        <v>1</v>
      </c>
      <c r="Z27" s="24" t="b">
        <f>IF(Y27,VALUE(CONCATENATE(U27,V27))=98-MOD(CONCATENATE(MOD(CONCATENATE(D27,E27,F27,H27,I27,J27,L27,M27,N27),97),CONCATENATE(O27,P27,Q27,R27,S27),"00"),97),FALSE)</f>
        <v>1</v>
      </c>
      <c r="AA27" s="84" t="str">
        <f>CONCATENATE(D27,E27,F27,H27,I27,J27,L27,M27,N27,O27,P27,Q27,R27,S27,U27,V27)</f>
        <v>5540050000003183</v>
      </c>
      <c r="AB27" s="81" t="str">
        <f aca="1">IF(Y27,IF(Z27,CONCATENATE(D27,E27,F27,G27,H27,I27,J27,K27,L27,M27,N27,O27,P27,Q27,R27,S27,T27,U27,V27),Kontrola_Neispravno),Kontrola_Obavezno)</f>
        <v>554-005-00000031-83</v>
      </c>
    </row>
    <row r="28" spans="2:28" ht="4.50" customHeight="1">
      <c r="B28" s="54"/>
      <c r="D28" s="19"/>
      <c r="E28" s="19"/>
      <c r="F28" s="19"/>
      <c r="G28" s="19"/>
      <c r="H28" s="19"/>
      <c r="I28" s="19"/>
      <c r="J28" s="19"/>
      <c r="K28" s="19"/>
      <c r="L28" s="19"/>
      <c r="M28" s="19"/>
      <c r="N28" s="19"/>
      <c r="O28" s="19"/>
      <c r="P28" s="19"/>
      <c r="Q28" s="19"/>
      <c r="R28" s="19"/>
      <c r="S28" s="19"/>
      <c r="T28" s="19"/>
      <c r="U28" s="19"/>
      <c r="V28" s="19"/>
      <c r="Y28" s="24"/>
      <c r="Z28" s="24"/>
      <c r="AA28" s="84"/>
      <c r="AB28" s="82"/>
    </row>
    <row r="29" spans="2:28" ht="15" customHeight="1">
      <c r="B29" s="54"/>
      <c r="D29" s="16" t="n">
        <v>5</v>
      </c>
      <c r="E29" s="16" t="n">
        <v>6</v>
      </c>
      <c r="F29" s="16" t="n">
        <v>2</v>
      </c>
      <c r="G29" s="52" t="s">
        <v>59</v>
      </c>
      <c r="H29" s="16" t="n">
        <v>0</v>
      </c>
      <c r="I29" s="16" t="n">
        <v>1</v>
      </c>
      <c r="J29" s="16" t="n">
        <v>1</v>
      </c>
      <c r="K29" s="52" t="s">
        <v>59</v>
      </c>
      <c r="L29" s="16" t="n">
        <v>0</v>
      </c>
      <c r="M29" s="16" t="n">
        <v>0</v>
      </c>
      <c r="N29" s="16" t="n">
        <v>0</v>
      </c>
      <c r="O29" s="16" t="n">
        <v>0</v>
      </c>
      <c r="P29" s="16" t="n">
        <v>0</v>
      </c>
      <c r="Q29" s="16" t="n">
        <v>4</v>
      </c>
      <c r="R29" s="16" t="n">
        <v>7</v>
      </c>
      <c r="S29" s="16" t="n">
        <v>7</v>
      </c>
      <c r="T29" s="52" t="s">
        <v>59</v>
      </c>
      <c r="U29" s="16" t="n">
        <v>7</v>
      </c>
      <c r="V29" s="16" t="n">
        <v>7</v>
      </c>
      <c r="Y29" s="24" t="b">
        <f>OR(LEN(AA29)=16,LEN(AA29)=0)</f>
        <v>1</v>
      </c>
      <c r="Z29" s="24" t="b">
        <f>IF(LEN(AA29)=16,VALUE(CONCATENATE(U29,V29))=98-MOD(CONCATENATE(MOD(CONCATENATE(D29,E29,F29,H29,I29,J29,L29,M29,N29),97),CONCATENATE(O29,P29,Q29,R29,S29),"00"),97),TRUE)</f>
        <v>1</v>
      </c>
      <c r="AA29" s="84" t="str">
        <f>CONCATENATE(D29,E29,F29,H29,I29,J29,L29,M29,N29,O29,P29,Q29,R29,S29,U29,V29)</f>
        <v>5620110000047777</v>
      </c>
      <c r="AB29" s="81" t="str">
        <f aca="1">IF(LEN(AA29)=0,"",IF(AND(LEN(AA29)=16,Z29),CONCATENATE(D29,E29,F29,G29,H29,I29,J29,K29,L29,M29,N29,O29,P29,Q29,R29,S29,T29,U29,V29),Kontrola_Neispravno))</f>
        <v>562-011-00000477-77</v>
      </c>
    </row>
    <row r="30" spans="2:28" ht="4.50" customHeight="1">
      <c r="B30" s="54"/>
      <c r="Y30" s="24"/>
      <c r="Z30" s="24"/>
      <c r="AA30" s="84"/>
      <c r="AB30" s="82"/>
    </row>
    <row r="31" spans="2:28" ht="15" customHeight="1">
      <c r="B31" s="54"/>
      <c r="D31" s="16"/>
      <c r="E31" s="16"/>
      <c r="F31" s="16"/>
      <c r="G31" s="52" t="s">
        <v>59</v>
      </c>
      <c r="H31" s="16"/>
      <c r="I31" s="16"/>
      <c r="J31" s="16"/>
      <c r="K31" s="52" t="s">
        <v>59</v>
      </c>
      <c r="L31" s="16"/>
      <c r="M31" s="16"/>
      <c r="N31" s="16"/>
      <c r="O31" s="16"/>
      <c r="P31" s="16"/>
      <c r="Q31" s="16"/>
      <c r="R31" s="16"/>
      <c r="S31" s="16"/>
      <c r="T31" s="52" t="s">
        <v>59</v>
      </c>
      <c r="U31" s="16"/>
      <c r="V31" s="16"/>
      <c r="Y31" s="24" t="b">
        <f>OR(LEN(AA31)=16,LEN(AA31)=0)</f>
        <v>1</v>
      </c>
      <c r="Z31" s="24" t="b">
        <f>IF(LEN(AA31)=16,VALUE(CONCATENATE(U31,V31))=98-MOD(CONCATENATE(MOD(CONCATENATE(D31,E31,F31,H31,I31,J31,L31,M31,N31),97),CONCATENATE(O31,P31,Q31,R31,S31),"00"),97),TRUE)</f>
        <v>1</v>
      </c>
      <c r="AA31" s="84" t="str">
        <f>CONCATENATE(D31,E31,F31,H31,I31,J31,L31,M31,N31,O31,P31,Q31,R31,S31,U31,V31)</f>
        <v/>
      </c>
      <c r="AB31" s="81" t="str">
        <f aca="1">IF(LEN(AA31)=0,"",IF(AND(LEN(AA31)=16,Z31),CONCATENATE(D31,E31,F31,G31,H31,I31,J31,K31,L31,M31,N31,O31,P31,Q31,R31,S31,T31,U31,V31),Kontrola_Neispravno))</f>
        <v/>
      </c>
    </row>
    <row r="32" spans="2:28" ht="4.50" customHeight="1">
      <c r="B32" s="54"/>
      <c r="Y32" s="24"/>
      <c r="Z32" s="24"/>
      <c r="AA32" s="84"/>
      <c r="AB32" s="82"/>
    </row>
    <row r="33" spans="2:28" ht="15" customHeight="1">
      <c r="B33" s="54"/>
      <c r="D33" s="16"/>
      <c r="E33" s="16"/>
      <c r="F33" s="16"/>
      <c r="G33" s="52" t="s">
        <v>59</v>
      </c>
      <c r="H33" s="16"/>
      <c r="I33" s="16"/>
      <c r="J33" s="16"/>
      <c r="K33" s="52" t="s">
        <v>59</v>
      </c>
      <c r="L33" s="16"/>
      <c r="M33" s="16"/>
      <c r="N33" s="16"/>
      <c r="O33" s="16"/>
      <c r="P33" s="16"/>
      <c r="Q33" s="16"/>
      <c r="R33" s="16"/>
      <c r="S33" s="16"/>
      <c r="T33" s="52" t="s">
        <v>59</v>
      </c>
      <c r="U33" s="16"/>
      <c r="V33" s="16"/>
      <c r="Y33" s="24" t="b">
        <f>OR(LEN(AA33)=16,LEN(AA33)=0)</f>
        <v>1</v>
      </c>
      <c r="Z33" s="24" t="b">
        <f>IF(LEN(AA33)=16,VALUE(CONCATENATE(U33,V33))=98-MOD(CONCATENATE(MOD(CONCATENATE(D33,E33,F33,H33,I33,J33,L33,M33,N33),97),CONCATENATE(O33,P33,Q33,R33,S33),"00"),97),TRUE)</f>
        <v>1</v>
      </c>
      <c r="AA33" s="84" t="str">
        <f>CONCATENATE(D33,E33,F33,H33,I33,J33,L33,M33,N33,O33,P33,Q33,R33,S33,U33,V33)</f>
        <v/>
      </c>
      <c r="AB33" s="81" t="str">
        <f aca="1">IF(LEN(AA33)=0,"",IF(AND(LEN(AA33)=16,Z33),CONCATENATE(D33,E33,F33,G33,H33,I33,J33,K33,L33,M33,N33,O33,P33,Q33,R33,S33,T33,U33,V33),Kontrola_Neispravno))</f>
        <v/>
      </c>
    </row>
    <row r="34" spans="2:28" ht="4.50" customHeight="1">
      <c r="B34" s="54"/>
      <c r="Y34" s="24"/>
      <c r="Z34" s="24"/>
      <c r="AA34" s="84"/>
      <c r="AB34" s="82"/>
    </row>
    <row r="35" spans="2:28" ht="15" customHeight="1">
      <c r="B35" s="54"/>
      <c r="D35" s="16"/>
      <c r="E35" s="16"/>
      <c r="F35" s="16"/>
      <c r="G35" s="52" t="s">
        <v>59</v>
      </c>
      <c r="H35" s="16"/>
      <c r="I35" s="16"/>
      <c r="J35" s="16"/>
      <c r="K35" s="52" t="s">
        <v>59</v>
      </c>
      <c r="L35" s="16"/>
      <c r="M35" s="16"/>
      <c r="N35" s="16"/>
      <c r="O35" s="16"/>
      <c r="P35" s="16"/>
      <c r="Q35" s="16"/>
      <c r="R35" s="16"/>
      <c r="S35" s="16"/>
      <c r="T35" s="52" t="s">
        <v>59</v>
      </c>
      <c r="U35" s="16"/>
      <c r="V35" s="16"/>
      <c r="Y35" s="24" t="b">
        <f>OR(LEN(AA35)=16,LEN(AA35)=0)</f>
        <v>1</v>
      </c>
      <c r="Z35" s="24" t="b">
        <f>IF(LEN(AA35)=16,VALUE(CONCATENATE(U35,V35))=98-MOD(CONCATENATE(MOD(CONCATENATE(D35,E35,F35,H35,I35,J35,L35,M35,N35),97),CONCATENATE(O35,P35,Q35,R35,S35),"00"),97),TRUE)</f>
        <v>1</v>
      </c>
      <c r="AA35" s="84" t="str">
        <f>CONCATENATE(D35,E35,F35,H35,I35,J35,L35,M35,N35,O35,P35,Q35,R35,S35,U35,V35)</f>
        <v/>
      </c>
      <c r="AB35" s="81" t="str">
        <f aca="1">IF(LEN(AA35)=0,"",IF(AND(LEN(AA35)=16,Z35),CONCATENATE(D35,E35,F35,G35,H35,I35,J35,K35,L35,M35,N35,O35,P35,Q35,R35,S35,T35,U35,V35),Kontrola_Neispravno))</f>
        <v/>
      </c>
    </row>
    <row r="36" spans="2:28" ht="4.50" customHeight="1">
      <c r="B36" s="54"/>
      <c r="Y36" s="24"/>
      <c r="Z36" s="24"/>
      <c r="AA36" s="84"/>
      <c r="AB36" s="82"/>
    </row>
    <row r="37" spans="2:28" ht="15" customHeight="1">
      <c r="B37" s="54"/>
      <c r="D37" s="16"/>
      <c r="E37" s="16"/>
      <c r="F37" s="16"/>
      <c r="G37" s="52" t="s">
        <v>59</v>
      </c>
      <c r="H37" s="16"/>
      <c r="I37" s="16"/>
      <c r="J37" s="16"/>
      <c r="K37" s="52" t="s">
        <v>59</v>
      </c>
      <c r="L37" s="16"/>
      <c r="M37" s="16"/>
      <c r="N37" s="16"/>
      <c r="O37" s="16"/>
      <c r="P37" s="16"/>
      <c r="Q37" s="16"/>
      <c r="R37" s="16"/>
      <c r="S37" s="16"/>
      <c r="T37" s="52" t="s">
        <v>59</v>
      </c>
      <c r="U37" s="16"/>
      <c r="V37" s="16"/>
      <c r="Y37" s="24" t="b">
        <f>OR(LEN(AA37)=16,LEN(AA37)=0)</f>
        <v>1</v>
      </c>
      <c r="Z37" s="24" t="b">
        <f>IF(LEN(AA37)=16,VALUE(CONCATENATE(U37,V37))=98-MOD(CONCATENATE(MOD(CONCATENATE(D37,E37,F37,H37,I37,J37,L37,M37,N37),97),CONCATENATE(O37,P37,Q37,R37,S37),"00"),97),TRUE)</f>
        <v>1</v>
      </c>
      <c r="AA37" s="84" t="str">
        <f>CONCATENATE(D37,E37,F37,H37,I37,J37,L37,M37,N37,O37,P37,Q37,R37,S37,U37,V37)</f>
        <v/>
      </c>
      <c r="AB37" s="81" t="str">
        <f aca="1">IF(LEN(AA37)=0,"",IF(AND(LEN(AA37)=16,Z37),CONCATENATE(D37,E37,F37,G37,H37,I37,J37,K37,L37,M37,N37,O37,P37,Q37,R37,S37,T37,U37,V37),Kontrola_Neispravno))</f>
        <v/>
      </c>
    </row>
    <row r="38" spans="2:28" ht="15" customHeight="1">
      <c r="B38" s="54"/>
      <c r="Y38" s="24"/>
      <c r="Z38" s="24"/>
      <c r="AA38" s="84"/>
      <c r="AB38" s="82"/>
    </row>
    <row r="39" spans="2:28" ht="15.75" customHeight="1">
      <c r="B39" s="87" t="str">
        <f aca="1">Objasnjenja_Podnozje</f>
        <v>Podaci ispod izvještaja:</v>
      </c>
      <c r="Y39" s="24"/>
      <c r="Z39" s="24"/>
      <c r="AA39" s="84"/>
      <c r="AB39" s="82"/>
    </row>
    <row r="40" spans="2:28" ht="15" customHeight="1">
      <c r="B40" s="54" t="str">
        <f aca="1">Podnozje_U</f>
        <v>U:</v>
      </c>
      <c r="D40" s="17" t="s">
        <v>60</v>
      </c>
      <c r="E40" s="17"/>
      <c r="F40" s="17"/>
      <c r="G40" s="17"/>
      <c r="H40" s="17"/>
      <c r="I40" s="17"/>
      <c r="J40" s="17"/>
      <c r="K40" s="17"/>
      <c r="L40" s="17"/>
      <c r="M40" s="17"/>
      <c r="N40" s="17"/>
      <c r="O40" s="17"/>
      <c r="P40" s="17"/>
      <c r="Q40" s="17"/>
      <c r="R40" s="17"/>
      <c r="S40" s="17"/>
      <c r="T40" s="17"/>
      <c r="U40" s="17"/>
      <c r="V40" s="17"/>
      <c r="Y40" s="24" t="b">
        <f>LEN(AA40)&gt;0</f>
        <v>1</v>
      </c>
      <c r="Z40" s="24" t="b">
        <v>1</v>
      </c>
      <c r="AA40" s="84" t="str">
        <f>CONCATENATE(D40)</f>
        <v>Pelagićevu</v>
      </c>
      <c r="AB40" s="83" t="str">
        <f aca="1">IF(Y40,IF(Z40,AA40,Kontrola_Neispravno),Kontrola_Obavezno)</f>
        <v>Pelagićevu</v>
      </c>
    </row>
    <row r="41" spans="2:28" ht="4.50" customHeight="1">
      <c r="B41" s="54"/>
      <c r="D41"/>
      <c r="E41"/>
      <c r="F41"/>
      <c r="G41"/>
      <c r="H41"/>
      <c r="I41"/>
      <c r="J41"/>
      <c r="K41"/>
      <c r="L41"/>
      <c r="M41"/>
      <c r="N41"/>
      <c r="O41"/>
      <c r="P41"/>
      <c r="Q41"/>
      <c r="R41"/>
      <c r="S41"/>
      <c r="T41"/>
      <c r="U41"/>
      <c r="V41"/>
      <c r="Y41" s="24"/>
      <c r="Z41" s="24"/>
      <c r="AA41" s="84"/>
      <c r="AB41" s="82"/>
    </row>
    <row r="42" spans="2:28" ht="15" customHeight="1">
      <c r="B42" s="54"/>
      <c r="D42" s="75" t="str">
        <f aca="1">Objasnjenja_Dan</f>
        <v>Dan</v>
      </c>
      <c r="E42" s="75"/>
      <c r="F42" s="75"/>
      <c r="G42" s="75" t="str">
        <f aca="1">Objasnjenja_Mjesec</f>
        <v>Mjesec</v>
      </c>
      <c r="H42" s="75"/>
      <c r="I42" s="75"/>
      <c r="J42" s="75" t="str">
        <f aca="1">Objasnjenja_Godina</f>
        <v>Godina</v>
      </c>
      <c r="K42" s="75"/>
      <c r="L42" s="75"/>
      <c r="M42" s="75"/>
      <c r="Y42" s="24"/>
      <c r="Z42" s="24"/>
      <c r="AA42" s="84"/>
      <c r="AB42" s="82"/>
    </row>
    <row r="43" spans="2:28" ht="15" customHeight="1">
      <c r="B43" s="54" t="str">
        <f aca="1">Podnozje_Dana</f>
        <v>Dana:</v>
      </c>
      <c r="D43" s="415" t="n">
        <v>30</v>
      </c>
      <c r="E43" s="417"/>
      <c r="F43" s="52"/>
      <c r="G43" s="415" t="n">
        <v>3</v>
      </c>
      <c r="H43" s="417"/>
      <c r="I43" s="52"/>
      <c r="J43" s="415" t="n">
        <v>2024</v>
      </c>
      <c r="K43" s="416"/>
      <c r="L43" s="417"/>
      <c r="M43"/>
      <c r="Y43" s="24" t="b">
        <f>AND(D43&lt;&gt;"",G43&lt;&gt;"",J43&lt;&gt;"")</f>
        <v>1</v>
      </c>
      <c r="Z43" s="52" t="b">
        <f>IF(Y43,TEXT(DATE(J43,G43,D43),"dd.mm.yyyy")=TEXT(D43,"00")&amp;"."&amp;TEXT(G43,"00")&amp;"."&amp;CONCATENATE(J43),FALSE)</f>
        <v>1</v>
      </c>
      <c r="AA43" s="75" t="str">
        <f>IF(OR(Y43,Z43),TEXT(DATE(J43,G43,D43),"dd.mm.yyyy."),"")</f>
        <v>30.03.2024.</v>
      </c>
      <c r="AB43" s="83" t="str">
        <f aca="1">IF(Y43,IF(Z43,AA43,Kontrola_Neispravno),Kontrola_Obavezno)</f>
        <v>30.03.2024.</v>
      </c>
    </row>
    <row r="44" spans="2:28" ht="4.50" customHeight="1">
      <c r="B44" s="54"/>
      <c r="D44"/>
      <c r="E44"/>
      <c r="F44"/>
      <c r="G44"/>
      <c r="H44"/>
      <c r="I44"/>
      <c r="J44"/>
      <c r="K44"/>
      <c r="L44"/>
      <c r="M44"/>
      <c r="N44"/>
      <c r="Y44" s="24"/>
      <c r="Z44" s="24"/>
      <c r="AA44" s="84"/>
      <c r="AB44" s="82"/>
    </row>
    <row r="45" spans="2:28" ht="15" customHeight="1">
      <c r="B45" s="54" t="str">
        <f aca="1">Podnozje_Lice_sa_licencom</f>
        <v>Lice sa licencom:</v>
      </c>
      <c r="D45" s="17" t="s">
        <v>61</v>
      </c>
      <c r="E45" s="17"/>
      <c r="F45" s="17"/>
      <c r="G45" s="17"/>
      <c r="H45" s="17"/>
      <c r="I45" s="17"/>
      <c r="J45" s="17"/>
      <c r="K45" s="17"/>
      <c r="L45" s="17"/>
      <c r="M45" s="17"/>
      <c r="N45" s="17"/>
      <c r="O45" s="17"/>
      <c r="P45" s="17"/>
      <c r="Q45" s="17"/>
      <c r="R45" s="17"/>
      <c r="S45" s="17"/>
      <c r="T45" s="17"/>
      <c r="U45" s="17"/>
      <c r="V45" s="17"/>
      <c r="Y45" s="24" t="b">
        <f>LEN(AA45)&gt;0</f>
        <v>1</v>
      </c>
      <c r="Z45" s="24" t="b">
        <v>1</v>
      </c>
      <c r="AA45" s="84" t="str">
        <f>CONCATENATE(D45)</f>
        <v>Jokica Gavrić</v>
      </c>
      <c r="AB45" s="83" t="str">
        <f aca="1">IF(Y45,IF(Z45,AA45,Kontrola_Neispravno),Kontrola_Obavezno)</f>
        <v>Jokica Gavrić</v>
      </c>
    </row>
    <row r="46" spans="2:28" ht="4.50" customHeight="1">
      <c r="B46" s="54"/>
      <c r="Y46" s="24"/>
      <c r="Z46" s="24"/>
      <c r="AA46" s="84"/>
      <c r="AB46" s="82"/>
    </row>
    <row r="47" spans="2:28" ht="15" customHeight="1">
      <c r="B47" s="54" t="str">
        <f aca="1">Podnozje_Broj_licence</f>
        <v>Broj licence:</v>
      </c>
      <c r="D47" s="17" t="s">
        <v>62</v>
      </c>
      <c r="E47" s="17"/>
      <c r="F47" s="17"/>
      <c r="G47" s="17"/>
      <c r="H47" s="17"/>
      <c r="I47" s="17"/>
      <c r="J47" s="17"/>
      <c r="K47" s="17"/>
      <c r="L47" s="17"/>
      <c r="M47" s="17"/>
      <c r="N47" s="17"/>
      <c r="O47" s="17"/>
      <c r="P47" s="17"/>
      <c r="Q47" s="17"/>
      <c r="R47" s="17"/>
      <c r="S47" s="17"/>
      <c r="T47" s="17"/>
      <c r="U47" s="17"/>
      <c r="V47" s="17"/>
      <c r="Y47" s="24" t="b">
        <f>LEN(AA47)&gt;0</f>
        <v>1</v>
      </c>
      <c r="Z47" s="24" t="b">
        <v>1</v>
      </c>
      <c r="AA47" s="84" t="str">
        <f>CONCATENATE(D47)</f>
        <v>srt-0336/24</v>
      </c>
      <c r="AB47" s="83" t="str">
        <f aca="1">IF(Y47,IF(Z47,AA47,Kontrola_Neispravno),Kontrola_Obavezno)</f>
        <v>srt-0336/24</v>
      </c>
    </row>
    <row r="48" spans="2:28" ht="4.50" customHeight="1">
      <c r="B48" s="54"/>
      <c r="Y48" s="24"/>
      <c r="Z48" s="24"/>
      <c r="AA48" s="84"/>
      <c r="AB48" s="82"/>
    </row>
    <row r="49" spans="2:28" ht="15" customHeight="1">
      <c r="B49" s="99" t="str">
        <f aca="1">Podnozje_Direktor</f>
        <v>Lice ovlašćeno za zastupanje:</v>
      </c>
      <c r="D49" s="17"/>
      <c r="E49" s="17"/>
      <c r="F49" s="17"/>
      <c r="G49" s="17"/>
      <c r="H49" s="17"/>
      <c r="I49" s="17"/>
      <c r="J49" s="17"/>
      <c r="K49" s="17"/>
      <c r="L49" s="17"/>
      <c r="M49" s="17"/>
      <c r="N49" s="17"/>
      <c r="O49" s="17"/>
      <c r="P49" s="17"/>
      <c r="Q49" s="17"/>
      <c r="R49" s="17"/>
      <c r="S49" s="17"/>
      <c r="T49" s="17"/>
      <c r="U49" s="17"/>
      <c r="V49" s="17"/>
      <c r="Y49" s="24" t="b">
        <f>LEN(AA49)&gt;0</f>
        <v>0</v>
      </c>
      <c r="Z49" s="24" t="b">
        <v>1</v>
      </c>
      <c r="AA49" s="84" t="str">
        <f>CONCATENATE(D49)</f>
        <v/>
      </c>
      <c r="AB49" s="83" t="str">
        <f aca="1">IF(Y49,IF(Z49,AA49,Kontrola_Neispravno),Kontrola_Obavezno)</f>
        <v>Obavezan unos podataka u formi!</v>
      </c>
    </row>
    <row r="50" spans="2:28" ht="15" customHeight="1">
      <c r="B50" s="54"/>
      <c r="Y50" s="24"/>
      <c r="Z50" s="24"/>
      <c r="AA50" s="84"/>
      <c r="AB50" s="82"/>
    </row>
    <row r="51" spans="2:28" ht="15.75" customHeight="1">
      <c r="B51" s="329" t="str">
        <f aca="1" t="array" ref="B51">Objasnjenja_Kontakt</f>
        <v>Kontakt podaci:</v>
      </c>
      <c r="Y51" s="24"/>
      <c r="Z51" s="24"/>
      <c r="AA51" s="84"/>
      <c r="AB51" s="82"/>
    </row>
    <row r="52" spans="2:28" ht="15" customHeight="1">
      <c r="B52" s="54" t="str">
        <f aca="1">Kontakt_Adresa</f>
        <v>Adresa i broj:</v>
      </c>
      <c r="D52" s="17" t="s">
        <v>63</v>
      </c>
      <c r="E52" s="17"/>
      <c r="F52" s="17"/>
      <c r="G52" s="17"/>
      <c r="H52" s="17"/>
      <c r="I52" s="17"/>
      <c r="J52" s="17"/>
      <c r="K52" s="17"/>
      <c r="L52" s="17"/>
      <c r="M52" s="17"/>
      <c r="N52" s="17"/>
      <c r="O52" s="17"/>
      <c r="P52" s="17"/>
      <c r="Q52" s="17"/>
      <c r="R52" s="17"/>
      <c r="S52" s="17"/>
      <c r="T52" s="17"/>
      <c r="U52" s="17"/>
      <c r="V52" s="17"/>
      <c r="Y52" s="24" t="b">
        <f>LEN(AA52)&gt;0</f>
        <v>1</v>
      </c>
      <c r="Z52" s="24" t="b">
        <v>1</v>
      </c>
      <c r="AA52" s="84" t="str">
        <f>CONCATENATE(D52)</f>
        <v>Pelagićevo bb 76256 Pelagićevo</v>
      </c>
      <c r="AB52" s="83" t="str">
        <f aca="1">IF(Y52,IF(Z52,AA52,Kontrola_Neispravno),Kontrola_Obavezno)</f>
        <v>Pelagićevo bb 76256 Pelagićevo</v>
      </c>
    </row>
    <row r="53" spans="2:28" ht="4.50" customHeight="1">
      <c r="B53" s="54"/>
      <c r="Y53" s="24"/>
      <c r="Z53" s="24"/>
      <c r="AA53" s="84"/>
      <c r="AB53" s="82"/>
    </row>
    <row r="54" spans="2:28" ht="15" customHeight="1">
      <c r="B54" s="54" t="str">
        <f aca="1">Kontakt_web</f>
        <v>Internet adresa:</v>
      </c>
      <c r="D54" s="17"/>
      <c r="E54" s="17"/>
      <c r="F54" s="17"/>
      <c r="G54" s="17"/>
      <c r="H54" s="17"/>
      <c r="I54" s="17"/>
      <c r="J54" s="17"/>
      <c r="K54" s="17"/>
      <c r="L54" s="17"/>
      <c r="M54" s="17"/>
      <c r="N54" s="17"/>
      <c r="O54" s="17"/>
      <c r="P54" s="17"/>
      <c r="Q54" s="17"/>
      <c r="R54" s="17"/>
      <c r="S54" s="17"/>
      <c r="T54" s="17"/>
      <c r="U54" s="17"/>
      <c r="V54" s="17"/>
      <c r="Y54" s="24" t="b">
        <f>LEN(AA54)&gt;=0</f>
        <v>1</v>
      </c>
      <c r="Z54" s="24" t="b">
        <v>1</v>
      </c>
      <c r="AA54" s="84" t="str">
        <f>CONCATENATE(D54)</f>
        <v/>
      </c>
      <c r="AB54" s="83" t="str">
        <f aca="1">IF(Y54,IF(Z54,AA54,Kontrola_Neispravno),Kontrola_Obavezno)</f>
        <v/>
      </c>
    </row>
    <row r="55" spans="2:28" ht="4.50" customHeight="1">
      <c r="B55" s="54"/>
      <c r="D55"/>
      <c r="E55"/>
      <c r="F55"/>
      <c r="G55"/>
      <c r="H55"/>
      <c r="I55"/>
      <c r="J55"/>
      <c r="K55"/>
      <c r="L55"/>
      <c r="M55"/>
      <c r="N55"/>
      <c r="O55"/>
      <c r="P55"/>
      <c r="Q55"/>
      <c r="R55"/>
      <c r="S55"/>
      <c r="T55"/>
      <c r="U55"/>
      <c r="V55"/>
      <c r="Y55" s="24"/>
      <c r="Z55" s="24"/>
      <c r="AA55" s="84"/>
      <c r="AB55" s="82"/>
    </row>
    <row r="56" spans="2:28" ht="15" customHeight="1">
      <c r="B56" s="54" t="str">
        <f aca="1">Kontakt_email</f>
        <v>Adresa e-pošte (email):</v>
      </c>
      <c r="D56" s="17" t="s">
        <v>64</v>
      </c>
      <c r="E56" s="17"/>
      <c r="F56" s="17"/>
      <c r="G56" s="17"/>
      <c r="H56" s="17"/>
      <c r="I56" s="17"/>
      <c r="J56" s="17"/>
      <c r="K56" s="17"/>
      <c r="L56" s="17"/>
      <c r="M56" s="17"/>
      <c r="N56" s="17"/>
      <c r="O56" s="17"/>
      <c r="P56" s="17"/>
      <c r="Q56" s="17"/>
      <c r="R56" s="17"/>
      <c r="S56" s="17"/>
      <c r="T56" s="17"/>
      <c r="U56" s="17"/>
      <c r="V56" s="17"/>
      <c r="Y56" s="24" t="b">
        <f>LEN(AA56)&gt;0</f>
        <v>1</v>
      </c>
      <c r="Z56" s="24" t="b">
        <v>1</v>
      </c>
      <c r="AA56" s="84" t="str">
        <f>CONCATENATE(D56)</f>
        <v>napredak@teol.net</v>
      </c>
      <c r="AB56" s="83" t="str">
        <f aca="1">IF(Y56,IF(Z56,AA56,Kontrola_Neispravno),Kontrola_Obavezno)</f>
        <v>napredak@teol.net</v>
      </c>
    </row>
    <row r="57" spans="2:28" ht="4.50" customHeight="1">
      <c r="B57" s="54"/>
      <c r="D57" s="19"/>
      <c r="E57" s="19"/>
      <c r="F57" s="19"/>
      <c r="G57" s="19"/>
      <c r="H57" s="19"/>
      <c r="I57" s="19"/>
      <c r="J57" s="19"/>
      <c r="K57" s="19"/>
      <c r="L57" s="19"/>
      <c r="M57" s="19"/>
      <c r="N57" s="19"/>
      <c r="O57" s="19"/>
      <c r="P57" s="19"/>
      <c r="Q57" s="52"/>
      <c r="R57" s="52"/>
      <c r="S57" s="52"/>
      <c r="T57" s="52"/>
      <c r="U57"/>
      <c r="Y57" s="24"/>
      <c r="Z57" s="24"/>
      <c r="AA57" s="84"/>
      <c r="AB57" s="82"/>
    </row>
    <row r="58" spans="2:28" ht="15" customHeight="1">
      <c r="B58" s="54" t="str">
        <f aca="1">Kontakt_tel</f>
        <v>Telefon:</v>
      </c>
      <c r="D58" s="16" t="n">
        <v>0</v>
      </c>
      <c r="E58" s="16" t="n">
        <v>5</v>
      </c>
      <c r="F58" s="16" t="n">
        <v>4</v>
      </c>
      <c r="G58" s="52" t="s">
        <v>59</v>
      </c>
      <c r="H58" s="16" t="n">
        <v>8</v>
      </c>
      <c r="I58" s="16" t="n">
        <v>1</v>
      </c>
      <c r="J58" s="16" t="n">
        <v>0</v>
      </c>
      <c r="K58" s="52" t="s">
        <v>59</v>
      </c>
      <c r="L58" s="16" t="n">
        <v>1</v>
      </c>
      <c r="M58" s="16" t="n">
        <v>4</v>
      </c>
      <c r="N58" s="16" t="n">
        <v>4</v>
      </c>
      <c r="O58" s="52"/>
      <c r="P58" s="52"/>
      <c r="Q58" s="52"/>
      <c r="R58" s="52"/>
      <c r="S58" s="52"/>
      <c r="T58" s="52"/>
      <c r="U58"/>
      <c r="V58"/>
      <c r="Y58" s="24" t="b">
        <f>LEN(AA58)=11</f>
        <v>1</v>
      </c>
      <c r="Z58" s="24" t="b">
        <v>1</v>
      </c>
      <c r="AA58" s="84" t="str">
        <f>CONCATENATE(D58,E58,F58,G58,H58,I58,J58,K58,L58,M58,N58)</f>
        <v>054-810-144</v>
      </c>
      <c r="AB58" s="83" t="str">
        <f aca="1">IF(Y58,IF(Z58,AA58,Kontrola_Neispravno),Kontrola_Obavezno)</f>
        <v>054-810-144</v>
      </c>
    </row>
    <row r="59" spans="2:28" ht="4.50" customHeight="1">
      <c r="B59" s="54"/>
      <c r="D59"/>
      <c r="E59"/>
      <c r="F59"/>
      <c r="G59"/>
      <c r="H59"/>
      <c r="I59"/>
      <c r="J59"/>
      <c r="K59"/>
      <c r="L59"/>
      <c r="M59"/>
      <c r="N59"/>
      <c r="O59"/>
      <c r="P59" s="52"/>
      <c r="Q59" s="52"/>
      <c r="R59" s="52"/>
      <c r="S59" s="52"/>
      <c r="T59" s="52"/>
      <c r="U59"/>
      <c r="Y59" s="24"/>
      <c r="Z59" s="24"/>
      <c r="AA59" s="84"/>
      <c r="AB59" s="82"/>
    </row>
    <row r="60" spans="2:28" ht="15" customHeight="1">
      <c r="B60" s="54" t="str">
        <f aca="1">Kontakt_fax</f>
        <v>Faks:</v>
      </c>
      <c r="D60" s="16" t="n">
        <v>0</v>
      </c>
      <c r="E60" s="16" t="n">
        <v>5</v>
      </c>
      <c r="F60" s="16" t="n">
        <v>4</v>
      </c>
      <c r="G60" s="52" t="s">
        <v>59</v>
      </c>
      <c r="H60" s="16" t="n">
        <v>8</v>
      </c>
      <c r="I60" s="16" t="n">
        <v>1</v>
      </c>
      <c r="J60" s="16" t="n">
        <v>0</v>
      </c>
      <c r="K60" s="52" t="s">
        <v>59</v>
      </c>
      <c r="L60" s="16" t="n">
        <v>0</v>
      </c>
      <c r="M60" s="16" t="n">
        <v>8</v>
      </c>
      <c r="N60" s="16" t="n">
        <v>6</v>
      </c>
      <c r="O60" s="52"/>
      <c r="P60" s="52"/>
      <c r="Y60" s="24" t="b">
        <f>OR(LEN(AA60)=2,LEN(AA60)=11)</f>
        <v>1</v>
      </c>
      <c r="Z60" s="24" t="b">
        <v>1</v>
      </c>
      <c r="AA60" s="84" t="str">
        <f>CONCATENATE(D60,E60,F60,G60,H60,I60,J60,K60,L60,M60,N60)</f>
        <v>054-810-086</v>
      </c>
      <c r="AB60" s="83" t="str">
        <f aca="1">IF(Y60,IF(Z60,AA60,Kontrola_Neispravno),Kontrola_Obavezno)</f>
        <v>054-810-086</v>
      </c>
    </row>
    <row r="61" spans="25:27" ht="12.75" customHeight="1">
      <c r="Y61" s="24"/>
      <c r="Z61" s="24"/>
      <c r="AA61" s="84"/>
    </row>
    <row r="62" spans="2:27" ht="15.75" customHeight="1">
      <c r="B62" s="87" t="str">
        <f aca="1">Revizija_Revidiran_izvjestaj</f>
        <v>Revidiran izvještaj:</v>
      </c>
      <c r="D62" s="89"/>
      <c r="E62" s="90"/>
      <c r="Y62" s="86" t="b">
        <v>0</v>
      </c>
      <c r="Z62" s="24"/>
      <c r="AA62" s="84"/>
    </row>
    <row r="63" spans="2:27" ht="4.50" customHeight="1">
      <c r="B63" s="91"/>
      <c r="D63"/>
      <c r="E63"/>
      <c r="Y63" s="24"/>
      <c r="Z63" s="24"/>
      <c r="AA63" s="84"/>
    </row>
    <row r="64" spans="2:28" ht="17.25" customHeight="1">
      <c r="B64" s="54" t="str">
        <f aca="1">IF(Revidiran_izvjestaj,Revizija_Misljenje,"")</f>
        <v/>
      </c>
      <c r="D64"/>
      <c r="E64"/>
      <c r="F64"/>
      <c r="G64"/>
      <c r="H64"/>
      <c r="I64"/>
      <c r="J64"/>
      <c r="K64"/>
      <c r="L64"/>
      <c r="M64"/>
      <c r="N64"/>
      <c r="O64"/>
      <c r="Y64" s="24" t="b">
        <f aca="1">OR(NOT(Revidiran_izvjestaj),LEN(AA64)&gt;0)</f>
        <v>1</v>
      </c>
      <c r="Z64" s="24" t="b">
        <v>1</v>
      </c>
      <c r="AA64" s="84" t="str">
        <f>VLOOKUP(Podesavanja!$E$1,Podesavanja!$E$3:$F$6,2,0)</f>
        <v/>
      </c>
      <c r="AB64" s="81" t="str">
        <f aca="1">IF(Y64,IF(Z64,AA64,Kontrola_Neispravno),Kontrola_Obavezno)</f>
        <v/>
      </c>
    </row>
    <row r="65" spans="2:27" ht="4.50" customHeight="1">
      <c r="B65" s="54"/>
      <c r="Y65" s="24"/>
      <c r="Z65" s="24"/>
      <c r="AA65" s="84"/>
    </row>
    <row r="66" spans="2:27" ht="15" customHeight="1">
      <c r="B66" s="102" t="str">
        <f aca="1">IF(Revidiran_izvjestaj,Revizija_Podaci_o_revizorskoj_firmi,"")</f>
        <v/>
      </c>
      <c r="Y66" s="24"/>
      <c r="Z66" s="24"/>
      <c r="AA66" s="84"/>
    </row>
    <row r="67" spans="2:28" ht="15" customHeight="1">
      <c r="B67" s="54" t="str">
        <f aca="1">IF(Revidiran_izvjestaj,Zaglavlje_MB,"")</f>
        <v/>
      </c>
      <c r="D67" s="16"/>
      <c r="E67" s="16"/>
      <c r="F67" s="16"/>
      <c r="G67" s="16"/>
      <c r="H67" s="16"/>
      <c r="I67" s="16"/>
      <c r="J67" s="16"/>
      <c r="K67" s="16"/>
      <c r="Y67" s="24" t="b">
        <f aca="1">OR(NOT(Revidiran_izvjestaj),LEN(AA67)&gt;=7)</f>
        <v>1</v>
      </c>
      <c r="Z67" s="24" t="b">
        <v>1</v>
      </c>
      <c r="AA67" s="84" t="str">
        <f>CONCATENATE(D67,E67,F67,G67,H67,I67,J67,K67)</f>
        <v/>
      </c>
      <c r="AB67" s="81" t="str">
        <f aca="1">IF(Y67,IF(Z67,AA67,Kontrola_Neispravno),Kontrola_Obavezno)</f>
        <v/>
      </c>
    </row>
    <row r="68" spans="2:27" ht="4.50" customHeight="1">
      <c r="B68"/>
      <c r="C68"/>
      <c r="D68"/>
      <c r="E68"/>
      <c r="F68"/>
      <c r="G68"/>
      <c r="H68"/>
      <c r="I68"/>
      <c r="J68"/>
      <c r="K68"/>
      <c r="L68"/>
      <c r="M68"/>
      <c r="N68"/>
      <c r="O68"/>
      <c r="P68"/>
      <c r="Q68"/>
      <c r="R68"/>
      <c r="S68"/>
      <c r="T68"/>
      <c r="U68"/>
      <c r="V68"/>
      <c r="Y68" s="24"/>
      <c r="Z68" s="24"/>
      <c r="AA68" s="84"/>
    </row>
    <row r="69" spans="2:27" ht="12.75" customHeight="1">
      <c r="B69" s="414" t="str">
        <f aca="1">IF(Revidiran_izvjestaj,Revizija_Naziv_revizorske_firme,"")</f>
        <v/>
      </c>
      <c r="Y69" s="24"/>
      <c r="Z69" s="24"/>
      <c r="AA69" s="84"/>
    </row>
    <row r="70" spans="2:28" ht="15" customHeight="1">
      <c r="B70" s="414"/>
      <c r="D70" s="17"/>
      <c r="E70" s="17"/>
      <c r="F70" s="17"/>
      <c r="G70" s="17"/>
      <c r="H70" s="17"/>
      <c r="I70" s="17"/>
      <c r="J70" s="17"/>
      <c r="K70" s="17"/>
      <c r="L70" s="17"/>
      <c r="M70" s="17"/>
      <c r="N70" s="17"/>
      <c r="O70" s="17"/>
      <c r="P70" s="17"/>
      <c r="Q70" s="17"/>
      <c r="R70" s="17"/>
      <c r="S70" s="17"/>
      <c r="T70" s="17"/>
      <c r="U70" s="17"/>
      <c r="V70" s="17"/>
      <c r="Y70" s="24" t="b">
        <f aca="1">OR(NOT(Revidiran_izvjestaj),LEN(AA70)&gt;0)</f>
        <v>1</v>
      </c>
      <c r="Z70" s="24" t="b">
        <v>1</v>
      </c>
      <c r="AA70" s="84" t="str">
        <f>CONCATENATE(D70)</f>
        <v/>
      </c>
      <c r="AB70" s="83" t="str">
        <f aca="1">IF(Y70,IF(Z70,AA70,Kontrola_Neispravno),Kontrola_Obavezno)</f>
        <v/>
      </c>
    </row>
    <row r="71" spans="2:28" ht="4.50" customHeight="1">
      <c r="B71" s="54"/>
      <c r="D71" s="19"/>
      <c r="E71" s="19"/>
      <c r="F71" s="19"/>
      <c r="G71" s="19"/>
      <c r="H71" s="19"/>
      <c r="I71" s="19"/>
      <c r="J71" s="19"/>
      <c r="K71" s="19"/>
      <c r="L71" s="19"/>
      <c r="M71" s="19"/>
      <c r="N71" s="19"/>
      <c r="O71" s="19"/>
      <c r="P71" s="19"/>
      <c r="Q71" s="19"/>
      <c r="R71" s="19"/>
      <c r="S71" s="19"/>
      <c r="T71" s="19"/>
      <c r="U71" s="19"/>
      <c r="V71" s="19"/>
      <c r="Y71" s="24"/>
      <c r="Z71" s="24"/>
      <c r="AA71" s="84"/>
      <c r="AB71" s="82"/>
    </row>
    <row r="72" spans="2:28" ht="15" customHeight="1">
      <c r="B72" s="54" t="str">
        <f aca="1">IF(Revidiran_izvjestaj,Zaglavlje_Sjediste,"")</f>
        <v/>
      </c>
      <c r="D72" s="17"/>
      <c r="E72" s="17"/>
      <c r="F72" s="17"/>
      <c r="G72" s="17"/>
      <c r="H72" s="17"/>
      <c r="I72" s="17"/>
      <c r="J72" s="17"/>
      <c r="K72" s="17"/>
      <c r="L72" s="17"/>
      <c r="M72" s="17"/>
      <c r="N72" s="17"/>
      <c r="O72" s="17"/>
      <c r="P72" s="17"/>
      <c r="Q72" s="17"/>
      <c r="R72" s="17"/>
      <c r="S72" s="17"/>
      <c r="T72" s="17"/>
      <c r="U72" s="17"/>
      <c r="V72" s="17"/>
      <c r="Y72" s="24" t="b">
        <f aca="1">OR(NOT(Revidiran_izvjestaj),LEN(AA72)&gt;0)</f>
        <v>1</v>
      </c>
      <c r="Z72" s="24" t="b">
        <v>1</v>
      </c>
      <c r="AA72" s="84" t="str">
        <f>CONCATENATE(D72)</f>
        <v/>
      </c>
      <c r="AB72" s="81" t="str">
        <f aca="1">IF(Y72,IF(Z72,AA72,Kontrola_Neispravno),Kontrola_Obavezno)</f>
        <v/>
      </c>
    </row>
    <row r="73" spans="2:28" ht="4.50" customHeight="1">
      <c r="B73" s="54"/>
      <c r="Y73" s="24"/>
      <c r="Z73" s="24"/>
      <c r="AA73" s="84"/>
      <c r="AB73" s="82"/>
    </row>
    <row r="74" spans="2:28" ht="15" customHeight="1">
      <c r="B74" s="54" t="str">
        <f aca="1">IF(Revidiran_izvjestaj,Zaglavlje_JIB,"")</f>
        <v/>
      </c>
      <c r="D74" s="16"/>
      <c r="E74" s="108"/>
      <c r="F74" s="109"/>
      <c r="G74" s="16"/>
      <c r="H74" s="108"/>
      <c r="I74" s="109"/>
      <c r="J74" s="16"/>
      <c r="K74" s="108"/>
      <c r="L74" s="109"/>
      <c r="M74" s="108"/>
      <c r="N74" s="109"/>
      <c r="O74" s="108"/>
      <c r="P74" s="109"/>
      <c r="Q74" s="52"/>
      <c r="R74" s="52"/>
      <c r="S74" s="52"/>
      <c r="T74" s="52"/>
      <c r="U74" s="52"/>
      <c r="V74" s="52"/>
      <c r="Y74" s="24" t="b">
        <f aca="1">OR(NOT(Revidiran_izvjestaj),LEN(AA74)=13)</f>
        <v>1</v>
      </c>
      <c r="Z74" s="24" t="b">
        <f aca="1">IF(NOT(Revidiran_izvjestaj),TRUE,IF(Y74,VALUE(CONCATENATE(P74))=IF(11-MOD(SUMPRODUCT({7;6;5;4;3;2;7;6;5;4;3;2},VALUE(MID(CONCATENATE(D74,E74,F74,G74,H74,I74,J74,K74,L74,M74,N74,O74,P74),{1;2;3;4;5;6;7;8;9;10;11;12},1))),11)&gt;=10,0,11-MOD(SUMPRODUCT({7;6;5;4;3;2;7;6;5;4;3;2},VALUE(MID(CONCATENATE(D74,E74,F74,G74,H74,I74,J74,K74,L74,M74,N74,O74,P74),{1;2;3;4;5;6;7;8;9;10;11;12},1))),11)),FALSE))</f>
        <v>1</v>
      </c>
      <c r="AA74" s="84" t="str">
        <f>CONCATENATE(D74,E74,F74,G74,H74,I74,J74,K74,L74,M74,N74,O74,P74)</f>
        <v/>
      </c>
      <c r="AB74" s="81" t="str">
        <f aca="1">IF(Y74,IF(Z74,AA74,Kontrola_Neispravno),Kontrola_Obavezno)</f>
        <v/>
      </c>
    </row>
    <row r="75" spans="2:26" ht="12.75" customHeight="1">
      <c r="B75"/>
      <c r="C75"/>
      <c r="D75"/>
      <c r="E75"/>
      <c r="F75"/>
      <c r="Y75" s="24"/>
      <c r="Z75" s="24"/>
    </row>
    <row r="76" spans="2:27" ht="15.75" customHeight="1">
      <c r="B76" s="87" t="str">
        <f aca="1">Konsolidovani_Konsolidavani_Izvjestaj</f>
        <v>Konsolidovan izvještaj:</v>
      </c>
      <c r="D76" s="89"/>
      <c r="E76" s="90"/>
      <c r="F76"/>
      <c r="Y76" s="86" t="b">
        <v>0</v>
      </c>
      <c r="Z76" s="142"/>
      <c r="AA76" s="142"/>
    </row>
    <row r="77" spans="2:2" ht="4.50" customHeight="1">
      <c r="B77" s="88"/>
    </row>
    <row r="78" spans="2:2" ht="15" customHeight="1">
      <c r="B78" s="101" t="str">
        <f aca="1">IF(Konsolidovan_izvjestaj,Konsolidovani_Konsolidovani&amp;" 1:","")</f>
        <v/>
      </c>
    </row>
    <row r="79" spans="2:27" ht="15" customHeight="1">
      <c r="B79" s="54" t="str">
        <f aca="1">IF(Konsolidovan_izvjestaj,Zaglavlje_MB,"")</f>
        <v/>
      </c>
      <c r="D79" s="16"/>
      <c r="E79" s="16"/>
      <c r="F79" s="16"/>
      <c r="G79" s="16"/>
      <c r="H79" s="16"/>
      <c r="I79" s="16"/>
      <c r="J79" s="16"/>
      <c r="K79" s="16"/>
      <c r="Y79"/>
      <c r="Z79"/>
      <c r="AA79"/>
    </row>
    <row r="80" spans="1:2" ht="4.50" customHeight="1">
      <c r="A80"/>
      <c r="B80"/>
    </row>
    <row r="81" spans="2:27" ht="12.75" customHeight="1">
      <c r="B81" s="414" t="str">
        <f aca="1">IF(Konsolidovan_izvjestaj,Zaglavlje_Naziv_preduzeca,"")</f>
        <v/>
      </c>
      <c r="Y81"/>
      <c r="Z81"/>
      <c r="AA81"/>
    </row>
    <row r="82" spans="2:27" ht="21" customHeight="1">
      <c r="B82" s="414"/>
      <c r="D82" s="17"/>
      <c r="E82" s="17"/>
      <c r="F82" s="17"/>
      <c r="G82" s="17"/>
      <c r="H82" s="17"/>
      <c r="I82" s="17"/>
      <c r="J82" s="17"/>
      <c r="K82" s="17"/>
      <c r="L82" s="17"/>
      <c r="M82" s="17"/>
      <c r="N82" s="17"/>
      <c r="O82" s="17"/>
      <c r="P82" s="17"/>
      <c r="Q82" s="17"/>
      <c r="R82" s="17"/>
      <c r="S82" s="17"/>
      <c r="T82" s="17"/>
      <c r="U82" s="17"/>
      <c r="V82" s="17"/>
      <c r="Y82"/>
      <c r="Z82"/>
      <c r="AA82"/>
    </row>
    <row r="83" spans="2:27" ht="10.50" customHeight="1">
      <c r="B83" s="54"/>
      <c r="D83" s="19"/>
      <c r="E83" s="19"/>
      <c r="F83" s="19"/>
      <c r="G83" s="19"/>
      <c r="H83" s="19"/>
      <c r="I83" s="19"/>
      <c r="J83" s="19"/>
      <c r="K83" s="19"/>
      <c r="L83" s="19"/>
      <c r="M83" s="19"/>
      <c r="N83" s="19"/>
      <c r="O83" s="19"/>
      <c r="P83" s="19"/>
      <c r="Q83" s="19"/>
      <c r="R83" s="19"/>
      <c r="S83" s="19"/>
      <c r="T83" s="19"/>
      <c r="U83" s="19"/>
      <c r="V83" s="19"/>
      <c r="Y83"/>
      <c r="Z83"/>
      <c r="AA83"/>
    </row>
    <row r="84" spans="2:27" ht="15" customHeight="1">
      <c r="B84" s="54" t="str">
        <f aca="1">IF(Konsolidovan_izvjestaj,Zaglavlje_Sjediste,"")</f>
        <v/>
      </c>
      <c r="D84" s="17"/>
      <c r="E84" s="17"/>
      <c r="F84" s="17"/>
      <c r="G84" s="17"/>
      <c r="H84" s="17"/>
      <c r="I84" s="17"/>
      <c r="J84" s="17"/>
      <c r="K84" s="17"/>
      <c r="L84" s="17"/>
      <c r="M84" s="17"/>
      <c r="N84" s="17"/>
      <c r="O84" s="17"/>
      <c r="P84" s="17"/>
      <c r="Q84" s="17"/>
      <c r="R84" s="17"/>
      <c r="S84" s="17"/>
      <c r="T84" s="17"/>
      <c r="U84" s="17"/>
      <c r="V84" s="17"/>
      <c r="Y84"/>
      <c r="Z84"/>
      <c r="AA84"/>
    </row>
    <row r="85" spans="2:27" ht="4.50" customHeight="1">
      <c r="B85" s="54"/>
      <c r="Y85"/>
      <c r="Z85"/>
      <c r="AA85"/>
    </row>
    <row r="86" spans="2:27" ht="15" customHeight="1">
      <c r="B86" s="54" t="str">
        <f aca="1">IF(Konsolidovan_izvjestaj,Zaglavlje_JIB,"")</f>
        <v/>
      </c>
      <c r="D86" s="16"/>
      <c r="E86" s="108"/>
      <c r="F86" s="109"/>
      <c r="G86" s="16"/>
      <c r="H86" s="108"/>
      <c r="I86" s="109"/>
      <c r="J86" s="16"/>
      <c r="K86" s="108"/>
      <c r="L86" s="109"/>
      <c r="M86" s="108"/>
      <c r="N86" s="109"/>
      <c r="O86" s="108"/>
      <c r="P86" s="109"/>
      <c r="Q86" s="52"/>
      <c r="R86" s="52"/>
      <c r="S86" s="52"/>
      <c r="T86" s="52"/>
      <c r="U86" s="52"/>
      <c r="V86" s="52"/>
      <c r="Y86"/>
      <c r="Z86"/>
      <c r="AA86"/>
    </row>
    <row r="87" spans="2:27" ht="4.50" customHeight="1">
      <c r="B87" s="88"/>
      <c r="Y87"/>
      <c r="Z87"/>
      <c r="AA87"/>
    </row>
    <row r="88" spans="2:27" ht="15" customHeight="1">
      <c r="B88" s="101" t="str">
        <f aca="1">IF(Konsolidovan_izvjestaj,Konsolidovani_Konsolidovani&amp;" 2:","")</f>
        <v/>
      </c>
      <c r="Y88"/>
      <c r="Z88"/>
      <c r="AA88"/>
    </row>
    <row r="89" spans="2:27" ht="15" customHeight="1">
      <c r="B89" s="54" t="str">
        <f aca="1">IF(Konsolidovan_izvjestaj,Zaglavlje_MB,"")</f>
        <v/>
      </c>
      <c r="D89" s="16"/>
      <c r="E89" s="16"/>
      <c r="F89" s="16"/>
      <c r="G89" s="16"/>
      <c r="H89" s="16"/>
      <c r="I89" s="16"/>
      <c r="J89" s="16"/>
      <c r="K89" s="16"/>
      <c r="Y89"/>
      <c r="Z89"/>
      <c r="AA89"/>
    </row>
    <row r="90" spans="2:2" ht="4.50" customHeight="1">
      <c r="B90"/>
    </row>
    <row r="91" spans="2:2" ht="12.75" customHeight="1">
      <c r="B91" s="414" t="str">
        <f aca="1">IF(Konsolidovan_izvjestaj,Zaglavlje_Naziv_preduzeca,"")</f>
        <v/>
      </c>
    </row>
    <row r="92" spans="2:22" ht="21.75" customHeight="1">
      <c r="B92" s="414"/>
      <c r="D92" s="17"/>
      <c r="E92" s="17"/>
      <c r="F92" s="17"/>
      <c r="G92" s="17"/>
      <c r="H92" s="17"/>
      <c r="I92" s="17"/>
      <c r="J92" s="17"/>
      <c r="K92" s="17"/>
      <c r="L92" s="17"/>
      <c r="M92" s="17"/>
      <c r="N92" s="17"/>
      <c r="O92" s="17"/>
      <c r="P92" s="17"/>
      <c r="Q92" s="17"/>
      <c r="R92" s="17"/>
      <c r="S92" s="17"/>
      <c r="T92" s="17"/>
      <c r="U92" s="17"/>
      <c r="V92" s="17"/>
    </row>
    <row r="93" spans="2:22" ht="10.50" customHeight="1">
      <c r="B93" s="54"/>
      <c r="D93" s="19"/>
      <c r="E93" s="19"/>
      <c r="F93" s="19"/>
      <c r="G93" s="19"/>
      <c r="H93" s="19"/>
      <c r="I93" s="19"/>
      <c r="J93" s="19"/>
      <c r="K93" s="19"/>
      <c r="L93" s="19"/>
      <c r="M93" s="19"/>
      <c r="N93" s="19"/>
      <c r="O93" s="19"/>
      <c r="P93" s="19"/>
      <c r="Q93" s="19"/>
      <c r="R93" s="19"/>
      <c r="S93" s="19"/>
      <c r="T93" s="19"/>
      <c r="U93" s="19"/>
      <c r="V93" s="19"/>
    </row>
    <row r="94" spans="2:22" ht="15" customHeight="1">
      <c r="B94" s="54" t="str">
        <f aca="1">IF(Konsolidovan_izvjestaj,Zaglavlje_Sjediste,"")</f>
        <v/>
      </c>
      <c r="D94" s="17"/>
      <c r="E94" s="17"/>
      <c r="F94" s="17"/>
      <c r="G94" s="17"/>
      <c r="H94" s="17"/>
      <c r="I94" s="17"/>
      <c r="J94" s="17"/>
      <c r="K94" s="17"/>
      <c r="L94" s="17"/>
      <c r="M94" s="17"/>
      <c r="N94" s="17"/>
      <c r="O94" s="17"/>
      <c r="P94" s="17"/>
      <c r="Q94" s="17"/>
      <c r="R94" s="17"/>
      <c r="S94" s="17"/>
      <c r="T94" s="17"/>
      <c r="U94" s="17"/>
      <c r="V94" s="17"/>
    </row>
    <row r="95" spans="2:2" ht="4.50" customHeight="1">
      <c r="B95" s="54"/>
    </row>
    <row r="96" spans="2:22" ht="15" customHeight="1">
      <c r="B96" s="54" t="str">
        <f aca="1">IF(Konsolidovan_izvjestaj,Zaglavlje_JIB,"")</f>
        <v/>
      </c>
      <c r="D96" s="16"/>
      <c r="E96" s="108"/>
      <c r="F96" s="109"/>
      <c r="G96" s="16"/>
      <c r="H96" s="108"/>
      <c r="I96" s="109"/>
      <c r="J96" s="16"/>
      <c r="K96" s="108"/>
      <c r="L96" s="109"/>
      <c r="M96" s="108"/>
      <c r="N96" s="109"/>
      <c r="O96" s="108"/>
      <c r="P96" s="109"/>
      <c r="Q96" s="52"/>
      <c r="R96" s="52"/>
      <c r="S96" s="52"/>
      <c r="T96" s="52"/>
      <c r="U96" s="52"/>
      <c r="V96" s="52"/>
    </row>
    <row r="97" spans="2:2" ht="4.50" customHeight="1">
      <c r="B97" s="88"/>
    </row>
    <row r="98" spans="2:2" ht="15" customHeight="1">
      <c r="B98" s="101" t="str">
        <f aca="1">IF(Konsolidovan_izvjestaj,Konsolidovani_Konsolidovani&amp;" 3:","")</f>
        <v/>
      </c>
    </row>
    <row r="99" spans="2:11" ht="15" customHeight="1">
      <c r="B99" s="54" t="str">
        <f aca="1">IF(Konsolidovan_izvjestaj,Zaglavlje_MB,"")</f>
        <v/>
      </c>
      <c r="D99" s="16"/>
      <c r="E99" s="16"/>
      <c r="F99" s="16"/>
      <c r="G99" s="16"/>
      <c r="H99" s="16"/>
      <c r="I99" s="16"/>
      <c r="J99" s="16"/>
      <c r="K99" s="16"/>
    </row>
    <row r="100" spans="1:2" ht="15" customHeight="1">
      <c r="A100"/>
      <c r="B100"/>
    </row>
    <row r="101" spans="2:2" ht="12.75" customHeight="1">
      <c r="B101" s="414" t="str">
        <f aca="1">IF(Konsolidovan_izvjestaj,Zaglavlje_Naziv_preduzeca,"")</f>
        <v/>
      </c>
    </row>
    <row r="102" spans="2:22" ht="20.25" customHeight="1">
      <c r="B102" s="414"/>
      <c r="D102" s="17"/>
      <c r="E102" s="17"/>
      <c r="F102" s="17"/>
      <c r="G102" s="17"/>
      <c r="H102" s="17"/>
      <c r="I102" s="17"/>
      <c r="J102" s="17"/>
      <c r="K102" s="17"/>
      <c r="L102" s="17"/>
      <c r="M102" s="17"/>
      <c r="N102" s="17"/>
      <c r="O102" s="17"/>
      <c r="P102" s="17"/>
      <c r="Q102" s="17"/>
      <c r="R102" s="17"/>
      <c r="S102" s="17"/>
      <c r="T102" s="17"/>
      <c r="U102" s="17"/>
      <c r="V102" s="17"/>
    </row>
    <row r="103" spans="2:22" ht="15" customHeight="1">
      <c r="B103" s="54"/>
      <c r="D103" s="19"/>
      <c r="E103" s="19"/>
      <c r="F103" s="19"/>
      <c r="G103" s="19"/>
      <c r="H103" s="19"/>
      <c r="I103" s="19"/>
      <c r="J103" s="19"/>
      <c r="K103" s="19"/>
      <c r="L103" s="19"/>
      <c r="M103" s="19"/>
      <c r="N103" s="19"/>
      <c r="O103" s="19"/>
      <c r="P103" s="19"/>
      <c r="Q103" s="19"/>
      <c r="R103" s="19"/>
      <c r="S103" s="19"/>
      <c r="T103" s="19"/>
      <c r="U103" s="19"/>
      <c r="V103" s="19"/>
    </row>
    <row r="104" spans="2:22" ht="15" customHeight="1">
      <c r="B104" s="54" t="str">
        <f aca="1">IF(Konsolidovan_izvjestaj,Zaglavlje_Sjediste,"")</f>
        <v/>
      </c>
      <c r="D104" s="17"/>
      <c r="E104" s="17"/>
      <c r="F104" s="17"/>
      <c r="G104" s="17"/>
      <c r="H104" s="17"/>
      <c r="I104" s="17"/>
      <c r="J104" s="17"/>
      <c r="K104" s="17"/>
      <c r="L104" s="17"/>
      <c r="M104" s="17"/>
      <c r="N104" s="17"/>
      <c r="O104" s="17"/>
      <c r="P104" s="17"/>
      <c r="Q104" s="17"/>
      <c r="R104" s="17"/>
      <c r="S104" s="17"/>
      <c r="T104" s="17"/>
      <c r="U104" s="17"/>
      <c r="V104" s="17"/>
    </row>
    <row r="105" spans="2:2" ht="4.50" customHeight="1">
      <c r="B105" s="54"/>
    </row>
    <row r="106" spans="2:22" ht="15" customHeight="1">
      <c r="B106" s="54" t="str">
        <f aca="1">IF(Konsolidovan_izvjestaj,Zaglavlje_JIB,"")</f>
        <v/>
      </c>
      <c r="D106" s="16"/>
      <c r="E106" s="108"/>
      <c r="F106" s="109"/>
      <c r="G106" s="16"/>
      <c r="H106" s="108"/>
      <c r="I106" s="109"/>
      <c r="J106" s="16"/>
      <c r="K106" s="108"/>
      <c r="L106" s="109"/>
      <c r="M106" s="108"/>
      <c r="N106" s="109"/>
      <c r="O106" s="108"/>
      <c r="P106" s="109"/>
      <c r="Q106" s="52"/>
      <c r="R106" s="52"/>
      <c r="S106" s="52"/>
      <c r="T106" s="52"/>
      <c r="U106" s="52"/>
      <c r="V106" s="52"/>
    </row>
    <row r="107" spans="1:1" ht="4.50" customHeight="1"/>
    <row r="108" spans="2:2" ht="15" customHeight="1">
      <c r="B108" s="101" t="str">
        <f aca="1">IF(Konsolidovan_izvjestaj,Konsolidovani_Konsolidovani&amp;" 4:","")</f>
        <v/>
      </c>
    </row>
    <row r="109" spans="2:11" ht="15" customHeight="1">
      <c r="B109" s="54" t="str">
        <f aca="1">IF(Konsolidovan_izvjestaj,Zaglavlje_MB,"")</f>
        <v/>
      </c>
      <c r="D109" s="16"/>
      <c r="E109" s="16"/>
      <c r="F109" s="16"/>
      <c r="G109" s="16"/>
      <c r="H109" s="16"/>
      <c r="I109" s="16"/>
      <c r="J109" s="16"/>
      <c r="K109" s="16"/>
    </row>
    <row r="110" spans="2:22" ht="12.75" customHeight="1">
      <c r="B110"/>
      <c r="C110"/>
      <c r="D110"/>
      <c r="E110"/>
      <c r="F110"/>
      <c r="G110"/>
      <c r="H110"/>
      <c r="I110"/>
      <c r="J110"/>
      <c r="K110"/>
      <c r="L110"/>
      <c r="M110"/>
      <c r="N110"/>
      <c r="O110"/>
      <c r="P110"/>
      <c r="Q110"/>
      <c r="R110"/>
      <c r="S110"/>
      <c r="T110"/>
      <c r="U110"/>
      <c r="V110"/>
    </row>
    <row r="111" spans="2:2" ht="20.25" customHeight="1">
      <c r="B111" s="414" t="str">
        <f aca="1">IF(Konsolidovan_izvjestaj,Zaglavlje_Naziv_preduzeca,"")</f>
        <v/>
      </c>
    </row>
    <row r="112" spans="2:22" ht="22.50" customHeight="1">
      <c r="B112" s="414"/>
      <c r="D112" s="17"/>
      <c r="E112" s="17"/>
      <c r="F112" s="17"/>
      <c r="G112" s="17"/>
      <c r="H112" s="17"/>
      <c r="I112" s="17"/>
      <c r="J112" s="17"/>
      <c r="K112" s="17"/>
      <c r="L112" s="17"/>
      <c r="M112" s="17"/>
      <c r="N112" s="17"/>
      <c r="O112" s="17"/>
      <c r="P112" s="17"/>
      <c r="Q112" s="17"/>
      <c r="R112" s="17"/>
      <c r="S112" s="17"/>
      <c r="T112" s="17"/>
      <c r="U112" s="17"/>
      <c r="V112" s="17"/>
    </row>
    <row r="113" spans="2:32" ht="12.75" customHeight="1">
      <c r="B113" s="54"/>
      <c r="D113" s="19"/>
      <c r="E113" s="19"/>
      <c r="F113" s="19"/>
      <c r="G113" s="19"/>
      <c r="H113" s="19"/>
      <c r="I113" s="19"/>
      <c r="J113" s="19"/>
      <c r="K113" s="19"/>
      <c r="L113" s="19"/>
      <c r="M113" s="19"/>
      <c r="N113" s="19"/>
      <c r="O113" s="19"/>
      <c r="P113" s="19"/>
      <c r="Q113" s="19"/>
      <c r="R113" s="19"/>
      <c r="S113" s="19"/>
      <c r="T113" s="19"/>
      <c r="U113" s="19"/>
      <c r="V113" s="19"/>
      <c r="AF113" s="78"/>
    </row>
    <row r="114" spans="2:22" ht="15" customHeight="1">
      <c r="B114" s="54" t="str">
        <f aca="1">IF(Konsolidovan_izvjestaj,Zaglavlje_Sjediste,"")</f>
        <v/>
      </c>
      <c r="D114" s="17"/>
      <c r="E114" s="17"/>
      <c r="F114" s="17"/>
      <c r="G114" s="17"/>
      <c r="H114" s="17"/>
      <c r="I114" s="17"/>
      <c r="J114" s="17"/>
      <c r="K114" s="17"/>
      <c r="L114" s="17"/>
      <c r="M114" s="17"/>
      <c r="N114" s="17"/>
      <c r="O114" s="17"/>
      <c r="P114" s="17"/>
      <c r="Q114" s="17"/>
      <c r="R114" s="17"/>
      <c r="S114" s="17"/>
      <c r="T114" s="17"/>
      <c r="U114" s="17"/>
      <c r="V114" s="17"/>
    </row>
    <row r="115" spans="2:2" ht="12.75" customHeight="1">
      <c r="B115" s="54"/>
    </row>
    <row r="116" spans="2:22" ht="15" customHeight="1">
      <c r="B116" s="54" t="str">
        <f aca="1">IF(Konsolidovan_izvjestaj,Zaglavlje_JIB,"")</f>
        <v/>
      </c>
      <c r="D116" s="16"/>
      <c r="E116" s="108"/>
      <c r="F116" s="109"/>
      <c r="G116" s="16"/>
      <c r="H116" s="108"/>
      <c r="I116" s="109"/>
      <c r="J116" s="16"/>
      <c r="K116" s="108"/>
      <c r="L116" s="109"/>
      <c r="M116" s="108"/>
      <c r="N116" s="109"/>
      <c r="O116" s="108"/>
      <c r="P116" s="109"/>
      <c r="Q116" s="52"/>
      <c r="R116" s="52"/>
      <c r="S116" s="52"/>
      <c r="T116" s="52"/>
      <c r="U116" s="52"/>
      <c r="V116" s="52"/>
    </row>
    <row r="117" spans="1:1" ht="4.50" customHeight="1"/>
    <row r="118" spans="2:2" ht="15" customHeight="1">
      <c r="B118" s="101" t="str">
        <f aca="1">IF(Konsolidovan_izvjestaj,Konsolidovani_Konsolidovani&amp;" 5:","")</f>
        <v/>
      </c>
    </row>
    <row r="119" spans="2:11" ht="15" customHeight="1">
      <c r="B119" s="54" t="str">
        <f aca="1">IF(Konsolidovan_izvjestaj,Zaglavlje_MB,"")</f>
        <v/>
      </c>
      <c r="D119" s="16"/>
      <c r="E119" s="16"/>
      <c r="F119" s="16"/>
      <c r="G119" s="16"/>
      <c r="H119" s="16"/>
      <c r="I119" s="16"/>
      <c r="J119" s="16"/>
      <c r="K119" s="16"/>
    </row>
    <row r="120" spans="2:22" ht="12.75" customHeight="1">
      <c r="B120"/>
      <c r="C120"/>
      <c r="D120"/>
      <c r="E120"/>
      <c r="F120"/>
      <c r="G120"/>
      <c r="H120"/>
      <c r="I120"/>
      <c r="J120"/>
      <c r="K120"/>
      <c r="L120"/>
      <c r="M120"/>
      <c r="N120"/>
      <c r="O120"/>
      <c r="P120"/>
      <c r="Q120"/>
      <c r="R120"/>
      <c r="S120"/>
      <c r="T120"/>
      <c r="U120"/>
      <c r="V120"/>
    </row>
    <row r="121" spans="2:2" ht="18" customHeight="1">
      <c r="B121" s="414" t="str">
        <f aca="1">IF(Konsolidovan_izvjestaj,Zaglavlje_Naziv_preduzeca,"")</f>
        <v/>
      </c>
    </row>
    <row r="122" spans="2:22" ht="8.25" customHeight="1">
      <c r="B122" s="414"/>
      <c r="D122" s="17"/>
      <c r="E122" s="17"/>
      <c r="F122" s="17"/>
      <c r="G122" s="17"/>
      <c r="H122" s="17"/>
      <c r="I122" s="17"/>
      <c r="J122" s="17"/>
      <c r="K122" s="17"/>
      <c r="L122" s="17"/>
      <c r="M122" s="17"/>
      <c r="N122" s="17"/>
      <c r="O122" s="17"/>
      <c r="P122" s="17"/>
      <c r="Q122" s="17"/>
      <c r="R122" s="17"/>
      <c r="S122" s="17"/>
      <c r="T122" s="17"/>
      <c r="U122" s="17"/>
      <c r="V122" s="17"/>
    </row>
    <row r="123" spans="2:22" ht="12.75" customHeight="1">
      <c r="B123" s="54"/>
      <c r="D123" s="19"/>
      <c r="E123" s="19"/>
      <c r="F123" s="19"/>
      <c r="G123" s="19"/>
      <c r="H123" s="19"/>
      <c r="I123" s="19"/>
      <c r="J123" s="19"/>
      <c r="K123" s="19"/>
      <c r="L123" s="19"/>
      <c r="M123" s="19"/>
      <c r="N123" s="19"/>
      <c r="O123" s="19"/>
      <c r="P123" s="19"/>
      <c r="Q123" s="19"/>
      <c r="R123" s="19"/>
      <c r="S123" s="19"/>
      <c r="T123" s="19"/>
      <c r="U123" s="19"/>
      <c r="V123" s="19"/>
    </row>
    <row r="124" spans="2:22" ht="15" customHeight="1">
      <c r="B124" s="54" t="str">
        <f aca="1">IF(Konsolidovan_izvjestaj,Zaglavlje_Sjediste,"")</f>
        <v/>
      </c>
      <c r="D124" s="17"/>
      <c r="E124" s="17"/>
      <c r="F124" s="17"/>
      <c r="G124" s="17"/>
      <c r="H124" s="17"/>
      <c r="I124" s="17"/>
      <c r="J124" s="17"/>
      <c r="K124" s="17"/>
      <c r="L124" s="17"/>
      <c r="M124" s="17"/>
      <c r="N124" s="17"/>
      <c r="O124" s="17"/>
      <c r="P124" s="17"/>
      <c r="Q124" s="17"/>
      <c r="R124" s="17"/>
      <c r="S124" s="17"/>
      <c r="T124" s="17"/>
      <c r="U124" s="17"/>
      <c r="V124" s="17"/>
    </row>
    <row r="125" spans="2:2" ht="12.75" customHeight="1">
      <c r="B125" s="54"/>
    </row>
    <row r="126" spans="2:22" ht="15" customHeight="1">
      <c r="B126" s="54" t="str">
        <f aca="1">IF(Konsolidovan_izvjestaj,Zaglavlje_JIB,"")</f>
        <v/>
      </c>
      <c r="D126" s="16"/>
      <c r="E126" s="108"/>
      <c r="F126" s="109"/>
      <c r="G126" s="16"/>
      <c r="H126" s="108"/>
      <c r="I126" s="109"/>
      <c r="J126" s="16"/>
      <c r="K126" s="108"/>
      <c r="L126" s="109"/>
      <c r="M126" s="108"/>
      <c r="N126" s="109"/>
      <c r="O126" s="108"/>
      <c r="P126" s="109"/>
      <c r="Q126" s="52"/>
      <c r="R126" s="52"/>
      <c r="S126" s="52"/>
      <c r="T126" s="52"/>
      <c r="U126" s="52"/>
      <c r="V126" s="52"/>
    </row>
  </sheetData>
  <sheetProtection algorithmName="SHA-512" hashValue="MDCXwUu+yq9tbsbsPPySRYY9vOCs1/YUD5uUo/RhNJcA2EIrwqDFgZOgdgfkFSiqexY4vOdQqYmcMp19KuWS2w==" saltValue="5OSHzLcy6XWMGGO0zRRf7w==" spinCount="100000" sheet="1" autoFilter="0"/>
  <mergeCells count="36">
    <mergeCell ref="D8:E8"/>
    <mergeCell ref="G8:H8"/>
    <mergeCell ref="J8:L10"/>
    <mergeCell ref="D10:E10"/>
    <mergeCell ref="G10:H10"/>
    <mergeCell ref="B19:B20"/>
    <mergeCell ref="D20:V20"/>
    <mergeCell ref="D22:V22"/>
    <mergeCell ref="D40:V40"/>
    <mergeCell ref="D43:E43"/>
    <mergeCell ref="G43:H43"/>
    <mergeCell ref="J43:L43"/>
    <mergeCell ref="D45:V45"/>
    <mergeCell ref="D47:V47"/>
    <mergeCell ref="D49:V49"/>
    <mergeCell ref="D52:V52"/>
    <mergeCell ref="D54:V54"/>
    <mergeCell ref="D56:V56"/>
    <mergeCell ref="B69:B70"/>
    <mergeCell ref="D70:V70"/>
    <mergeCell ref="D72:V72"/>
    <mergeCell ref="B81:B82"/>
    <mergeCell ref="D82:V82"/>
    <mergeCell ref="D84:V84"/>
    <mergeCell ref="B91:B92"/>
    <mergeCell ref="D92:V92"/>
    <mergeCell ref="D94:V94"/>
    <mergeCell ref="B101:B102"/>
    <mergeCell ref="D102:V102"/>
    <mergeCell ref="D104:V104"/>
    <mergeCell ref="B111:B112"/>
    <mergeCell ref="D112:V112"/>
    <mergeCell ref="D114:V114"/>
    <mergeCell ref="B121:B122"/>
    <mergeCell ref="D122:V122"/>
    <mergeCell ref="D124:V124"/>
  </mergeCells>
  <conditionalFormatting sqref="U37:V37">
    <cfRule type="expression" dxfId="1" priority="1" stopIfTrue="1">
      <formula>$AC$3&gt;0</formula>
    </cfRule>
  </conditionalFormatting>
  <conditionalFormatting sqref="U35:V35">
    <cfRule type="expression" dxfId="2" priority="2" stopIfTrue="1">
      <formula>$AC$3&gt;0</formula>
    </cfRule>
  </conditionalFormatting>
  <conditionalFormatting sqref="U33:V33">
    <cfRule type="expression" dxfId="3" priority="3" stopIfTrue="1">
      <formula>$AC$3&gt;0</formula>
    </cfRule>
  </conditionalFormatting>
  <conditionalFormatting sqref="U31:V31">
    <cfRule type="expression" dxfId="4" priority="4" stopIfTrue="1">
      <formula>$AC$3&gt;0</formula>
    </cfRule>
  </conditionalFormatting>
  <conditionalFormatting sqref="U29:V29">
    <cfRule type="expression" dxfId="5" priority="5" stopIfTrue="1">
      <formula>$AC$3&gt;0</formula>
    </cfRule>
  </conditionalFormatting>
  <conditionalFormatting sqref="U27:V27">
    <cfRule type="expression" dxfId="6" priority="6" stopIfTrue="1">
      <formula>$AC$3&gt;0</formula>
    </cfRule>
  </conditionalFormatting>
  <conditionalFormatting sqref="G17:I17">
    <cfRule type="expression" dxfId="7" priority="7" stopIfTrue="1">
      <formula>$AC$3&gt;0</formula>
    </cfRule>
  </conditionalFormatting>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8" priority="8" stopIfTrue="1">
      <formula>$AC$3&gt;0</formula>
    </cfRule>
  </conditionalFormatting>
  <conditionalFormatting sqref="E24:P24 E74:P74 E86:P86 E96:P96 E106:P106 E116:P116 E126:P126">
    <cfRule type="expression" dxfId="9" priority="9" stopIfTrue="1">
      <formula>$O$14&gt;0</formula>
    </cfRule>
  </conditionalFormatting>
  <dataValidations count="6">
    <dataValidation sqref="J8:L10" type="whole" operator="greaterThanOrEqual" errorStyle="stop" showErrorMessage="1" errorTitle="Neispravan unos!" error="Unesite cijeli broj &gt;= 2016." view="0">
      <formula1>2016</formula1>
      <formula2/>
    </dataValidation>
    <dataValidation sqref="D8:E8 D10:E10 D43:E43" type="whole" operator="between" errorStyle="stop" allowBlank="1" showErrorMessage="1" errorTitle="Neispravan unos!" error="Unesite dan u mjesecu." view="0">
      <formula1>1</formula1>
      <formula2>31</formula2>
    </dataValidation>
    <dataValidation sqref="G8:H8 G10:H10 G43:H43" type="whole" operator="between" errorStyle="stop" allowBlank="1" showErrorMessage="1" errorTitle="Neispravan unos!" error="Unesite cijeli broj mjeseca od 0 do 12." view="0">
      <formula1>1</formula1>
      <formula2>12</formula2>
    </dataValidation>
    <dataValidation sqref="D15:K15 D17:E17 G17:H17 D24:P24 D27:F27 H27:J27 L27:S27 U27:V27 D29:F29 H29:J29 L29:S29 U29:V29 D31:F31 H31:J31 L31:S31 U31:V31 D33:F33 H33:J33 L33:S33 U33:V33 D35:F35 H35:J35 L35:S35 U35:V35 D37:F37 H37:J37 L37:S37 U37:V37 D58:F58 H58:J58 L58:N58 D60:F60 H60:J60 L60:N60 D67:K67 D74:P74 D79:K79 D86:P86 D89:K89 D96:P96 D99:K99 D106:P106 D109:K109 D116:P116 D119:K119 D126:P126" type="whole" operator="between" errorStyle="stop" allowBlank="1" showErrorMessage="1" errorTitle="Neispravan unos!" error="Unesite cijeli broj od 0 do 9." view="0">
      <formula1>0</formula1>
      <formula2>9</formula2>
    </dataValidation>
    <dataValidation sqref="I17" type="whole" operator="between" errorStyle="stop" allowBlank="1" showInputMessage="1" showErrorMessage="1" promptTitle="Šifra klasifikacije djelatnosti" prompt="Peta cifra klasifikacije djelatnosti se unosi za stare šifre djelatnosti._x000a__x000a_www.rzs.rs.ba" errorTitle="Neispravan unos!" error="Unesite cijeli broj od 0 do 9." view="0">
      <formula1>0</formula1>
      <formula2>9</formula2>
    </dataValidation>
    <dataValidation sqref="J43:L43" type="whole" operator="greaterThanOrEqual" errorStyle="stop" showErrorMessage="1" errorTitle="Neispravan unos!" error="Unesite cijeli broj veći od 2010." view="0">
      <formula1>2015</formula1>
      <formula2/>
    </dataValidation>
  </dataValidations>
  <printOptions horizontalCentered="1">
    <extLst>
      <ext uri="smNativeData">
        <pm:pageFlags xmlns:pm="smNativeData" id="1714042646" printRowHead="0" printColHead="0" printHeadLine="0" printFootLine="1" autoHeightHeader="0" autoHeightFooter="0" fitToPageBoth="0"/>
      </ext>
    </extLst>
  </printOptions>
  <pageMargins left="0.708333" right="0.708333" top="0.747917" bottom="0.747917" header="0.315278" footer="0.315278"/>
  <pageSetup paperSize="9" scale="78" fitToWidth="0" fitToHeight="2"/>
  <headerFooter>
    <oddFooter>&amp;RStrana &amp;P od &amp;N</odd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rowBreaks count="1" manualBreakCount="1">
    <brk id="75" man="1"/>
  </rowBreaks>
  <drawing r:id="rId1"/>
  <legacyDrawing r:id="rId2"/>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B2B2B2"/>
  </sheetPr>
  <dimension ref="A1:T175"/>
  <sheetViews>
    <sheetView showGridLines="0" showRowColHeaders="0" view="normal" workbookViewId="0">
      <pane xSplit="14" ySplit="4" topLeftCell="O146" activePane="bottomRight" state="frozen"/>
      <selection pane="bottomRight" activeCell="M136" sqref="M136"/>
    </sheetView>
  </sheetViews>
  <sheetFormatPr defaultRowHeight="14.20" zeroHeight="1"/>
  <cols>
    <col min="1" max="1" width="5.287129" customWidth="1" style="22"/>
    <col min="2" max="2" width="7.851485" hidden="1" customWidth="1" style="25">
      <extLst>
        <ext uri="smNativeData">
          <pm:columnDef xmlns:pm="smNativeData" id="1714042646" min="2" max="2" hidden="1" collapsedDB="0" collapsedOL="0"/>
        </ext>
      </extLst>
    </col>
    <col min="3" max="3" width="18.851485" customWidth="1" style="36"/>
    <col min="4" max="8" width="17.287129" customWidth="1" style="24"/>
    <col min="9" max="9" width="7.425743" customWidth="1" style="24"/>
    <col min="10" max="10" width="8.851485" customWidth="1" style="37"/>
    <col min="11" max="12" width="12.287129" customWidth="1" style="22"/>
    <col min="13" max="14" width="12.712871" customWidth="1" style="22"/>
    <col min="15" max="15" width="5.712871" customWidth="1" style="22"/>
    <col min="16" max="16" width="11.425743" hidden="1" customWidth="1" style="22">
      <extLst>
        <ext uri="smNativeData">
          <pm:columnDef xmlns:pm="smNativeData" id="1714042646" min="16" max="16" hidden="1" collapsedDB="0" collapsedOL="0"/>
        </ext>
      </extLst>
    </col>
    <col min="17" max="256" width="8.742574" hidden="1" style="22">
      <extLst>
        <ext uri="smNativeData">
          <pm:columnDef xmlns:pm="smNativeData" id="1714042646" min="17" max="256" hidden="1" collapsedDB="0" collapsedOL="0"/>
        </ext>
      </extLst>
    </col>
    <col min="257" max="16384" width="4.712871" hidden="1" customWidth="1" style="22">
      <extLst>
        <ext uri="smNativeData">
          <pm:columnDef xmlns:pm="smNativeData" id="1714042646" min="257" max="16384" hidden="1" collapsedDB="0" collapsedOL="0"/>
        </ext>
      </extLst>
    </col>
  </cols>
  <sheetData>
    <row r="1" spans="2:2">
      <c r="B1" s="22"/>
    </row>
    <row r="2" spans="2:2">
      <c r="B2" s="22"/>
    </row>
    <row r="3" spans="2:2">
      <c r="B3" s="22"/>
    </row>
    <row r="4" spans="2:2">
      <c r="B4" s="22"/>
    </row>
    <row r="5" spans="2:14" ht="12.75" customHeight="1">
      <c r="B5" s="22"/>
      <c r="C5" s="464" t="str">
        <f aca="1">Zaglavlje_Naziv_preduzeca</f>
        <v>Naziv privrednog društva, zadruge, drugog pravnog lica ili preduzetnika: </v>
      </c>
      <c r="D5" s="464"/>
      <c r="E5" s="464"/>
      <c r="F5" s="22"/>
      <c r="G5" s="22"/>
      <c r="H5" s="22"/>
      <c r="I5" s="22"/>
      <c r="N5" s="298" t="str">
        <f aca="1">Podatak_MB</f>
        <v>1062280</v>
      </c>
    </row>
    <row r="6" spans="2:14">
      <c r="B6" s="22"/>
      <c r="C6" s="464"/>
      <c r="D6" s="464"/>
      <c r="E6" s="464"/>
      <c r="F6" s="22"/>
      <c r="G6" s="22"/>
      <c r="J6" s="22"/>
      <c r="N6" s="54" t="str">
        <f aca="1">Zaglavlje_MB</f>
        <v>Matični broj</v>
      </c>
    </row>
    <row r="7" spans="1:14">
      <c r="A7" s="26"/>
      <c r="B7" s="26"/>
      <c r="C7" s="479" t="str">
        <f aca="1">Podatak_Naziv_preduzeca</f>
        <v>Napredak a.d. Pelagićevo</v>
      </c>
      <c r="D7" s="479"/>
      <c r="E7" s="479"/>
      <c r="F7" s="181"/>
      <c r="J7" s="22"/>
      <c r="N7" s="298" t="str">
        <f aca="1">Podatak_Sifra_djelatnosti</f>
        <v>01.11</v>
      </c>
    </row>
    <row r="8" spans="1:14">
      <c r="A8" s="26"/>
      <c r="B8" s="26"/>
      <c r="C8" s="24" t="str">
        <f aca="1">Zaglavlje_Sjediste</f>
        <v>Sjedište:</v>
      </c>
      <c r="D8" s="317" t="str">
        <f aca="1">Podatak_Sjediste</f>
        <v>Pelagićevo</v>
      </c>
      <c r="E8" s="317"/>
      <c r="F8" s="27"/>
      <c r="G8" s="22"/>
      <c r="J8" s="22"/>
      <c r="N8" s="54" t="str">
        <f aca="1">Zaglavlje_Sifra_djelatnosti</f>
        <v>Šifra djelatnosti</v>
      </c>
    </row>
    <row r="9" spans="2:14" ht="12.75" customHeight="1">
      <c r="B9" s="22"/>
      <c r="C9" s="407" t="str">
        <f aca="1">Zaglavlje_Ziro_racun</f>
        <v>Račun kod ovlašćene organizacije za platni promet:</v>
      </c>
      <c r="D9" s="407"/>
      <c r="E9" s="407"/>
      <c r="J9" s="22"/>
      <c r="L9" s="298" t="str">
        <f aca="1">Podatak_JIB</f>
        <v>4400471400001</v>
      </c>
      <c r="M9" s="298"/>
      <c r="N9" s="298"/>
    </row>
    <row r="10" spans="2:14">
      <c r="B10" s="22"/>
      <c r="C10" s="482" t="str">
        <f aca="1">Podatak_Ziro_racun_1</f>
        <v>554-005-00000031-83</v>
      </c>
      <c r="D10" s="482"/>
      <c r="E10" s="482"/>
      <c r="G10" s="182" t="s">
        <v>50</v>
      </c>
      <c r="H10" s="182"/>
      <c r="J10" s="22"/>
      <c r="N10" s="54" t="str">
        <f aca="1">Zaglavlje_JIB</f>
        <v>JIB</v>
      </c>
    </row>
    <row r="11" spans="2:14">
      <c r="B11" s="22"/>
      <c r="C11" s="482" t="str">
        <f aca="1">Podatak_Ziro_racun_2</f>
        <v>562-011-00000477-77</v>
      </c>
      <c r="D11" s="482"/>
      <c r="E11" s="482"/>
      <c r="F11" s="22"/>
      <c r="G11" s="22"/>
      <c r="H11" s="22"/>
      <c r="I11" s="22"/>
      <c r="J11" s="22"/>
      <c r="M11"/>
      <c r="N11"/>
    </row>
    <row r="12" spans="2:14">
      <c r="B12" s="22"/>
      <c r="C12" s="482" t="str">
        <f aca="1">Podatak_Ziro_racun_3</f>
        <v/>
      </c>
      <c r="D12" s="482"/>
      <c r="E12" s="482"/>
      <c r="F12" s="22"/>
      <c r="G12" s="22"/>
      <c r="H12" s="22"/>
      <c r="I12" s="22"/>
      <c r="J12" s="22"/>
      <c r="M12"/>
      <c r="N12"/>
    </row>
    <row r="13" spans="2:14">
      <c r="B13" s="22"/>
      <c r="C13" s="482" t="str">
        <f aca="1">Podatak_Ziro_racun_4</f>
        <v/>
      </c>
      <c r="D13" s="482"/>
      <c r="E13" s="482"/>
      <c r="F13" s="22"/>
      <c r="G13" s="22"/>
      <c r="H13" s="22"/>
      <c r="I13" s="22"/>
      <c r="J13" s="22"/>
      <c r="M13"/>
      <c r="N13"/>
    </row>
    <row r="14" spans="2:14">
      <c r="B14" s="22"/>
      <c r="C14" s="442" t="str">
        <f aca="1">IF(Id_Konsolidovani,Nazivi_bilansa_Konsolidovani_naziv&amp;LOWER(Nazivi_bilansa_BS),Nazivi_bilansa_BS)</f>
        <v>Bilans stanja</v>
      </c>
      <c r="D14" s="442"/>
      <c r="E14" s="442"/>
      <c r="F14" s="442"/>
      <c r="G14" s="442"/>
      <c r="H14" s="442"/>
      <c r="I14" s="442"/>
      <c r="J14" s="442"/>
      <c r="K14" s="442"/>
      <c r="L14" s="442"/>
      <c r="M14" s="442"/>
      <c r="N14" s="442"/>
    </row>
    <row r="15" spans="2:14">
      <c r="B15" s="22"/>
      <c r="C15" s="52" t="str">
        <f aca="1">Nazivi_bilansa_BS1</f>
        <v>(Izvještaj o finansijskom položaju)</v>
      </c>
      <c r="D15" s="52"/>
      <c r="E15" s="52"/>
      <c r="F15" s="52"/>
      <c r="G15" s="52"/>
      <c r="H15" s="52"/>
      <c r="I15" s="52"/>
      <c r="J15" s="52"/>
      <c r="K15" s="52"/>
      <c r="L15" s="52"/>
      <c r="M15" s="52"/>
      <c r="N15" s="52"/>
    </row>
    <row r="16" spans="2:14">
      <c r="B16" s="22"/>
      <c r="C16" s="52" t="str">
        <f aca="1">Datumi_Datum_BS</f>
        <v>na dan 31.03.2024. godine</v>
      </c>
      <c r="D16" s="52"/>
      <c r="E16" s="52"/>
      <c r="F16" s="52"/>
      <c r="G16" s="52"/>
      <c r="H16" s="52"/>
      <c r="I16" s="52"/>
      <c r="J16" s="52"/>
      <c r="K16" s="52"/>
      <c r="L16" s="52"/>
      <c r="M16" s="52"/>
      <c r="N16" s="52"/>
    </row>
    <row r="17" spans="2:14">
      <c r="B17" s="22"/>
      <c r="C17" s="28"/>
      <c r="D17" s="28"/>
      <c r="E17" s="28"/>
      <c r="F17" s="28"/>
      <c r="G17" s="28"/>
      <c r="H17" s="28"/>
      <c r="I17" s="28"/>
      <c r="J17" s="28"/>
      <c r="K17" s="28"/>
      <c r="L17" s="28"/>
      <c r="M17" s="28"/>
      <c r="N17" s="29" t="str">
        <f aca="1">Tabele_zaglavlje_Valuta</f>
        <v>- u konvertibilnim markama -</v>
      </c>
    </row>
    <row r="18" spans="2:14" ht="12.75" customHeight="1">
      <c r="B18" s="22"/>
      <c r="C18" s="474" t="str">
        <f aca="1">Tabele_zaglavlje_Grupa_racuna</f>
        <v>Grupa računa, račun</v>
      </c>
      <c r="D18" s="465" t="str">
        <f aca="1">Tabele_zaglavlje_Pozicija</f>
        <v>POZICIJA</v>
      </c>
      <c r="E18" s="466"/>
      <c r="F18" s="466"/>
      <c r="G18" s="466"/>
      <c r="H18" s="467"/>
      <c r="I18" s="477" t="str">
        <f aca="1">Tabele_zaglavlje_Oznaka_aop</f>
        <v>Oznaka za AOP</v>
      </c>
      <c r="J18" s="480" t="str">
        <f aca="1" t="array" ref="J18">Tabele_zaglavlje_Napomena_aop</f>
        <v>Napomena</v>
      </c>
      <c r="K18" s="476" t="str">
        <f aca="1">Tabele_zaglavlje_BS_iznos_tekuca</f>
        <v>Iznos na dan bilansa tekuće godine</v>
      </c>
      <c r="L18" s="476"/>
      <c r="M18" s="476"/>
      <c r="N18" s="472" t="str">
        <f aca="1">Tabele_zaglavlje_BS_iznos_prethodna</f>
        <v>Iznos na dan bilansa prethodne godine (PS)</v>
      </c>
    </row>
    <row r="19" spans="2:16" ht="38.25" customHeight="1">
      <c r="B19" s="22"/>
      <c r="C19" s="475"/>
      <c r="D19" s="468"/>
      <c r="E19" s="469"/>
      <c r="F19" s="469"/>
      <c r="G19" s="469"/>
      <c r="H19" s="470"/>
      <c r="I19" s="478"/>
      <c r="J19" s="481"/>
      <c r="K19" s="30" t="str">
        <f aca="1">Tabele_zaglavlje_BS_bruto</f>
        <v>Bruto</v>
      </c>
      <c r="L19" s="31" t="str">
        <f aca="1">Tabele_zaglavlje_BS_ispravka</f>
        <v>Ispravka vrijednosti</v>
      </c>
      <c r="M19" s="31" t="str">
        <f aca="1">Tabele_zaglavlje_BS_neto</f>
        <v>Neto (5-6)</v>
      </c>
      <c r="N19" s="473"/>
      <c r="P19" s="107" t="s">
        <v>65</v>
      </c>
    </row>
    <row r="20" spans="2:14">
      <c r="B20" s="25" t="s">
        <v>66</v>
      </c>
      <c r="C20" s="32" t="n">
        <v>1</v>
      </c>
      <c r="D20" s="175" t="n">
        <v>2</v>
      </c>
      <c r="E20" s="471"/>
      <c r="F20" s="471"/>
      <c r="G20" s="471"/>
      <c r="H20" s="176"/>
      <c r="I20" s="33" t="n">
        <v>3</v>
      </c>
      <c r="J20" s="33" t="n">
        <v>4</v>
      </c>
      <c r="K20" s="33" t="n">
        <v>5</v>
      </c>
      <c r="L20" s="33" t="n">
        <v>6</v>
      </c>
      <c r="M20" s="33" t="n">
        <v>7</v>
      </c>
      <c r="N20" s="34" t="n">
        <v>8</v>
      </c>
    </row>
    <row r="21" spans="2:14" ht="26.25" customHeight="1">
      <c r="B21" s="25" t="n">
        <v>1</v>
      </c>
      <c r="C21" s="132">
        <f>VLOOKUP($B21,T_Aop[],5,1)</f>
        <v>0</v>
      </c>
      <c r="D21" s="443" t="str">
        <f>VLOOKUP($B21,T_Aop[],6,1)</f>
        <v>  BILANSNA AKTIVA
A. STALNA SREDSTVA (002+008+015+016+017+022+034)</v>
      </c>
      <c r="E21" s="444"/>
      <c r="F21" s="444"/>
      <c r="G21" s="444"/>
      <c r="H21" s="445"/>
      <c r="I21" s="322">
        <f>VLOOKUP($B21,T_Aop[],4,1)</f>
        <v>1</v>
      </c>
      <c r="J21" s="323"/>
      <c r="K21" s="40">
        <f>SUBTOTAL(9,K22:K54)</f>
        <v>9008083</v>
      </c>
      <c r="L21" s="40">
        <f>SUBTOTAL(9,L22:L54)</f>
        <v>6068635</v>
      </c>
      <c r="M21" s="177">
        <f aca="1">IF(AND(Godina=2024,MID(Osnovni_podaci!D20,3,1)="p",Osnovni_podaci!L24=0,Osnovni_podaci!G24=0,MID(Osnovni_podaci!D20,3,1)="p",MID(Osnovni_podaci!D20,8,1)="k"),SUM(K21,-L21),A1)</f>
        <v>2939448</v>
      </c>
      <c r="N21" s="41">
        <f>SUBTOTAL(9,N22:N54)</f>
        <v>3001606</v>
      </c>
    </row>
    <row r="22" spans="2:16">
      <c r="B22" s="25" t="n">
        <v>2</v>
      </c>
      <c r="C22" s="273" t="str">
        <f>VLOOKUP($B22,T_Aop[],5,1)</f>
        <v>01</v>
      </c>
      <c r="D22" s="461" t="str">
        <f>VLOOKUP($B22,T_Aop[],6,1)</f>
        <v>  I  NEMATERIJALNA SREDSTVA  (003 do 007)</v>
      </c>
      <c r="E22" s="462"/>
      <c r="F22" s="462"/>
      <c r="G22" s="462"/>
      <c r="H22" s="463"/>
      <c r="I22" s="131">
        <f>VLOOKUP($B22,T_Aop[],4,1)</f>
        <v>2</v>
      </c>
      <c r="J22" s="321"/>
      <c r="K22" s="38">
        <f>SUBTOTAL(9,K23:K27)</f>
        <v>0</v>
      </c>
      <c r="L22" s="38">
        <f>SUBTOTAL(9,L23:L27)</f>
        <v>0</v>
      </c>
      <c r="M22" s="38">
        <f aca="1">IF(AND(Godina=2024,MID(Osnovni_podaci!D20,3,1)="p",Osnovni_podaci!L24=0,Osnovni_podaci!G24=0,MID(Osnovni_podaci!D20,3,1)="p",MID(Osnovni_podaci!D20,8,1)="k"),SUM(K22,-L22),A1)</f>
        <v>0</v>
      </c>
      <c r="N22" s="42">
        <f>SUBTOTAL(9,N23:N27)</f>
        <v>0</v>
      </c>
      <c r="P22" s="52"/>
    </row>
    <row r="23" spans="2:16">
      <c r="B23" s="25" t="n">
        <v>3</v>
      </c>
      <c r="C23" s="274" t="str">
        <f>VLOOKUP($B23,T_Aop[],5,1)</f>
        <v>010, dio 019</v>
      </c>
      <c r="D23" s="436" t="str">
        <f>VLOOKUP($B23,T_Aop[],6,1)</f>
        <v>    1. Ulaganja u razvoj</v>
      </c>
      <c r="E23" s="437"/>
      <c r="F23" s="437"/>
      <c r="G23" s="437"/>
      <c r="H23" s="438"/>
      <c r="I23" s="65">
        <f>VLOOKUP($B23,T_Aop[],4,1)</f>
        <v>3</v>
      </c>
      <c r="J23" s="122"/>
      <c r="K23" s="122"/>
      <c r="L23" s="122"/>
      <c r="M23" s="178">
        <f aca="1">IF(AND(Godina=2024,MID(Osnovni_podaci!D20,3,1)="p",Osnovni_podaci!L24=0,Osnovni_podaci!G24=0,MID(Osnovni_podaci!D20,3,1)="p",MID(Osnovni_podaci!D20,8,1)="k"),SUM(K23,-L23),A1)</f>
        <v>0</v>
      </c>
      <c r="N23" s="123"/>
      <c r="P23" s="52"/>
    </row>
    <row r="24" spans="2:16">
      <c r="B24" s="25" t="n">
        <v>4</v>
      </c>
      <c r="C24" s="273" t="str">
        <f>VLOOKUP($B24,T_Aop[],5,1)</f>
        <v>011, 013 dio 019</v>
      </c>
      <c r="D24" s="439" t="str">
        <f>VLOOKUP($B24,T_Aop[],6,1)</f>
        <v>    2. Koncesije, patenti, licence, softver i ostala prava</v>
      </c>
      <c r="E24" s="440"/>
      <c r="F24" s="440"/>
      <c r="G24" s="440"/>
      <c r="H24" s="441"/>
      <c r="I24" s="63">
        <f>VLOOKUP($B24,T_Aop[],4,1)</f>
        <v>4</v>
      </c>
      <c r="J24" s="120"/>
      <c r="K24" s="120"/>
      <c r="L24" s="120"/>
      <c r="M24" s="117">
        <f aca="1">IF(AND(Godina=2024,MID(Osnovni_podaci!D20,3,1)="p",Osnovni_podaci!L24=0,Osnovni_podaci!G24=0,MID(Osnovni_podaci!D20,3,1)="p",MID(Osnovni_podaci!D20,8,1)="k"),SUM(K24,-L24),A1)</f>
        <v>0</v>
      </c>
      <c r="N24" s="121"/>
      <c r="P24" s="52"/>
    </row>
    <row r="25" spans="2:16">
      <c r="B25" s="25" t="n">
        <v>5</v>
      </c>
      <c r="C25" s="274" t="str">
        <f>VLOOKUP($B25,T_Aop[],5,1)</f>
        <v>012, dio 019</v>
      </c>
      <c r="D25" s="436" t="str">
        <f>VLOOKUP($B25,T_Aop[],6,1)</f>
        <v>    3. Goodwill</v>
      </c>
      <c r="E25" s="437"/>
      <c r="F25" s="437"/>
      <c r="G25" s="437"/>
      <c r="H25" s="438"/>
      <c r="I25" s="65">
        <f>VLOOKUP($B25,T_Aop[],4,1)</f>
        <v>5</v>
      </c>
      <c r="J25" s="122"/>
      <c r="K25" s="122"/>
      <c r="L25" s="122"/>
      <c r="M25" s="118">
        <f aca="1">IF(AND(Godina=2024,MID(Osnovni_podaci!D20,3,1)="p",Osnovni_podaci!L24=0,Osnovni_podaci!G24=0,MID(Osnovni_podaci!D20,3,1)="p",MID(Osnovni_podaci!D20,8,1)="k"),SUM(K25,-L25),A1)</f>
        <v>0</v>
      </c>
      <c r="N25" s="123"/>
      <c r="P25" s="52"/>
    </row>
    <row r="26" spans="2:16">
      <c r="B26" s="25" t="n">
        <v>6</v>
      </c>
      <c r="C26" s="273" t="str">
        <f>VLOOKUP($B26,T_Aop[],5,1)</f>
        <v>014, dio 019</v>
      </c>
      <c r="D26" s="439" t="str">
        <f>VLOOKUP($B26,T_Aop[],6,1)</f>
        <v>    4. Ostala nematerijalna sredstva</v>
      </c>
      <c r="E26" s="440"/>
      <c r="F26" s="440"/>
      <c r="G26" s="440"/>
      <c r="H26" s="441"/>
      <c r="I26" s="63">
        <f>VLOOKUP($B26,T_Aop[],4,1)</f>
        <v>6</v>
      </c>
      <c r="J26" s="120"/>
      <c r="K26" s="120"/>
      <c r="L26" s="120"/>
      <c r="M26" s="119">
        <f aca="1">IF(AND(Godina=2024,MID(Osnovni_podaci!D20,3,1)="p",Osnovni_podaci!L24=0,Osnovni_podaci!G24=0,MID(Osnovni_podaci!D20,3,1)="p",MID(Osnovni_podaci!D20,8,1)="k"),SUM(K26,-L26),A1)</f>
        <v>0</v>
      </c>
      <c r="N26" s="121"/>
      <c r="P26" s="52"/>
    </row>
    <row r="27" spans="2:16">
      <c r="B27" s="25" t="n">
        <v>7</v>
      </c>
      <c r="C27" s="274" t="str">
        <f>VLOOKUP($B27,T_Aop[],5,1)</f>
        <v>015, 016, dio 019</v>
      </c>
      <c r="D27" s="436" t="str">
        <f>VLOOKUP($B27,T_Aop[],6,1)</f>
        <v>    5. Avansi i nematerijalna sredstva u pripremi </v>
      </c>
      <c r="E27" s="437"/>
      <c r="F27" s="437"/>
      <c r="G27" s="437"/>
      <c r="H27" s="438"/>
      <c r="I27" s="65">
        <f>VLOOKUP($B27,T_Aop[],4,1)</f>
        <v>7</v>
      </c>
      <c r="J27" s="122"/>
      <c r="K27" s="122"/>
      <c r="L27" s="122"/>
      <c r="M27" s="118">
        <f aca="1">IF(AND(Godina=2024,MID(Osnovni_podaci!D20,3,1)="p",Osnovni_podaci!L24=0,Osnovni_podaci!G24=0,MID(Osnovni_podaci!D20,3,1)="p",MID(Osnovni_podaci!D20,8,1)="k"),SUM(K27,-L27),A1)</f>
        <v>0</v>
      </c>
      <c r="N27" s="123"/>
      <c r="P27" s="52"/>
    </row>
    <row r="28" spans="2:16">
      <c r="B28" s="25" t="n">
        <v>8</v>
      </c>
      <c r="C28" s="273" t="str">
        <f>VLOOKUP($B28,T_Aop[],5,1)</f>
        <v>02</v>
      </c>
      <c r="D28" s="446" t="str">
        <f>VLOOKUP($B28,T_Aop[],6,1)</f>
        <v>  II  NEKRETNINE, POSTROJENJA I OPREMA (009 do 014) </v>
      </c>
      <c r="E28" s="447"/>
      <c r="F28" s="447"/>
      <c r="G28" s="447"/>
      <c r="H28" s="448"/>
      <c r="I28" s="134">
        <f>VLOOKUP($B28,T_Aop[],4,1)</f>
        <v>8</v>
      </c>
      <c r="J28" s="120"/>
      <c r="K28" s="38">
        <f>SUBTOTAL(9,K29:K34)</f>
        <v>9008083</v>
      </c>
      <c r="L28" s="38">
        <f>SUBTOTAL(9,L29:L34)</f>
        <v>6068635</v>
      </c>
      <c r="M28" s="39">
        <f aca="1">IF(AND(Godina=2024,MID(Osnovni_podaci!D20,3,1)="p",Osnovni_podaci!L24=0,Osnovni_podaci!G24=0,MID(Osnovni_podaci!D20,3,1)="p",MID(Osnovni_podaci!D20,8,1)="k"),SUM(K28,-L28),A1)</f>
        <v>2939448</v>
      </c>
      <c r="N28" s="42">
        <f>SUBTOTAL(9,N29:N34)</f>
        <v>3001606</v>
      </c>
      <c r="P28" s="52"/>
    </row>
    <row r="29" spans="2:16">
      <c r="B29" s="25" t="n">
        <v>9</v>
      </c>
      <c r="C29" s="274" t="str">
        <f>VLOOKUP($B29,T_Aop[],5,1)</f>
        <v>020, dio 029</v>
      </c>
      <c r="D29" s="436" t="str">
        <f>VLOOKUP($B29,T_Aop[],6,1)</f>
        <v>    1. Zemljište</v>
      </c>
      <c r="E29" s="437"/>
      <c r="F29" s="437"/>
      <c r="G29" s="437"/>
      <c r="H29" s="438"/>
      <c r="I29" s="65">
        <f>VLOOKUP($B29,T_Aop[],4,1)</f>
        <v>9</v>
      </c>
      <c r="J29" s="122"/>
      <c r="K29" s="122" t="n">
        <v>761073</v>
      </c>
      <c r="L29" s="122"/>
      <c r="M29" s="118">
        <f aca="1">IF(AND(Godina=2024,MID(Osnovni_podaci!D20,3,1)="p",Osnovni_podaci!L24=0,Osnovni_podaci!G24=0,MID(Osnovni_podaci!D20,3,1)="p",MID(Osnovni_podaci!D20,8,1)="k"),SUM(K29,-L29),A1)</f>
        <v>761073</v>
      </c>
      <c r="N29" s="123" t="n">
        <v>761073</v>
      </c>
      <c r="P29" s="52"/>
    </row>
    <row r="30" spans="2:16">
      <c r="B30" s="25" t="n">
        <v>10</v>
      </c>
      <c r="C30" s="273" t="str">
        <f>VLOOKUP($B30,T_Aop[],5,1)</f>
        <v>021, dio 029</v>
      </c>
      <c r="D30" s="439" t="str">
        <f>VLOOKUP($B30,T_Aop[],6,1)</f>
        <v>    2. Građevinski objekti</v>
      </c>
      <c r="E30" s="440"/>
      <c r="F30" s="440"/>
      <c r="G30" s="440"/>
      <c r="H30" s="441"/>
      <c r="I30" s="63">
        <f>VLOOKUP($B30,T_Aop[],4,1)</f>
        <v>10</v>
      </c>
      <c r="J30" s="120"/>
      <c r="K30" s="120" t="n">
        <v>6103063</v>
      </c>
      <c r="L30" s="120" t="n">
        <v>4340726</v>
      </c>
      <c r="M30" s="119">
        <f aca="1">IF(AND(Godina=2024,MID(Osnovni_podaci!D20,3,1)="p",Osnovni_podaci!L24=0,Osnovni_podaci!G24=0,MID(Osnovni_podaci!D20,3,1)="p",MID(Osnovni_podaci!D20,8,1)="k"),SUM(K30,-L30),A1)</f>
        <v>1762337</v>
      </c>
      <c r="N30" s="121" t="n">
        <v>1796490</v>
      </c>
      <c r="P30" s="52"/>
    </row>
    <row r="31" spans="2:16">
      <c r="B31" s="25" t="n">
        <v>11</v>
      </c>
      <c r="C31" s="274" t="str">
        <f>VLOOKUP($B31,T_Aop[],5,1)</f>
        <v>022, dio 029</v>
      </c>
      <c r="D31" s="436" t="str">
        <f>VLOOKUP($B31,T_Aop[],6,1)</f>
        <v>    3. Postrojenja i oprema</v>
      </c>
      <c r="E31" s="437"/>
      <c r="F31" s="437"/>
      <c r="G31" s="437"/>
      <c r="H31" s="438"/>
      <c r="I31" s="65">
        <f>VLOOKUP($B31,T_Aop[],4,1)</f>
        <v>11</v>
      </c>
      <c r="J31" s="122"/>
      <c r="K31" s="122" t="n">
        <v>2143947</v>
      </c>
      <c r="L31" s="122" t="n">
        <v>1727909</v>
      </c>
      <c r="M31" s="118">
        <f aca="1">IF(AND(Godina=2024,MID(Osnovni_podaci!D20,3,1)="p",Osnovni_podaci!L24=0,Osnovni_podaci!G24=0,MID(Osnovni_podaci!D20,3,1)="p",MID(Osnovni_podaci!D20,8,1)="k"),SUM(K31,-L31),A1)</f>
        <v>416038</v>
      </c>
      <c r="N31" s="123" t="n">
        <v>436863</v>
      </c>
      <c r="P31" s="52"/>
    </row>
    <row r="32" spans="2:16">
      <c r="B32" s="25" t="n">
        <v>12</v>
      </c>
      <c r="C32" s="273" t="str">
        <f>VLOOKUP($B32,T_Aop[],5,1)</f>
        <v>023, dio 029</v>
      </c>
      <c r="D32" s="439" t="str">
        <f>VLOOKUP($B32,T_Aop[],6,1)</f>
        <v>    4. Ostale nekretnine, postrojenja i oprema</v>
      </c>
      <c r="E32" s="440"/>
      <c r="F32" s="440"/>
      <c r="G32" s="440"/>
      <c r="H32" s="441"/>
      <c r="I32" s="63">
        <f>VLOOKUP($B32,T_Aop[],4,1)</f>
        <v>12</v>
      </c>
      <c r="J32" s="120"/>
      <c r="K32" s="120"/>
      <c r="L32" s="120"/>
      <c r="M32" s="119">
        <f aca="1">IF(AND(Godina=2024,MID(Osnovni_podaci!D20,3,1)="p",Osnovni_podaci!L24=0,Osnovni_podaci!G24=0,MID(Osnovni_podaci!D20,3,1)="p",MID(Osnovni_podaci!D20,8,1)="k"),SUM(K32,-L32),A1)</f>
        <v>0</v>
      </c>
      <c r="N32" s="121"/>
      <c r="P32" s="52"/>
    </row>
    <row r="33" spans="2:16">
      <c r="B33" s="25" t="n">
        <v>13</v>
      </c>
      <c r="C33" s="274" t="str">
        <f>VLOOKUP($B33,T_Aop[],5,1)</f>
        <v>024, dio 029</v>
      </c>
      <c r="D33" s="436" t="str">
        <f>VLOOKUP($B33,T_Aop[],6,1)</f>
        <v>    5. Ulaganje na tuđim nekretninama, postrojenjima i opremi</v>
      </c>
      <c r="E33" s="437"/>
      <c r="F33" s="437"/>
      <c r="G33" s="437"/>
      <c r="H33" s="438"/>
      <c r="I33" s="65">
        <f>VLOOKUP($B33,T_Aop[],4,1)</f>
        <v>13</v>
      </c>
      <c r="J33" s="122"/>
      <c r="K33" s="122"/>
      <c r="L33" s="122"/>
      <c r="M33" s="118">
        <f aca="1">IF(AND(Godina=2024,MID(Osnovni_podaci!D20,3,1)="p",Osnovni_podaci!L24=0,Osnovni_podaci!G24=0,MID(Osnovni_podaci!D20,3,1)="p",MID(Osnovni_podaci!D20,8,1)="k"),SUM(K33,-L33),A1)</f>
        <v>0</v>
      </c>
      <c r="N33" s="123"/>
      <c r="P33" s="52"/>
    </row>
    <row r="34" spans="2:16">
      <c r="B34" s="25" t="n">
        <v>14</v>
      </c>
      <c r="C34" s="273" t="str">
        <f>VLOOKUP($B34,T_Aop[],5,1)</f>
        <v>025, 026, dio 029</v>
      </c>
      <c r="D34" s="439" t="str">
        <f>VLOOKUP($B34,T_Aop[],6,1)</f>
        <v>    6. Avansi i nekretnine, postrojenja i oprema u pripremi</v>
      </c>
      <c r="E34" s="440"/>
      <c r="F34" s="440"/>
      <c r="G34" s="440"/>
      <c r="H34" s="441"/>
      <c r="I34" s="63">
        <f>VLOOKUP($B34,T_Aop[],4,1)</f>
        <v>14</v>
      </c>
      <c r="J34" s="120"/>
      <c r="K34" s="120"/>
      <c r="L34" s="120"/>
      <c r="M34" s="119">
        <f aca="1">IF(AND(Godina=2024,MID(Osnovni_podaci!D20,3,1)="p",Osnovni_podaci!L24=0,Osnovni_podaci!G24=0,MID(Osnovni_podaci!D20,3,1)="p",MID(Osnovni_podaci!D20,8,1)="k"),SUM(K34,-L34),A1)</f>
        <v>0</v>
      </c>
      <c r="N34" s="121" t="n">
        <v>7180</v>
      </c>
      <c r="P34" s="52"/>
    </row>
    <row r="35" spans="2:16" ht="12.75" customHeight="1">
      <c r="B35" s="25" t="n">
        <v>15</v>
      </c>
      <c r="C35" s="274" t="str">
        <f>VLOOKUP($B35,T_Aop[],5,1)</f>
        <v>03</v>
      </c>
      <c r="D35" s="443" t="str">
        <f>VLOOKUP($B35,T_Aop[],6,1)</f>
        <v>  III INVESTICIONE NEKRETNINE</v>
      </c>
      <c r="E35" s="444"/>
      <c r="F35" s="444"/>
      <c r="G35" s="444"/>
      <c r="H35" s="445"/>
      <c r="I35" s="133">
        <f>VLOOKUP($B35,T_Aop[],4,1)</f>
        <v>15</v>
      </c>
      <c r="J35" s="122"/>
      <c r="K35" s="124"/>
      <c r="L35" s="124"/>
      <c r="M35" s="40">
        <f aca="1">IF(AND(Godina=2024,MID(Osnovni_podaci!D20,3,1)="p",Osnovni_podaci!L24=0,Osnovni_podaci!G24=0,MID(Osnovni_podaci!D20,3,1)="p",MID(Osnovni_podaci!D20,8,1)="k"),SUM(K35,-L35),A1)</f>
        <v>0</v>
      </c>
      <c r="N35" s="125"/>
      <c r="P35" s="52"/>
    </row>
    <row r="36" spans="2:16">
      <c r="B36" s="25" t="n">
        <v>16</v>
      </c>
      <c r="C36" s="273" t="str">
        <f>VLOOKUP($B36,T_Aop[],5,1)</f>
        <v>04</v>
      </c>
      <c r="D36" s="446" t="str">
        <f>VLOOKUP($B36,T_Aop[],6,1)</f>
        <v>  IV SREDSTVA UZETA U ZAKUP </v>
      </c>
      <c r="E36" s="447"/>
      <c r="F36" s="447"/>
      <c r="G36" s="447"/>
      <c r="H36" s="448"/>
      <c r="I36" s="134">
        <f>VLOOKUP($B36,T_Aop[],4,1)</f>
        <v>16</v>
      </c>
      <c r="J36" s="120"/>
      <c r="K36" s="73"/>
      <c r="L36" s="73"/>
      <c r="M36" s="39">
        <f aca="1">IF(AND(Godina=2024,MID(Osnovni_podaci!D20,3,1)="p",Osnovni_podaci!L24=0,Osnovni_podaci!G24=0,MID(Osnovni_podaci!D20,3,1)="p",MID(Osnovni_podaci!D20,8,1)="k"),SUM(K36,-L36),A1)</f>
        <v>0</v>
      </c>
      <c r="N36" s="74"/>
      <c r="P36" s="52"/>
    </row>
    <row r="37" spans="2:16">
      <c r="B37" s="25" t="n">
        <v>17</v>
      </c>
      <c r="C37" s="274" t="str">
        <f>VLOOKUP($B37,T_Aop[],5,1)</f>
        <v>05</v>
      </c>
      <c r="D37" s="443" t="str">
        <f>VLOOKUP($B37,T_Aop[],6,1)</f>
        <v>  V BIOLOŠKA SREDSTVA   (018 do 021)</v>
      </c>
      <c r="E37" s="444"/>
      <c r="F37" s="444"/>
      <c r="G37" s="444"/>
      <c r="H37" s="445"/>
      <c r="I37" s="133">
        <f>VLOOKUP($B37,T_Aop[],4,1)</f>
        <v>17</v>
      </c>
      <c r="J37" s="122"/>
      <c r="K37" s="40">
        <f>SUBTOTAL(9,K38:K41)</f>
        <v>0</v>
      </c>
      <c r="L37" s="40">
        <f>SUBTOTAL(9,L38:L41)</f>
        <v>0</v>
      </c>
      <c r="M37" s="40">
        <f aca="1">IF(AND(Godina=2024,MID(Osnovni_podaci!D20,3,1)="p",Osnovni_podaci!L24=0,Osnovni_podaci!G24=0,MID(Osnovni_podaci!D20,3,1)="p",MID(Osnovni_podaci!D20,8,1)="k"),SUM(K37,-L37),A1)</f>
        <v>0</v>
      </c>
      <c r="N37" s="41">
        <f>SUBTOTAL(9,N38:N41)</f>
        <v>0</v>
      </c>
      <c r="P37" s="52"/>
    </row>
    <row r="38" spans="2:16">
      <c r="B38" s="25" t="n">
        <v>18</v>
      </c>
      <c r="C38" s="273" t="str">
        <f>VLOOKUP($B38,T_Aop[],5,1)</f>
        <v>050, dio 059</v>
      </c>
      <c r="D38" s="439" t="str">
        <f>VLOOKUP($B38,T_Aop[],6,1)</f>
        <v>    1. Šume</v>
      </c>
      <c r="E38" s="440"/>
      <c r="F38" s="440"/>
      <c r="G38" s="440"/>
      <c r="H38" s="441"/>
      <c r="I38" s="63">
        <f>VLOOKUP($B38,T_Aop[],4,1)</f>
        <v>18</v>
      </c>
      <c r="J38" s="120"/>
      <c r="K38" s="120"/>
      <c r="L38" s="120"/>
      <c r="M38" s="119">
        <f aca="1">IF(AND(Godina=2024,MID(Osnovni_podaci!D20,3,1)="p",Osnovni_podaci!L24=0,Osnovni_podaci!G24=0,MID(Osnovni_podaci!D20,3,1)="p",MID(Osnovni_podaci!D20,8,1)="k"),SUM(K38,-L38),A1)</f>
        <v>0</v>
      </c>
      <c r="N38" s="121"/>
      <c r="P38" s="52"/>
    </row>
    <row r="39" spans="2:16">
      <c r="B39" s="25" t="n">
        <v>19</v>
      </c>
      <c r="C39" s="274" t="str">
        <f>VLOOKUP($B39,T_Aop[],5,1)</f>
        <v>051, dio 059</v>
      </c>
      <c r="D39" s="436" t="str">
        <f>VLOOKUP($B39,T_Aop[],6,1)</f>
        <v>    2. Višegodišnji zasadi</v>
      </c>
      <c r="E39" s="437"/>
      <c r="F39" s="437"/>
      <c r="G39" s="437"/>
      <c r="H39" s="438"/>
      <c r="I39" s="65">
        <f>VLOOKUP($B39,T_Aop[],4,1)</f>
        <v>19</v>
      </c>
      <c r="J39" s="122"/>
      <c r="K39" s="122"/>
      <c r="L39" s="122"/>
      <c r="M39" s="118">
        <f aca="1">IF(AND(Godina=2024,MID(Osnovni_podaci!D20,3,1)="p",Osnovni_podaci!L24=0,Osnovni_podaci!G24=0,MID(Osnovni_podaci!D20,3,1)="p",MID(Osnovni_podaci!D20,8,1)="k"),SUM(K39,-L39),A1)</f>
        <v>0</v>
      </c>
      <c r="N39" s="123"/>
      <c r="P39" s="52"/>
    </row>
    <row r="40" spans="2:16">
      <c r="B40" s="25" t="n">
        <v>20</v>
      </c>
      <c r="C40" s="273" t="str">
        <f>VLOOKUP($B40,T_Aop[],5,1)</f>
        <v>052, 053 dio 059</v>
      </c>
      <c r="D40" s="439" t="str">
        <f>VLOOKUP($B40,T_Aop[],6,1)</f>
        <v>    3. Osnovno stado i ostala biološka sredstva</v>
      </c>
      <c r="E40" s="440"/>
      <c r="F40" s="440"/>
      <c r="G40" s="440"/>
      <c r="H40" s="441"/>
      <c r="I40" s="63">
        <f>VLOOKUP($B40,T_Aop[],4,1)</f>
        <v>20</v>
      </c>
      <c r="J40" s="120"/>
      <c r="K40" s="120"/>
      <c r="L40" s="120"/>
      <c r="M40" s="119">
        <f aca="1">IF(AND(Godina=2024,MID(Osnovni_podaci!D20,3,1)="p",Osnovni_podaci!L24=0,Osnovni_podaci!G24=0,MID(Osnovni_podaci!D20,3,1)="p",MID(Osnovni_podaci!D20,8,1)="k"),SUM(K40,-L40),A1)</f>
        <v>0</v>
      </c>
      <c r="N40" s="121"/>
      <c r="P40" s="52"/>
    </row>
    <row r="41" spans="2:16">
      <c r="B41" s="25" t="n">
        <v>21</v>
      </c>
      <c r="C41" s="274" t="str">
        <f>VLOOKUP($B41,T_Aop[],5,1)</f>
        <v>055, 056 i dio 059</v>
      </c>
      <c r="D41" s="436" t="str">
        <f>VLOOKUP($B41,T_Aop[],6,1)</f>
        <v>    4. Avansi i biološka sredstva u pripremi </v>
      </c>
      <c r="E41" s="437"/>
      <c r="F41" s="437"/>
      <c r="G41" s="437"/>
      <c r="H41" s="438"/>
      <c r="I41" s="65">
        <f>VLOOKUP($B41,T_Aop[],4,1)</f>
        <v>21</v>
      </c>
      <c r="J41" s="122"/>
      <c r="K41" s="122"/>
      <c r="L41" s="122"/>
      <c r="M41" s="118">
        <f aca="1">IF(AND(Godina=2024,MID(Osnovni_podaci!D20,3,1)="p",Osnovni_podaci!L24=0,Osnovni_podaci!G24=0,MID(Osnovni_podaci!D20,3,1)="p",MID(Osnovni_podaci!D20,8,1)="k"),SUM(K41,-L41),A1)</f>
        <v>0</v>
      </c>
      <c r="N41" s="123"/>
      <c r="P41" s="52"/>
    </row>
    <row r="42" spans="2:16">
      <c r="B42" s="25" t="n">
        <v>22</v>
      </c>
      <c r="C42" s="273" t="str">
        <f>VLOOKUP($B42,T_Aop[],5,1)</f>
        <v>06</v>
      </c>
      <c r="D42" s="446" t="str">
        <f>VLOOKUP($B42,T_Aop[],6,1)</f>
        <v>  VI  DUGOROČNI FINANSIJSKI PLASMANI (023+024+025+030+033)</v>
      </c>
      <c r="E42" s="447"/>
      <c r="F42" s="447"/>
      <c r="G42" s="447"/>
      <c r="H42" s="448"/>
      <c r="I42" s="134">
        <f>VLOOKUP($B42,T_Aop[],4,1)</f>
        <v>22</v>
      </c>
      <c r="J42" s="120"/>
      <c r="K42" s="39">
        <f>SUBTOTAL(9,K43:K53)</f>
        <v>0</v>
      </c>
      <c r="L42" s="39">
        <f>SUBTOTAL(9,L43:L53)</f>
        <v>0</v>
      </c>
      <c r="M42" s="39">
        <f aca="1">IF(AND(Godina=2024,MID(Osnovni_podaci!D20,3,1)="p",Osnovni_podaci!L24=0,Osnovni_podaci!G24=0,MID(Osnovni_podaci!D20,3,1)="p",MID(Osnovni_podaci!D20,8,1)="k"),SUM(K42,-L42),A1)</f>
        <v>0</v>
      </c>
      <c r="N42" s="42">
        <f aca="1">IF(AND(Godina=2024,MID(Osnovni_podaci!D20,3,1)="p",Osnovni_podaci!L24=0,Osnovni_podaci!G24=0,MID(Osnovni_podaci!D20,3,1)="p",MID(Osnovni_podaci!D20,8,1)="k"),SUBTOTAL(9,N43:N53),A1)</f>
        <v>0</v>
      </c>
      <c r="P42" s="52"/>
    </row>
    <row r="43" spans="2:16">
      <c r="B43" s="25" t="n">
        <v>23</v>
      </c>
      <c r="C43" s="274" t="str">
        <f>VLOOKUP($B43,T_Aop[],5,1)</f>
        <v>060, dio 069</v>
      </c>
      <c r="D43" s="436" t="str">
        <f>VLOOKUP($B43,T_Aop[],6,1)</f>
        <v>    1. Učešće u kapitalu zavisnih subjekata</v>
      </c>
      <c r="E43" s="437"/>
      <c r="F43" s="437"/>
      <c r="G43" s="437"/>
      <c r="H43" s="438"/>
      <c r="I43" s="65">
        <f>VLOOKUP($B43,T_Aop[],4,1)</f>
        <v>23</v>
      </c>
      <c r="J43" s="122"/>
      <c r="K43" s="122"/>
      <c r="L43" s="122"/>
      <c r="M43" s="118">
        <f aca="1">IF(AND(Godina=2024,MID(Osnovni_podaci!D20,3,1)="p",Osnovni_podaci!L24=0,Osnovni_podaci!G24=0,MID(Osnovni_podaci!D20,3,1)="p",MID(Osnovni_podaci!D20,8,1)="k"),SUM(K43,-L43),A1)</f>
        <v>0</v>
      </c>
      <c r="N43" s="123"/>
      <c r="P43" s="52"/>
    </row>
    <row r="44" spans="2:16">
      <c r="B44" s="25" t="n">
        <v>24</v>
      </c>
      <c r="C44" s="273" t="str">
        <f>VLOOKUP($B44,T_Aop[],5,1)</f>
        <v>061, dio 069</v>
      </c>
      <c r="D44" s="439" t="str">
        <f>VLOOKUP($B44,T_Aop[],6,1)</f>
        <v>    2. Učešće u kapitalu pridruženih subjekata i zajedničkih poduhvata</v>
      </c>
      <c r="E44" s="440"/>
      <c r="F44" s="440"/>
      <c r="G44" s="440"/>
      <c r="H44" s="441"/>
      <c r="I44" s="63">
        <f>VLOOKUP($B44,T_Aop[],4,1)</f>
        <v>24</v>
      </c>
      <c r="J44" s="120"/>
      <c r="K44" s="120"/>
      <c r="L44" s="120"/>
      <c r="M44" s="119">
        <f aca="1">IF(AND(Godina=2024,MID(Osnovni_podaci!D20,3,1)="p",Osnovni_podaci!L24=0,Osnovni_podaci!G24=0,MID(Osnovni_podaci!D20,3,1)="p",MID(Osnovni_podaci!D20,8,1)="k"),SUM(K44,-L44),A1)</f>
        <v>0</v>
      </c>
      <c r="N44" s="121"/>
      <c r="P44" s="52"/>
    </row>
    <row r="45" spans="2:16">
      <c r="B45" s="25" t="n">
        <v>25</v>
      </c>
      <c r="C45" s="274" t="str">
        <f>VLOOKUP($B45,T_Aop[],5,1)</f>
        <v>dio 06</v>
      </c>
      <c r="D45" s="436" t="str">
        <f>VLOOKUP($B45,T_Aop[],6,1)</f>
        <v>    3. Finansijska sredstva po amortizovanoj vrijednosti (026 do 029)</v>
      </c>
      <c r="E45" s="437"/>
      <c r="F45" s="437"/>
      <c r="G45" s="437"/>
      <c r="H45" s="438"/>
      <c r="I45" s="65">
        <f>VLOOKUP($B45,T_Aop[],4,1)</f>
        <v>25</v>
      </c>
      <c r="J45" s="122"/>
      <c r="K45" s="40">
        <f>SUBTOTAL(9,K46:K49)</f>
        <v>0</v>
      </c>
      <c r="L45" s="40">
        <f>SUBTOTAL(9,L46:L49)</f>
        <v>0</v>
      </c>
      <c r="M45" s="124">
        <f aca="1">IF(AND(Godina=2024,MID(Osnovni_podaci!D20,3,1)="p",Osnovni_podaci!L24=0,Osnovni_podaci!G24=0,MID(Osnovni_podaci!D20,3,1)="p",MID(Osnovni_podaci!D20,8,1)="k"),SUM(K45,-L45),A1)</f>
        <v>0</v>
      </c>
      <c r="N45" s="41">
        <f aca="1">IF(AND(Godina=2024,MID(Osnovni_podaci!D20,3,1)="p",Osnovni_podaci!L24=0,Osnovni_podaci!G24=0,MID(Osnovni_podaci!D20,3,1)="p",MID(Osnovni_podaci!D20,8,1)="k"),SUBTOTAL(9,N46:N49),A1)</f>
        <v>0</v>
      </c>
      <c r="P45" s="52"/>
    </row>
    <row r="46" spans="2:16">
      <c r="B46" s="25" t="n">
        <v>26</v>
      </c>
      <c r="C46" s="273" t="str">
        <f>VLOOKUP($B46,T_Aop[],5,1)</f>
        <v>062, dio 069</v>
      </c>
      <c r="D46" s="439" t="str">
        <f>VLOOKUP($B46,T_Aop[],6,1)</f>
        <v>      3.1. Dugoročni krediti povezanim pravnim licima</v>
      </c>
      <c r="E46" s="440"/>
      <c r="F46" s="440"/>
      <c r="G46" s="440"/>
      <c r="H46" s="441"/>
      <c r="I46" s="63">
        <f>VLOOKUP($B46,T_Aop[],4,1)</f>
        <v>26</v>
      </c>
      <c r="J46" s="120"/>
      <c r="K46" s="120"/>
      <c r="L46" s="120"/>
      <c r="M46" s="119">
        <f aca="1">IF(AND(Godina=2024,MID(Osnovni_podaci!D20,3,1)="p",Osnovni_podaci!L24=0,Osnovni_podaci!G24=0,MID(Osnovni_podaci!D20,3,1)="p",MID(Osnovni_podaci!D20,8,1)="k"),SUM(K46,-L46),A1)</f>
        <v>0</v>
      </c>
      <c r="N46" s="121"/>
      <c r="P46" s="52"/>
    </row>
    <row r="47" spans="2:16">
      <c r="B47" s="25" t="n">
        <v>27</v>
      </c>
      <c r="C47" s="274" t="str">
        <f>VLOOKUP($B47,T_Aop[],5,1)</f>
        <v>063, dio 069</v>
      </c>
      <c r="D47" s="436" t="str">
        <f>VLOOKUP($B47,T_Aop[],6,1)</f>
        <v>      3.2. Dugoročni krediti u zemlji</v>
      </c>
      <c r="E47" s="437"/>
      <c r="F47" s="437"/>
      <c r="G47" s="437"/>
      <c r="H47" s="438"/>
      <c r="I47" s="65">
        <f>VLOOKUP($B47,T_Aop[],4,1)</f>
        <v>27</v>
      </c>
      <c r="J47" s="122"/>
      <c r="K47" s="122"/>
      <c r="L47" s="122"/>
      <c r="M47" s="118">
        <f aca="1">IF(AND(Godina=2024,MID(Osnovni_podaci!D20,3,1)="p",Osnovni_podaci!L24=0,Osnovni_podaci!G24=0,MID(Osnovni_podaci!D20,3,1)="p",MID(Osnovni_podaci!D20,8,1)="k"),SUM(K47,-L47),A1)</f>
        <v>0</v>
      </c>
      <c r="N47" s="123"/>
      <c r="P47" s="52"/>
    </row>
    <row r="48" spans="2:16">
      <c r="B48" s="25" t="n">
        <v>28</v>
      </c>
      <c r="C48" s="273" t="str">
        <f>VLOOKUP($B48,T_Aop[],5,1)</f>
        <v>064, dio 069</v>
      </c>
      <c r="D48" s="439" t="str">
        <f>VLOOKUP($B48,T_Aop[],6,1)</f>
        <v>      3.3. Dugoročni krediti u inostranstvu</v>
      </c>
      <c r="E48" s="440"/>
      <c r="F48" s="440"/>
      <c r="G48" s="440"/>
      <c r="H48" s="441"/>
      <c r="I48" s="63">
        <f>VLOOKUP($B48,T_Aop[],4,1)</f>
        <v>28</v>
      </c>
      <c r="J48" s="120"/>
      <c r="K48" s="120"/>
      <c r="L48" s="120"/>
      <c r="M48" s="119">
        <f aca="1">IF(AND(Godina=2024,MID(Osnovni_podaci!D20,3,1)="p",Osnovni_podaci!L24=0,Osnovni_podaci!G24=0,MID(Osnovni_podaci!D20,3,1)="p",MID(Osnovni_podaci!D20,8,1)="k"),SUM(K48,-L48),A1)</f>
        <v>0</v>
      </c>
      <c r="N48" s="121"/>
      <c r="P48" s="52"/>
    </row>
    <row r="49" spans="2:16">
      <c r="B49" s="25" t="n">
        <v>29</v>
      </c>
      <c r="C49" s="274" t="str">
        <f>VLOOKUP($B49,T_Aop[],5,1)</f>
        <v>065, dio 069</v>
      </c>
      <c r="D49" s="436" t="str">
        <f>VLOOKUP($B49,T_Aop[],6,1)</f>
        <v>      3.4. Ostala finansijska sredstva po amortizovanoj vrijednosti</v>
      </c>
      <c r="E49" s="437"/>
      <c r="F49" s="437"/>
      <c r="G49" s="437"/>
      <c r="H49" s="438"/>
      <c r="I49" s="65">
        <f>VLOOKUP($B49,T_Aop[],4,1)</f>
        <v>29</v>
      </c>
      <c r="J49" s="122"/>
      <c r="K49" s="122"/>
      <c r="L49" s="122"/>
      <c r="M49" s="118">
        <f aca="1">IF(AND(Godina=2024,MID(Osnovni_podaci!D20,3,1)="p",Osnovni_podaci!L24=0,Osnovni_podaci!G24=0,MID(Osnovni_podaci!D20,3,1)="p",MID(Osnovni_podaci!D20,8,1)="k"),SUM(K49,-L49),A1)</f>
        <v>0</v>
      </c>
      <c r="N49" s="123"/>
      <c r="P49" s="52"/>
    </row>
    <row r="50" spans="2:16" ht="21.75" customHeight="1">
      <c r="B50" s="25" t="n">
        <v>30</v>
      </c>
      <c r="C50" s="273" t="str">
        <f>VLOOKUP($B50,T_Aop[],5,1)</f>
        <v>dio 06</v>
      </c>
      <c r="D50" s="439" t="str">
        <f>VLOOKUP($B50,T_Aop[],6,1)</f>
        <v>    4. Finansijska sredstva po fer vrijednosti kroz ostali ukupan rezultat (031+032)</v>
      </c>
      <c r="E50" s="440"/>
      <c r="F50" s="440"/>
      <c r="G50" s="440"/>
      <c r="H50" s="441"/>
      <c r="I50" s="63">
        <f>VLOOKUP($B50,T_Aop[],4,1)</f>
        <v>30</v>
      </c>
      <c r="J50" s="120"/>
      <c r="K50" s="191">
        <f>SUBTOTAL(9,K51:K52)</f>
        <v>0</v>
      </c>
      <c r="L50" s="191">
        <f>SUBTOTAL(9,L51:L52)</f>
        <v>0</v>
      </c>
      <c r="M50" s="39">
        <f aca="1">IF(AND(Godina=2024,MID(Osnovni_podaci!D20,3,1)="p",Osnovni_podaci!L24=0,Osnovni_podaci!G24=0,MID(Osnovni_podaci!D20,3,1)="p",MID(Osnovni_podaci!D20,8,1)="k"),SUM(K50,-L50),A1)</f>
        <v>0</v>
      </c>
      <c r="N50" s="42">
        <f aca="1">IF(AND(Godina=2024,MID(Osnovni_podaci!D20,3,1)="p",Osnovni_podaci!L24=0,Osnovni_podaci!G24=0,MID(Osnovni_podaci!D20,3,1)="p",MID(Osnovni_podaci!D20,8,1)="k"),SUBTOTAL(9,N51:N52),A1)</f>
        <v>0</v>
      </c>
      <c r="P50" s="52"/>
    </row>
    <row r="51" spans="2:16">
      <c r="B51" s="25" t="n">
        <v>31</v>
      </c>
      <c r="C51" s="274" t="str">
        <f>VLOOKUP($B51,T_Aop[],5,1)</f>
        <v>066, dio 069</v>
      </c>
      <c r="D51" s="436" t="str">
        <f>VLOOKUP($B51,T_Aop[],6,1)</f>
        <v>      4.1. Vlasnički instrumenti</v>
      </c>
      <c r="E51" s="437"/>
      <c r="F51" s="437"/>
      <c r="G51" s="437"/>
      <c r="H51" s="438"/>
      <c r="I51" s="65">
        <f>VLOOKUP($B51,T_Aop[],4,1)</f>
        <v>31</v>
      </c>
      <c r="J51" s="122"/>
      <c r="K51" s="122"/>
      <c r="L51" s="122"/>
      <c r="M51" s="118">
        <f aca="1">IF(AND(Godina=2024,MID(Osnovni_podaci!D20,3,1)="p",Osnovni_podaci!L24=0,Osnovni_podaci!G24=0,MID(Osnovni_podaci!D20,3,1)="p",MID(Osnovni_podaci!D20,8,1)="k"),SUM(K51,-L51),A1)</f>
        <v>0</v>
      </c>
      <c r="N51" s="123"/>
      <c r="P51" s="52"/>
    </row>
    <row r="52" spans="2:16">
      <c r="B52" s="25" t="n">
        <v>32</v>
      </c>
      <c r="C52" s="273" t="str">
        <f>VLOOKUP($B52,T_Aop[],5,1)</f>
        <v>067, dio 069</v>
      </c>
      <c r="D52" s="439" t="str">
        <f>VLOOKUP($B52,T_Aop[],6,1)</f>
        <v>      4.2. Dužnički instrumenti</v>
      </c>
      <c r="E52" s="440"/>
      <c r="F52" s="440"/>
      <c r="G52" s="440"/>
      <c r="H52" s="441"/>
      <c r="I52" s="63">
        <f>VLOOKUP($B52,T_Aop[],4,1)</f>
        <v>32</v>
      </c>
      <c r="J52" s="120"/>
      <c r="K52" s="120"/>
      <c r="L52" s="120"/>
      <c r="M52" s="119">
        <f aca="1">IF(AND(Godina=2024,MID(Osnovni_podaci!D20,3,1)="p",Osnovni_podaci!L24=0,Osnovni_podaci!G24=0,MID(Osnovni_podaci!D20,3,1)="p",MID(Osnovni_podaci!D20,8,1)="k"),SUM(K52,-L52),A1)</f>
        <v>0</v>
      </c>
      <c r="N52" s="121"/>
      <c r="P52" s="52"/>
    </row>
    <row r="53" spans="2:16">
      <c r="B53" s="25" t="n">
        <v>33</v>
      </c>
      <c r="C53" s="274" t="str">
        <f>VLOOKUP($B53,T_Aop[],5,1)</f>
        <v>068, dio 069</v>
      </c>
      <c r="D53" s="436" t="str">
        <f>VLOOKUP($B53,T_Aop[],6,1)</f>
        <v>    5. Potraživanja po finansijskom lizingu</v>
      </c>
      <c r="E53" s="437"/>
      <c r="F53" s="437"/>
      <c r="G53" s="437"/>
      <c r="H53" s="438"/>
      <c r="I53" s="65">
        <f>VLOOKUP($B53,T_Aop[],4,1)</f>
        <v>33</v>
      </c>
      <c r="J53" s="122"/>
      <c r="K53" s="122"/>
      <c r="L53" s="122"/>
      <c r="M53" s="118">
        <f aca="1">IF(AND(Godina=2024,MID(Osnovni_podaci!D20,3,1)="p",Osnovni_podaci!L24=0,Osnovni_podaci!G24=0,MID(Osnovni_podaci!D20,3,1)="p",MID(Osnovni_podaci!D20,8,1)="k"),SUM(K53,-L53),A1)</f>
        <v>0</v>
      </c>
      <c r="N53" s="123"/>
      <c r="P53" s="52"/>
    </row>
    <row r="54" spans="2:16">
      <c r="B54" s="25" t="n">
        <v>34</v>
      </c>
      <c r="C54" s="273" t="str">
        <f>VLOOKUP($B54,T_Aop[],5,1)</f>
        <v>07 i 08</v>
      </c>
      <c r="D54" s="446" t="str">
        <f>VLOOKUP($B54,T_Aop[],6,1)</f>
        <v>  VII OSTALA DUGOROČNA SREDSTVA I RAZGRANIČENJA</v>
      </c>
      <c r="E54" s="447"/>
      <c r="F54" s="447"/>
      <c r="G54" s="447"/>
      <c r="H54" s="448"/>
      <c r="I54" s="134">
        <f>VLOOKUP($B54,T_Aop[],4,1)</f>
        <v>34</v>
      </c>
      <c r="J54" s="120"/>
      <c r="K54" s="73"/>
      <c r="L54" s="73"/>
      <c r="M54" s="39">
        <f aca="1">IF(AND(Godina=2024,MID(Osnovni_podaci!D20,3,1)="p",Osnovni_podaci!L24=0,Osnovni_podaci!G24=0,MID(Osnovni_podaci!D20,3,1)="p",MID(Osnovni_podaci!D20,8,1)="k"),SUM(K54,-L54),A1)</f>
        <v>0</v>
      </c>
      <c r="N54" s="74"/>
      <c r="P54" s="52"/>
    </row>
    <row r="55" spans="2:16">
      <c r="B55" s="25" t="n">
        <v>35</v>
      </c>
      <c r="C55" s="274" t="str">
        <f>VLOOKUP($B55,T_Aop[],5,1)</f>
        <v>090</v>
      </c>
      <c r="D55" s="443" t="str">
        <f>VLOOKUP($B55,T_Aop[],6,1)</f>
        <v>  B. ODLOŽENA PORESKA SREDSTVA</v>
      </c>
      <c r="E55" s="444"/>
      <c r="F55" s="444"/>
      <c r="G55" s="444"/>
      <c r="H55" s="445"/>
      <c r="I55" s="133">
        <f>VLOOKUP($B55,T_Aop[],4,1)</f>
        <v>35</v>
      </c>
      <c r="J55" s="122"/>
      <c r="K55" s="124" t="n">
        <v>3947</v>
      </c>
      <c r="L55" s="124"/>
      <c r="M55" s="40">
        <f aca="1">IF(AND(Godina=2024,MID(Osnovni_podaci!D20,3,1)="p",Osnovni_podaci!L24=0,Osnovni_podaci!G24=0,MID(Osnovni_podaci!D20,3,1)="p",MID(Osnovni_podaci!D20,8,1)="k"),SUM(K55,-L55),A1)</f>
        <v>3947</v>
      </c>
      <c r="N55" s="125" t="n">
        <v>3947</v>
      </c>
      <c r="P55" s="52"/>
    </row>
    <row r="56" spans="2:16">
      <c r="B56" s="25" t="n">
        <v>36</v>
      </c>
      <c r="C56" s="273" t="str">
        <f>VLOOKUP($B56,T_Aop[],5,1)</f>
        <v> </v>
      </c>
      <c r="D56" s="446" t="str">
        <f>VLOOKUP($B56,T_Aop[],6,1)</f>
        <v>  V. TEKUĆA SREDSTVA (037+044)</v>
      </c>
      <c r="E56" s="447"/>
      <c r="F56" s="447"/>
      <c r="G56" s="447"/>
      <c r="H56" s="448"/>
      <c r="I56" s="134">
        <f>VLOOKUP($B56,T_Aop[],4,1)</f>
        <v>36</v>
      </c>
      <c r="J56" s="120"/>
      <c r="K56" s="326">
        <f>SUBTOTAL(9,K57:K85)</f>
        <v>4500318</v>
      </c>
      <c r="L56" s="326">
        <f>SUBTOTAL(9,L57:L85)</f>
        <v>44491</v>
      </c>
      <c r="M56" s="326">
        <f aca="1">IF(AND(Godina=2024,MID(Osnovni_podaci!D20,3,1)="p",Osnovni_podaci!L24=0,Osnovni_podaci!G24=0,MID(Osnovni_podaci!D20,3,1)="p",MID(Osnovni_podaci!D20,8,1)="k"),SUM(K56,-L56),A1)</f>
        <v>4455827</v>
      </c>
      <c r="N56" s="327">
        <f aca="1">IF(AND(Godina=2024,MID(Osnovni_podaci!D20,3,1)="p",Osnovni_podaci!L24=0,Osnovni_podaci!G24=0,MID(Osnovni_podaci!D20,3,1)="p",MID(Osnovni_podaci!D20,8,1)="k"),SUBTOTAL(9,N57:N85),A1)</f>
        <v>4153186</v>
      </c>
      <c r="P56" s="52"/>
    </row>
    <row r="57" spans="2:16" ht="25.50" customHeight="1">
      <c r="B57" s="25" t="n">
        <v>37</v>
      </c>
      <c r="C57" s="274" t="str">
        <f>VLOOKUP($B57,T_Aop[],5,1)</f>
        <v>10 do 15</v>
      </c>
      <c r="D57" s="443" t="str">
        <f>VLOOKUP($B57,T_Aop[],6,1)</f>
        <v>  I   ZALIHE, STALNA SREDSTVA NAMIJENJENA PRODAJI I SREDSTVA POSLOVANJA KOJE SE OBUSTAVLJA (038 do 043)</v>
      </c>
      <c r="E57" s="444"/>
      <c r="F57" s="444"/>
      <c r="G57" s="444"/>
      <c r="H57" s="445"/>
      <c r="I57" s="133">
        <f>VLOOKUP($B57,T_Aop[],4,1)</f>
        <v>37</v>
      </c>
      <c r="J57" s="122"/>
      <c r="K57" s="40">
        <f>SUBTOTAL(9,K58:K63)</f>
        <v>3730969</v>
      </c>
      <c r="L57" s="299">
        <f>SUBTOTAL(9,L58:L63)</f>
        <v>0</v>
      </c>
      <c r="M57" s="40">
        <f aca="1">IF(AND(Godina=2024,MID(Osnovni_podaci!D20,3,1)="p",Osnovni_podaci!L24=0,Osnovni_podaci!G24=0,MID(Osnovni_podaci!D20,3,1)="p",MID(Osnovni_podaci!D20,8,1)="k"),SUM(K57,-L57),A1)</f>
        <v>3730969</v>
      </c>
      <c r="N57" s="41">
        <f aca="1">IF(AND(Godina=2024,MID(Osnovni_podaci!D20,3,1)="p",Osnovni_podaci!L24=0,Osnovni_podaci!G24=0,MID(Osnovni_podaci!D20,3,1)="p",MID(Osnovni_podaci!D20,8,1)="k"),SUBTOTAL(9,N58:N63),A1)</f>
        <v>3525656</v>
      </c>
      <c r="P57" s="52"/>
    </row>
    <row r="58" spans="2:16">
      <c r="B58" s="25" t="n">
        <v>38</v>
      </c>
      <c r="C58" s="273" t="str">
        <f>VLOOKUP($B58,T_Aop[],5,1)</f>
        <v>100 do 109</v>
      </c>
      <c r="D58" s="439" t="str">
        <f>VLOOKUP($B58,T_Aop[],6,1)</f>
        <v>    1. Zalihe materijala</v>
      </c>
      <c r="E58" s="440"/>
      <c r="F58" s="440"/>
      <c r="G58" s="440"/>
      <c r="H58" s="441"/>
      <c r="I58" s="63">
        <f>VLOOKUP($B58,T_Aop[],4,1)</f>
        <v>38</v>
      </c>
      <c r="J58" s="120"/>
      <c r="K58" s="120" t="n">
        <v>267194</v>
      </c>
      <c r="L58" s="120"/>
      <c r="M58" s="119">
        <f aca="1">IF(AND(Godina=2024,MID(Osnovni_podaci!D20,3,1)="p",Osnovni_podaci!L24=0,Osnovni_podaci!G24=0,MID(Osnovni_podaci!D20,3,1)="p",MID(Osnovni_podaci!D20,8,1)="k"),SUM(K58,-L58),A1)</f>
        <v>267194</v>
      </c>
      <c r="N58" s="121" t="n">
        <v>155279</v>
      </c>
      <c r="P58" s="52"/>
    </row>
    <row r="59" spans="2:16">
      <c r="B59" s="25" t="n">
        <v>39</v>
      </c>
      <c r="C59" s="274" t="str">
        <f>VLOOKUP($B59,T_Aop[],5,1)</f>
        <v>110 do 119</v>
      </c>
      <c r="D59" s="436" t="str">
        <f>VLOOKUP($B59,T_Aop[],6,1)</f>
        <v>    2. Zalihe nedovršene proizvodnje, poluproizvoda i nedovršenih usluga</v>
      </c>
      <c r="E59" s="437"/>
      <c r="F59" s="437"/>
      <c r="G59" s="437"/>
      <c r="H59" s="438"/>
      <c r="I59" s="65">
        <f>VLOOKUP($B59,T_Aop[],4,1)</f>
        <v>39</v>
      </c>
      <c r="J59" s="122"/>
      <c r="K59" s="122" t="n">
        <v>3177550</v>
      </c>
      <c r="L59" s="122"/>
      <c r="M59" s="118">
        <f aca="1">IF(AND(Godina=2024,MID(Osnovni_podaci!D20,3,1)="p",Osnovni_podaci!L24=0,Osnovni_podaci!G24=0,MID(Osnovni_podaci!D20,3,1)="p",MID(Osnovni_podaci!D20,8,1)="k"),SUM(K59,-L59),A1)</f>
        <v>3177550</v>
      </c>
      <c r="N59" s="123" t="n">
        <v>2847550</v>
      </c>
      <c r="P59" s="52"/>
    </row>
    <row r="60" spans="2:16">
      <c r="B60" s="25" t="n">
        <v>40</v>
      </c>
      <c r="C60" s="273" t="str">
        <f>VLOOKUP($B60,T_Aop[],5,1)</f>
        <v>120 do 129</v>
      </c>
      <c r="D60" s="439" t="str">
        <f>VLOOKUP($B60,T_Aop[],6,1)</f>
        <v>    3. Zalihe gotovih proizvoda</v>
      </c>
      <c r="E60" s="440"/>
      <c r="F60" s="440"/>
      <c r="G60" s="440"/>
      <c r="H60" s="441"/>
      <c r="I60" s="63">
        <f>VLOOKUP($B60,T_Aop[],4,1)</f>
        <v>40</v>
      </c>
      <c r="J60" s="120"/>
      <c r="K60" s="120" t="n">
        <v>286225</v>
      </c>
      <c r="L60" s="120"/>
      <c r="M60" s="119">
        <f aca="1">IF(AND(Godina=2024,MID(Osnovni_podaci!D20,3,1)="p",Osnovni_podaci!L24=0,Osnovni_podaci!G24=0,MID(Osnovni_podaci!D20,3,1)="p",MID(Osnovni_podaci!D20,8,1)="k"),SUM(K60,-L60),A1)</f>
        <v>286225</v>
      </c>
      <c r="N60" s="121" t="n">
        <v>521813</v>
      </c>
      <c r="P60" s="52"/>
    </row>
    <row r="61" spans="2:16" s="35" customFormat="1">
      <c r="B61" s="25" t="n">
        <v>41</v>
      </c>
      <c r="C61" s="274" t="str">
        <f>VLOOKUP($B61,T_Aop[],5,1)</f>
        <v>130 do 139</v>
      </c>
      <c r="D61" s="436" t="str">
        <f>VLOOKUP($B61,T_Aop[],6,1)</f>
        <v>    4. Zalihe robe</v>
      </c>
      <c r="E61" s="437"/>
      <c r="F61" s="437"/>
      <c r="G61" s="437"/>
      <c r="H61" s="438"/>
      <c r="I61" s="65">
        <f>VLOOKUP($B61,T_Aop[],4,1)</f>
        <v>41</v>
      </c>
      <c r="J61" s="122"/>
      <c r="K61" s="122"/>
      <c r="L61" s="122"/>
      <c r="M61" s="118">
        <f aca="1">IF(AND(Godina=2024,MID(Osnovni_podaci!D20,3,1)="p",Osnovni_podaci!L24=0,Osnovni_podaci!G24=0,MID(Osnovni_podaci!D20,3,1)="p",MID(Osnovni_podaci!D20,8,1)="k"),SUM(K61,-L61),A1)</f>
        <v>0</v>
      </c>
      <c r="N61" s="123"/>
      <c r="P61" s="115"/>
    </row>
    <row r="62" spans="2:16">
      <c r="B62" s="25" t="n">
        <v>42</v>
      </c>
      <c r="C62" s="273" t="str">
        <f>VLOOKUP($B62,T_Aop[],5,1)</f>
        <v>140 do 149</v>
      </c>
      <c r="D62" s="439" t="str">
        <f>VLOOKUP($B62,T_Aop[],6,1)</f>
        <v>    5. Stalna sredstva namijenjena prodaji i sredstva poslovanja koje se obustavlja</v>
      </c>
      <c r="E62" s="440"/>
      <c r="F62" s="440"/>
      <c r="G62" s="440"/>
      <c r="H62" s="441"/>
      <c r="I62" s="63">
        <f>VLOOKUP($B62,T_Aop[],4,1)</f>
        <v>42</v>
      </c>
      <c r="J62" s="120"/>
      <c r="K62" s="120"/>
      <c r="L62" s="120"/>
      <c r="M62" s="119">
        <f aca="1">IF(AND(Godina=2024,MID(Osnovni_podaci!D20,3,1)="p",Osnovni_podaci!L24=0,Osnovni_podaci!G24=0,MID(Osnovni_podaci!D20,3,1)="p",MID(Osnovni_podaci!D20,8,1)="k"),SUM(K62,-L62),A1)</f>
        <v>0</v>
      </c>
      <c r="N62" s="121"/>
      <c r="P62" s="52"/>
    </row>
    <row r="63" spans="2:16">
      <c r="B63" s="25" t="n">
        <v>43</v>
      </c>
      <c r="C63" s="274" t="str">
        <f>VLOOKUP($B63,T_Aop[],5,1)</f>
        <v>150 do 159</v>
      </c>
      <c r="D63" s="436" t="str">
        <f>VLOOKUP($B63,T_Aop[],6,1)</f>
        <v>    6. Dati avansi</v>
      </c>
      <c r="E63" s="437"/>
      <c r="F63" s="437"/>
      <c r="G63" s="437"/>
      <c r="H63" s="438"/>
      <c r="I63" s="65">
        <f>VLOOKUP($B63,T_Aop[],4,1)</f>
        <v>43</v>
      </c>
      <c r="J63" s="122"/>
      <c r="K63" s="122"/>
      <c r="L63" s="122"/>
      <c r="M63" s="118">
        <f aca="1">IF(AND(Godina=2024,MID(Osnovni_podaci!D20,3,1)="p",Osnovni_podaci!L24=0,Osnovni_podaci!G24=0,MID(Osnovni_podaci!D20,3,1)="p",MID(Osnovni_podaci!D20,8,1)="k"),SUM(K63,-L63),A1)</f>
        <v>0</v>
      </c>
      <c r="N63" s="123" t="n">
        <v>1014</v>
      </c>
      <c r="P63" s="52"/>
    </row>
    <row r="64" spans="2:16" ht="23.25" customHeight="1">
      <c r="B64" s="25" t="n">
        <v>44</v>
      </c>
      <c r="C64" s="273" t="str">
        <f>VLOOKUP($B64,T_Aop[],5,1)</f>
        <v> </v>
      </c>
      <c r="D64" s="446" t="str">
        <f>VLOOKUP($B64,T_Aop[],6,1)</f>
        <v>  II  KRATKOROČNA SREDSTVA IZUZEV ZALIHA I STALNIH SREDSTAVA NAMIJENJENIH PRODAJI (045+052+061+064+065)</v>
      </c>
      <c r="E64" s="447"/>
      <c r="F64" s="447"/>
      <c r="G64" s="447"/>
      <c r="H64" s="448"/>
      <c r="I64" s="134">
        <f>VLOOKUP($B64,T_Aop[],4,1)</f>
        <v>44</v>
      </c>
      <c r="J64" s="120"/>
      <c r="K64" s="326">
        <f>SUBTOTAL(9,K65:K85)</f>
        <v>769349</v>
      </c>
      <c r="L64" s="326">
        <f>SUBTOTAL(9,L65:L85)</f>
        <v>44491</v>
      </c>
      <c r="M64" s="326">
        <f aca="1">IF(AND(Godina=2024,MID(Osnovni_podaci!D20,3,1)="p",Osnovni_podaci!L24=0,Osnovni_podaci!G24=0,MID(Osnovni_podaci!D20,3,1)="p",MID(Osnovni_podaci!D20,8,1)="k"),SUM(K64,-L64),A1)</f>
        <v>724858</v>
      </c>
      <c r="N64" s="327">
        <f aca="1">IF(AND(Godina=2024,MID(Osnovni_podaci!D20,3,1)="p",Osnovni_podaci!L24=0,Osnovni_podaci!G24=0,MID(Osnovni_podaci!D20,3,1)="p",MID(Osnovni_podaci!D20,8,1)="k"),SUBTOTAL(9,N65:N85),A1)</f>
        <v>627530</v>
      </c>
      <c r="P64" s="52"/>
    </row>
    <row r="65" spans="2:16">
      <c r="B65" s="25" t="n">
        <v>45</v>
      </c>
      <c r="C65" s="274" t="str">
        <f>VLOOKUP($B65,T_Aop[],5,1)</f>
        <v> </v>
      </c>
      <c r="D65" s="436" t="str">
        <f>VLOOKUP($B65,T_Aop[],6,1)</f>
        <v>    1. Kratkoročna potraživanja (046 do 051)</v>
      </c>
      <c r="E65" s="437"/>
      <c r="F65" s="437"/>
      <c r="G65" s="437"/>
      <c r="H65" s="438"/>
      <c r="I65" s="65">
        <f>VLOOKUP($B65,T_Aop[],4,1)</f>
        <v>45</v>
      </c>
      <c r="J65" s="122"/>
      <c r="K65" s="40">
        <f>SUBTOTAL(9,K66:K71)</f>
        <v>397064</v>
      </c>
      <c r="L65" s="40">
        <f>SUBTOTAL(9,L66:L71)</f>
        <v>44491</v>
      </c>
      <c r="M65" s="40">
        <f aca="1">IF(AND(Godina=2024,MID(Osnovni_podaci!D20,3,1)="p",Osnovni_podaci!L24=0,Osnovni_podaci!G24=0,MID(Osnovni_podaci!D20,3,1)="p",MID(Osnovni_podaci!D20,8,1)="k"),SUM(K65,-L65),A1)</f>
        <v>352573</v>
      </c>
      <c r="N65" s="41">
        <f aca="1">IF(AND(Godina=2024,MID(Osnovni_podaci!D20,3,1)="p",Osnovni_podaci!L24=0,Osnovni_podaci!G24=0,MID(Osnovni_podaci!D20,3,1)="p",MID(Osnovni_podaci!D20,8,1)="k"),SUBTOTAL(9,N66:N71),A1)</f>
        <v>359265</v>
      </c>
      <c r="P65" s="52"/>
    </row>
    <row r="66" spans="2:16">
      <c r="B66" s="25" t="n">
        <v>46</v>
      </c>
      <c r="C66" s="273" t="str">
        <f>VLOOKUP($B66,T_Aop[],5,1)</f>
        <v>200, dio 209</v>
      </c>
      <c r="D66" s="439" t="str">
        <f>VLOOKUP($B66,T_Aop[],6,1)</f>
        <v>      1.1. Kupci - povezana pravna lica</v>
      </c>
      <c r="E66" s="440"/>
      <c r="F66" s="440"/>
      <c r="G66" s="440"/>
      <c r="H66" s="441"/>
      <c r="I66" s="63">
        <f>VLOOKUP($B66,T_Aop[],4,1)</f>
        <v>46</v>
      </c>
      <c r="J66" s="120"/>
      <c r="K66" s="120"/>
      <c r="L66" s="120"/>
      <c r="M66" s="119">
        <f aca="1">IF(AND(Godina=2024,MID(Osnovni_podaci!D20,3,1)="p",Osnovni_podaci!L24=0,Osnovni_podaci!G24=0,MID(Osnovni_podaci!D20,3,1)="p",MID(Osnovni_podaci!D20,8,1)="k"),SUM(K66,-L66),A1)</f>
        <v>0</v>
      </c>
      <c r="N66" s="121" t="n">
        <v>31993</v>
      </c>
      <c r="P66" s="52"/>
    </row>
    <row r="67" spans="2:16">
      <c r="B67" s="25" t="n">
        <v>47</v>
      </c>
      <c r="C67" s="274" t="str">
        <f>VLOOKUP($B67,T_Aop[],5,1)</f>
        <v>201, 202, 203, dio 209</v>
      </c>
      <c r="D67" s="436" t="str">
        <f>VLOOKUP($B67,T_Aop[],6,1)</f>
        <v>      1.2. Kupci u zemlji</v>
      </c>
      <c r="E67" s="437"/>
      <c r="F67" s="437"/>
      <c r="G67" s="437"/>
      <c r="H67" s="438"/>
      <c r="I67" s="65">
        <f>VLOOKUP($B67,T_Aop[],4,1)</f>
        <v>47</v>
      </c>
      <c r="J67" s="122"/>
      <c r="K67" s="122" t="n">
        <v>311544</v>
      </c>
      <c r="L67" s="122" t="n">
        <v>44161</v>
      </c>
      <c r="M67" s="118">
        <f aca="1">IF(AND(Godina=2024,MID(Osnovni_podaci!D20,3,1)="p",Osnovni_podaci!L24=0,Osnovni_podaci!G24=0,MID(Osnovni_podaci!D20,3,1)="p",MID(Osnovni_podaci!D20,8,1)="k"),SUM(K67,-L67),A1)</f>
        <v>267383</v>
      </c>
      <c r="N67" s="123" t="n">
        <v>243890</v>
      </c>
      <c r="P67" s="52"/>
    </row>
    <row r="68" spans="2:16">
      <c r="B68" s="25" t="n">
        <v>48</v>
      </c>
      <c r="C68" s="273" t="str">
        <f>VLOOKUP($B68,T_Aop[],5,1)</f>
        <v>204, dio 209</v>
      </c>
      <c r="D68" s="439" t="str">
        <f>VLOOKUP($B68,T_Aop[],6,1)</f>
        <v>      1.3. Kupci iz inostranstva</v>
      </c>
      <c r="E68" s="440"/>
      <c r="F68" s="440"/>
      <c r="G68" s="440"/>
      <c r="H68" s="441"/>
      <c r="I68" s="63">
        <f>VLOOKUP($B68,T_Aop[],4,1)</f>
        <v>48</v>
      </c>
      <c r="J68" s="120"/>
      <c r="K68" s="120"/>
      <c r="L68" s="120"/>
      <c r="M68" s="119">
        <f aca="1">IF(AND(Godina=2024,MID(Osnovni_podaci!D20,3,1)="p",Osnovni_podaci!L24=0,Osnovni_podaci!G24=0,MID(Osnovni_podaci!D20,3,1)="p",MID(Osnovni_podaci!D20,8,1)="k"),SUM(K68,-L68),A1)</f>
        <v>0</v>
      </c>
      <c r="N68" s="121"/>
      <c r="P68" s="52"/>
    </row>
    <row r="69" spans="2:16">
      <c r="B69" s="25" t="n">
        <v>49</v>
      </c>
      <c r="C69" s="274" t="str">
        <f>VLOOKUP($B69,T_Aop[],5,1)</f>
        <v>grupa 21, osim 214</v>
      </c>
      <c r="D69" s="436" t="str">
        <f>VLOOKUP($B69,T_Aop[],6,1)</f>
        <v>      1.4.Potraživanja iz specifičnih poslova</v>
      </c>
      <c r="E69" s="437"/>
      <c r="F69" s="437"/>
      <c r="G69" s="437"/>
      <c r="H69" s="438"/>
      <c r="I69" s="65">
        <f>VLOOKUP($B69,T_Aop[],4,1)</f>
        <v>49</v>
      </c>
      <c r="J69" s="122"/>
      <c r="K69" s="122"/>
      <c r="L69" s="122"/>
      <c r="M69" s="118">
        <f aca="1">IF(AND(Godina=2024,MID(Osnovni_podaci!D20,3,1)="p",Osnovni_podaci!L24=0,Osnovni_podaci!G24=0,MID(Osnovni_podaci!D20,3,1)="p",MID(Osnovni_podaci!D20,8,1)="k"),SUM(K69,-L69),A1)</f>
        <v>0</v>
      </c>
      <c r="N69" s="123"/>
      <c r="P69" s="52"/>
    </row>
    <row r="70" spans="2:16">
      <c r="B70" s="25" t="n">
        <v>50</v>
      </c>
      <c r="C70" s="273" t="str">
        <f>VLOOKUP($B70,T_Aop[],5,1)</f>
        <v>grupa 22, osim 224</v>
      </c>
      <c r="D70" s="439" t="str">
        <f>VLOOKUP($B70,T_Aop[],6,1)</f>
        <v>      1.5. Ostala kratkoročna potraživanja</v>
      </c>
      <c r="E70" s="440"/>
      <c r="F70" s="440"/>
      <c r="G70" s="440"/>
      <c r="H70" s="441"/>
      <c r="I70" s="63">
        <f>VLOOKUP($B70,T_Aop[],4,1)</f>
        <v>50</v>
      </c>
      <c r="J70" s="120"/>
      <c r="K70" s="120" t="n">
        <v>85520</v>
      </c>
      <c r="L70" s="120" t="n">
        <v>330</v>
      </c>
      <c r="M70" s="119">
        <f aca="1">IF(AND(Godina=2024,MID(Osnovni_podaci!D20,3,1)="p",Osnovni_podaci!L24=0,Osnovni_podaci!G24=0,MID(Osnovni_podaci!D20,3,1)="p",MID(Osnovni_podaci!D20,8,1)="k"),SUM(K70,-L70),A1)</f>
        <v>85190</v>
      </c>
      <c r="N70" s="121" t="n">
        <v>83382</v>
      </c>
      <c r="P70" s="52"/>
    </row>
    <row r="71" spans="2:16">
      <c r="B71" s="25" t="n">
        <v>51</v>
      </c>
      <c r="C71" s="274">
        <f>VLOOKUP($B71,T_Aop[],5,1)</f>
        <v>224</v>
      </c>
      <c r="D71" s="436" t="str">
        <f>VLOOKUP($B71,T_Aop[],6,1)</f>
        <v>      1.6. Potraživanja za više plaćen porez na dobit</v>
      </c>
      <c r="E71" s="437"/>
      <c r="F71" s="437"/>
      <c r="G71" s="437"/>
      <c r="H71" s="438"/>
      <c r="I71" s="65">
        <f>VLOOKUP($B71,T_Aop[],4,1)</f>
        <v>51</v>
      </c>
      <c r="J71" s="122"/>
      <c r="K71" s="122"/>
      <c r="L71" s="122"/>
      <c r="M71" s="118">
        <f aca="1">IF(AND(Godina=2024,MID(Osnovni_podaci!D20,3,1)="p",Osnovni_podaci!L24=0,Osnovni_podaci!G24=0,MID(Osnovni_podaci!D20,3,1)="p",MID(Osnovni_podaci!D20,8,1)="k"),SUM(K71,-L71),A1)</f>
        <v>0</v>
      </c>
      <c r="N71" s="123"/>
      <c r="P71" s="52"/>
    </row>
    <row r="72" spans="2:16">
      <c r="B72" s="25" t="n">
        <v>52</v>
      </c>
      <c r="C72" s="273" t="str">
        <f>VLOOKUP($B72,T_Aop[],5,1)</f>
        <v> </v>
      </c>
      <c r="D72" s="439" t="str">
        <f>VLOOKUP($B72,T_Aop[],6,1)</f>
        <v>    2. Kratkoročni finansijski plasmani ( 053 + 058 + 059 + 060)</v>
      </c>
      <c r="E72" s="440"/>
      <c r="F72" s="440"/>
      <c r="G72" s="440"/>
      <c r="H72" s="441"/>
      <c r="I72" s="63">
        <f>VLOOKUP($B72,T_Aop[],4,1)</f>
        <v>52</v>
      </c>
      <c r="J72" s="120"/>
      <c r="K72" s="191">
        <f aca="1">IF(AND(Godina=2024,MID(Osnovni_podaci!D20,3,1)="p",Osnovni_podaci!L24=0,Osnovni_podaci!G24=0,MID(Osnovni_podaci!D20,3,1)="p",MID(Osnovni_podaci!D20,8,1)="k"),SUBTOTAL(9,K73:K80),A1)</f>
        <v>0</v>
      </c>
      <c r="L72" s="191">
        <f>SUBTOTAL(9,L73:L80)</f>
        <v>0</v>
      </c>
      <c r="M72" s="191">
        <f aca="1">IF(AND(Godina=2024,MID(Osnovni_podaci!D20,3,1)="p",Osnovni_podaci!L24=0,Osnovni_podaci!G24=0,MID(Osnovni_podaci!D20,3,1)="p",MID(Osnovni_podaci!D20,8,1)="k"),SUM(K72,-L72),A1)</f>
        <v>0</v>
      </c>
      <c r="N72" s="300">
        <f aca="1">IF(AND(Godina=2024,MID(Osnovni_podaci!D20,3,1)="p",Osnovni_podaci!L24=0,Osnovni_podaci!G24=0,MID(Osnovni_podaci!D20,3,1)="p",MID(Osnovni_podaci!D20,8,1)="k"),SUBTOTAL(9,N73:N80),A1)</f>
        <v>0</v>
      </c>
      <c r="P72" s="52"/>
    </row>
    <row r="73" spans="2:16">
      <c r="B73" s="25" t="n">
        <v>53</v>
      </c>
      <c r="C73" s="274" t="str">
        <f>VLOOKUP($B73,T_Aop[],5,1)</f>
        <v> </v>
      </c>
      <c r="D73" s="436" t="str">
        <f>VLOOKUP($B73,T_Aop[],6,1)</f>
        <v>      2.1. Finansijska sredstva po amortizovanoj vrijednosti (054 do 057)</v>
      </c>
      <c r="E73" s="437"/>
      <c r="F73" s="437"/>
      <c r="G73" s="437"/>
      <c r="H73" s="438"/>
      <c r="I73" s="65">
        <f>VLOOKUP($B73,T_Aop[],4,1)</f>
        <v>53</v>
      </c>
      <c r="J73" s="122"/>
      <c r="K73" s="40">
        <f aca="1">IF(AND(Godina=2024,MID(Osnovni_podaci!D20,3,1)="p",Osnovni_podaci!L24=0,Osnovni_podaci!G24=0,MID(Osnovni_podaci!D20,3,1)="p",MID(Osnovni_podaci!D20,8,1)="k"),SUBTOTAL(9,K74:K77),A1)</f>
        <v>0</v>
      </c>
      <c r="L73" s="40">
        <f>SUBTOTAL(9,L74:L77)</f>
        <v>0</v>
      </c>
      <c r="M73" s="40">
        <f aca="1">IF(AND(Godina=2024,MID(Osnovni_podaci!D20,3,1)="p",Osnovni_podaci!L24=0,Osnovni_podaci!G24=0,MID(Osnovni_podaci!D20,3,1)="p",MID(Osnovni_podaci!D20,8,1)="k"),SUM(K73,-L73),A1)</f>
        <v>0</v>
      </c>
      <c r="N73" s="41">
        <f aca="1">IF(AND(Godina=2024,MID(Osnovni_podaci!D20,3,1)="p",Osnovni_podaci!L24=0,Osnovni_podaci!G24=0,MID(Osnovni_podaci!D20,3,1)="p",MID(Osnovni_podaci!D20,8,1)="k"),SUBTOTAL(9,N74:N77),A1)</f>
        <v>0</v>
      </c>
      <c r="P73" s="52"/>
    </row>
    <row r="74" spans="2:16">
      <c r="B74" s="25" t="n">
        <v>54</v>
      </c>
      <c r="C74" s="273" t="str">
        <f>VLOOKUP($B74,T_Aop[],5,1)</f>
        <v>230, dio 238</v>
      </c>
      <c r="D74" s="439" t="str">
        <f>VLOOKUP($B74,T_Aop[],6,1)</f>
        <v>        a) Kratkoročni krediti povezanim pravnim licima</v>
      </c>
      <c r="E74" s="440"/>
      <c r="F74" s="440"/>
      <c r="G74" s="440"/>
      <c r="H74" s="441"/>
      <c r="I74" s="63">
        <f>VLOOKUP($B74,T_Aop[],4,1)</f>
        <v>54</v>
      </c>
      <c r="J74" s="120"/>
      <c r="K74" s="120"/>
      <c r="L74" s="120"/>
      <c r="M74" s="119">
        <f aca="1">IF(AND(Godina=2024,MID(Osnovni_podaci!D20,3,1)="p",Osnovni_podaci!L24=0,Osnovni_podaci!G24=0,MID(Osnovni_podaci!D20,3,1)="p",MID(Osnovni_podaci!D20,8,1)="k"),SUM(K74,-L74),A1)</f>
        <v>0</v>
      </c>
      <c r="N74" s="121"/>
      <c r="P74" s="52"/>
    </row>
    <row r="75" spans="2:16">
      <c r="B75" s="25" t="n">
        <v>55</v>
      </c>
      <c r="C75" s="274" t="str">
        <f>VLOOKUP($B75,T_Aop[],5,1)</f>
        <v>231, dio 238</v>
      </c>
      <c r="D75" s="436" t="str">
        <f>VLOOKUP($B75,T_Aop[],6,1)</f>
        <v>        b) Kratkoročni krediti u zemlji</v>
      </c>
      <c r="E75" s="437"/>
      <c r="F75" s="437"/>
      <c r="G75" s="437"/>
      <c r="H75" s="438"/>
      <c r="I75" s="65">
        <f>VLOOKUP($B75,T_Aop[],4,1)</f>
        <v>55</v>
      </c>
      <c r="J75" s="122"/>
      <c r="K75" s="122"/>
      <c r="L75" s="122"/>
      <c r="M75" s="118">
        <f aca="1">IF(AND(Godina=2024,MID(Osnovni_podaci!D20,3,1)="p",Osnovni_podaci!L24=0,Osnovni_podaci!G24=0,MID(Osnovni_podaci!D20,3,1)="p",MID(Osnovni_podaci!D20,8,1)="k"),SUM(K75,-L75),A1)</f>
        <v>0</v>
      </c>
      <c r="N75" s="123"/>
      <c r="P75" s="52"/>
    </row>
    <row r="76" spans="2:16">
      <c r="B76" s="25" t="n">
        <v>56</v>
      </c>
      <c r="C76" s="273" t="str">
        <f>VLOOKUP($B76,T_Aop[],5,1)</f>
        <v>232, dio 238</v>
      </c>
      <c r="D76" s="439" t="str">
        <f>VLOOKUP($B76,T_Aop[],6,1)</f>
        <v>        c) Kratkoročni krediti u inostranstvu</v>
      </c>
      <c r="E76" s="440"/>
      <c r="F76" s="440"/>
      <c r="G76" s="440"/>
      <c r="H76" s="441"/>
      <c r="I76" s="63">
        <f>VLOOKUP($B76,T_Aop[],4,1)</f>
        <v>56</v>
      </c>
      <c r="J76" s="120"/>
      <c r="K76" s="120"/>
      <c r="L76" s="120"/>
      <c r="M76" s="119">
        <f aca="1">IF(AND(Godina=2024,MID(Osnovni_podaci!D20,3,1)="p",Osnovni_podaci!L24=0,Osnovni_podaci!G24=0,MID(Osnovni_podaci!D20,3,1)="p",MID(Osnovni_podaci!D20,8,1)="k"),SUM(K76,-L76),A1)</f>
        <v>0</v>
      </c>
      <c r="N76" s="121"/>
      <c r="P76" s="52"/>
    </row>
    <row r="77" spans="2:16">
      <c r="B77" s="25" t="n">
        <v>57</v>
      </c>
      <c r="C77" s="274" t="str">
        <f>VLOOKUP($B77,T_Aop[],5,1)</f>
        <v>233, dio 238</v>
      </c>
      <c r="D77" s="436" t="str">
        <f>VLOOKUP($B77,T_Aop[],6,1)</f>
        <v>        d) Ostala finansijska sredstva po amortizovanoj vrijednosti</v>
      </c>
      <c r="E77" s="437"/>
      <c r="F77" s="437"/>
      <c r="G77" s="437"/>
      <c r="H77" s="438"/>
      <c r="I77" s="65">
        <f>VLOOKUP($B77,T_Aop[],4,1)</f>
        <v>57</v>
      </c>
      <c r="J77" s="122"/>
      <c r="K77" s="122"/>
      <c r="L77" s="122"/>
      <c r="M77" s="118">
        <f aca="1">IF(AND(Godina=2024,MID(Osnovni_podaci!D20,3,1)="p",Osnovni_podaci!L24=0,Osnovni_podaci!G24=0,MID(Osnovni_podaci!D20,3,1)="p",MID(Osnovni_podaci!D20,8,1)="k"),SUM(K77,-L77),A1)</f>
        <v>0</v>
      </c>
      <c r="N77" s="123"/>
      <c r="P77" s="52"/>
    </row>
    <row r="78" spans="2:16">
      <c r="B78" s="25" t="n">
        <v>58</v>
      </c>
      <c r="C78" s="273" t="str">
        <f>VLOOKUP($B78,T_Aop[],5,1)</f>
        <v>235 i 236</v>
      </c>
      <c r="D78" s="439" t="str">
        <f>VLOOKUP($B78,T_Aop[],6,1)</f>
        <v>      2.2. Finansijska sredstva po fer vrijednosti kroz bilans uspjeha</v>
      </c>
      <c r="E78" s="440"/>
      <c r="F78" s="440"/>
      <c r="G78" s="440"/>
      <c r="H78" s="441"/>
      <c r="I78" s="63">
        <f>VLOOKUP($B78,T_Aop[],4,1)</f>
        <v>58</v>
      </c>
      <c r="J78" s="120"/>
      <c r="K78" s="120"/>
      <c r="L78" s="120"/>
      <c r="M78" s="119">
        <f aca="1">IF(AND(Godina=2024,MID(Osnovni_podaci!D20,3,1)="p",Osnovni_podaci!L24=0,Osnovni_podaci!G24=0,MID(Osnovni_podaci!D20,3,1)="p",MID(Osnovni_podaci!D20,8,1)="k"),SUM(K78,-L78),A1)</f>
        <v>0</v>
      </c>
      <c r="N78" s="121"/>
      <c r="P78" s="52"/>
    </row>
    <row r="79" spans="2:16">
      <c r="B79" s="25" t="n">
        <v>59</v>
      </c>
      <c r="C79" s="274" t="str">
        <f>VLOOKUP($B79,T_Aop[],5,1)</f>
        <v>234, 239</v>
      </c>
      <c r="D79" s="436" t="str">
        <f>VLOOKUP($B79,T_Aop[],6,1)</f>
        <v>      2.3. Potraživanje po finansijskom lizingu</v>
      </c>
      <c r="E79" s="437"/>
      <c r="F79" s="437"/>
      <c r="G79" s="437"/>
      <c r="H79" s="438"/>
      <c r="I79" s="65">
        <f>VLOOKUP($B79,T_Aop[],4,1)</f>
        <v>59</v>
      </c>
      <c r="J79" s="122"/>
      <c r="K79" s="122"/>
      <c r="L79" s="122"/>
      <c r="M79" s="118">
        <f aca="1">IF(AND(Godina=2024,MID(Osnovni_podaci!D20,3,1)="p",Osnovni_podaci!L24=0,Osnovni_podaci!G24=0,MID(Osnovni_podaci!D20,3,1)="p",MID(Osnovni_podaci!D20,8,1)="k"),SUM(K79,-L79),A1)</f>
        <v>0</v>
      </c>
      <c r="N79" s="123"/>
      <c r="P79" s="52"/>
    </row>
    <row r="80" spans="2:16">
      <c r="B80" s="25" t="n">
        <v>60</v>
      </c>
      <c r="C80" s="273">
        <f>VLOOKUP($B80,T_Aop[],5,1)</f>
        <v>214</v>
      </c>
      <c r="D80" s="439" t="str">
        <f>VLOOKUP($B80,T_Aop[],6,1)</f>
        <v>      2.4. Derivatna finansijska sredstva</v>
      </c>
      <c r="E80" s="440"/>
      <c r="F80" s="440"/>
      <c r="G80" s="440"/>
      <c r="H80" s="441"/>
      <c r="I80" s="63">
        <f>VLOOKUP($B80,T_Aop[],4,1)</f>
        <v>60</v>
      </c>
      <c r="J80" s="120"/>
      <c r="K80" s="120"/>
      <c r="L80" s="120"/>
      <c r="M80" s="119">
        <f aca="1">IF(AND(Godina=2024,MID(Osnovni_podaci!D20,3,1)="p",Osnovni_podaci!L24=0,Osnovni_podaci!G24=0,MID(Osnovni_podaci!D20,3,1)="p",MID(Osnovni_podaci!D20,8,1)="k"),SUM(K80,-L80),A1)</f>
        <v>0</v>
      </c>
      <c r="N80" s="121"/>
      <c r="P80" s="52"/>
    </row>
    <row r="81" spans="2:16">
      <c r="B81" s="25" t="n">
        <v>61</v>
      </c>
      <c r="C81" s="274">
        <f>VLOOKUP($B81,T_Aop[],5,1)</f>
        <v>24</v>
      </c>
      <c r="D81" s="436" t="str">
        <f>VLOOKUP($B81,T_Aop[],6,1)</f>
        <v>    3. Gotovinski ekvivalenti i gotovina (062 + 063)</v>
      </c>
      <c r="E81" s="437"/>
      <c r="F81" s="437"/>
      <c r="G81" s="437"/>
      <c r="H81" s="438"/>
      <c r="I81" s="65">
        <f>VLOOKUP($B81,T_Aop[],4,1)</f>
        <v>61</v>
      </c>
      <c r="J81" s="122"/>
      <c r="K81" s="40">
        <f aca="1">IF(AND(Godina=2024,MID(Osnovni_podaci!D20,3,1)="p",Osnovni_podaci!L24=0,Osnovni_podaci!G24=0,MID(Osnovni_podaci!D20,3,1)="p",MID(Osnovni_podaci!D20,8,1)="k"),SUBTOTAL(9,K82:K83),A1)</f>
        <v>9345</v>
      </c>
      <c r="L81" s="40">
        <f aca="1">IF(AND(Godina=2024,MID(Osnovni_podaci!D20,3,1)="p",Osnovni_podaci!L24=0,Osnovni_podaci!G24=0,MID(Osnovni_podaci!D20,3,1)="p",MID(Osnovni_podaci!D20,8,1)="k"),SUBTOTAL(9,L82:L83),A1)</f>
        <v>0</v>
      </c>
      <c r="M81" s="40">
        <f>SUM(K81,-L81)</f>
        <v>9345</v>
      </c>
      <c r="N81" s="41">
        <f>SUBTOTAL(9,N82:N83)</f>
        <v>23465</v>
      </c>
      <c r="P81" s="52"/>
    </row>
    <row r="82" spans="2:16">
      <c r="B82" s="25" t="n">
        <v>62</v>
      </c>
      <c r="C82" s="273" t="str">
        <f>VLOOKUP($B82,T_Aop[],5,1)</f>
        <v>240, dio 249</v>
      </c>
      <c r="D82" s="439" t="str">
        <f>VLOOKUP($B82,T_Aop[],6,1)</f>
        <v>      3.1. Gotovinski ekvivalenti </v>
      </c>
      <c r="E82" s="440"/>
      <c r="F82" s="440"/>
      <c r="G82" s="440"/>
      <c r="H82" s="441"/>
      <c r="I82" s="63">
        <f>VLOOKUP($B82,T_Aop[],4,1)</f>
        <v>62</v>
      </c>
      <c r="J82" s="120"/>
      <c r="K82" s="179"/>
      <c r="L82" s="120"/>
      <c r="M82" s="119">
        <f>SUM(K82,-L82)</f>
        <v>0</v>
      </c>
      <c r="N82" s="301"/>
      <c r="P82" s="52"/>
    </row>
    <row r="83" spans="2:16">
      <c r="B83" s="25" t="n">
        <v>63</v>
      </c>
      <c r="C83" s="274" t="str">
        <f>VLOOKUP($B83,T_Aop[],5,1)</f>
        <v>241 do 249</v>
      </c>
      <c r="D83" s="436" t="str">
        <f>VLOOKUP($B83,T_Aop[],6,1)</f>
        <v>      3.2. Gotovina</v>
      </c>
      <c r="E83" s="437"/>
      <c r="F83" s="437"/>
      <c r="G83" s="437"/>
      <c r="H83" s="438"/>
      <c r="I83" s="65">
        <f>VLOOKUP($B83,T_Aop[],4,1)</f>
        <v>63</v>
      </c>
      <c r="J83" s="122"/>
      <c r="K83" s="323" t="n">
        <v>9345</v>
      </c>
      <c r="L83" s="122"/>
      <c r="M83" s="118">
        <f>SUM(K83,-L83)</f>
        <v>9345</v>
      </c>
      <c r="N83" s="123" t="n">
        <v>23465</v>
      </c>
      <c r="P83" s="52"/>
    </row>
    <row r="84" spans="2:16">
      <c r="B84" s="25" t="n">
        <v>64</v>
      </c>
      <c r="C84" s="273" t="str">
        <f>VLOOKUP($B84,T_Aop[],5,1)</f>
        <v>270 do 279</v>
      </c>
      <c r="D84" s="439" t="str">
        <f>VLOOKUP($B84,T_Aop[],6,1)</f>
        <v>    4. Porez na dodatu vrijednost</v>
      </c>
      <c r="E84" s="440"/>
      <c r="F84" s="440"/>
      <c r="G84" s="440"/>
      <c r="H84" s="441"/>
      <c r="I84" s="63">
        <f>VLOOKUP($B84,T_Aop[],4,1)</f>
        <v>64</v>
      </c>
      <c r="J84" s="120"/>
      <c r="K84" s="325"/>
      <c r="L84" s="120"/>
      <c r="M84" s="119">
        <f>SUM(K84,-L84)</f>
        <v>0</v>
      </c>
      <c r="N84" s="121"/>
      <c r="P84" s="52"/>
    </row>
    <row r="85" spans="2:16">
      <c r="B85" s="25" t="n">
        <v>65</v>
      </c>
      <c r="C85" s="274" t="str">
        <f>VLOOKUP($B85,T_Aop[],5,1)</f>
        <v>280 do 289</v>
      </c>
      <c r="D85" s="436" t="str">
        <f>VLOOKUP($B85,T_Aop[],6,1)</f>
        <v>    5. Kratkoročna  razgraničenja</v>
      </c>
      <c r="E85" s="437"/>
      <c r="F85" s="437"/>
      <c r="G85" s="437"/>
      <c r="H85" s="438"/>
      <c r="I85" s="65">
        <f>VLOOKUP($B85,T_Aop[],4,1)</f>
        <v>65</v>
      </c>
      <c r="J85" s="122"/>
      <c r="K85" s="324" t="n">
        <v>362940</v>
      </c>
      <c r="L85" s="122"/>
      <c r="M85" s="118">
        <f>SUM(K85,-L85)</f>
        <v>362940</v>
      </c>
      <c r="N85" s="123" t="n">
        <v>244800</v>
      </c>
      <c r="P85" s="52"/>
    </row>
    <row r="86" spans="2:16">
      <c r="B86" s="25" t="n">
        <v>66</v>
      </c>
      <c r="C86" s="273"/>
      <c r="D86" s="446" t="str">
        <f>VLOOKUP($B86,T_Aop[],6,1)</f>
        <v>  G. BILANSNA AKTIVA (001 + 035 + 036)</v>
      </c>
      <c r="E86" s="447"/>
      <c r="F86" s="447"/>
      <c r="G86" s="447"/>
      <c r="H86" s="448"/>
      <c r="I86" s="135">
        <f>VLOOKUP($B86,T_Aop[],4,1)</f>
        <v>66</v>
      </c>
      <c r="J86" s="120"/>
      <c r="K86" s="39">
        <f aca="1">IF(AND(Godina=2024,MID(Osnovni_podaci!D20,3,1)="p",Osnovni_podaci!L24=0,Osnovni_podaci!G24=0,MID(Osnovni_podaci!D20,3,1)="p",MID(Osnovni_podaci!D20,8,1)="k"),SUBTOTAL(9,K21:K85),A1)</f>
        <v>13512348</v>
      </c>
      <c r="L86" s="39">
        <f aca="1">IF(AND(Godina=2024,MID(Osnovni_podaci!D20,3,1)="p",Osnovni_podaci!L24=0,Osnovni_podaci!G24=0,MID(Osnovni_podaci!D20,3,1)="p",MID(Osnovni_podaci!D20,8,1)="k"),SUBTOTAL(9,L21:L85),A1)</f>
        <v>6113126</v>
      </c>
      <c r="M86" s="73">
        <f>SUM(K86,-L86)</f>
        <v>7399222</v>
      </c>
      <c r="N86" s="42">
        <f>SUBTOTAL(9,N21:N85)</f>
        <v>7158739</v>
      </c>
      <c r="P86" s="52"/>
    </row>
    <row r="87" spans="2:16">
      <c r="B87" s="25" t="n">
        <v>67</v>
      </c>
      <c r="C87" s="275" t="str">
        <f>VLOOKUP($B87,T_Aop[],5,1)</f>
        <v>880 do 888</v>
      </c>
      <c r="D87" s="483" t="str">
        <f>VLOOKUP($B87,T_Aop[],6,1)</f>
        <v>  D. VANBILANSNA AKTIVA</v>
      </c>
      <c r="E87" s="484"/>
      <c r="F87" s="484"/>
      <c r="G87" s="484"/>
      <c r="H87" s="485"/>
      <c r="I87" s="136">
        <f>VLOOKUP($B87,T_Aop[],4,1)</f>
        <v>67</v>
      </c>
      <c r="J87" s="302"/>
      <c r="K87" s="330"/>
      <c r="L87" s="330"/>
      <c r="M87" s="43">
        <f>SUM(K87,-L87)</f>
        <v>0</v>
      </c>
      <c r="N87" s="331"/>
      <c r="P87" s="52"/>
    </row>
    <row r="88" spans="3:16">
      <c r="C88" s="104"/>
      <c r="D88" s="104"/>
      <c r="E88" s="104"/>
      <c r="F88" s="104"/>
      <c r="G88" s="104"/>
      <c r="H88" s="104"/>
      <c r="I88" s="104"/>
      <c r="J88" s="104"/>
      <c r="K88" s="104"/>
      <c r="L88" s="104"/>
      <c r="M88" s="105"/>
      <c r="N88" s="104"/>
      <c r="P88" s="52"/>
    </row>
    <row r="89" spans="3:16">
      <c r="C89" s="474" t="str">
        <f aca="1">Tabele_zaglavlje_Grupa_racuna</f>
        <v>Grupa računa, račun</v>
      </c>
      <c r="D89" s="465" t="str">
        <f aca="1">IF(AND(Godina=2024,MID(Osnovni_podaci!D20,3,1)="p",Osnovni_podaci!L24=0,Osnovni_podaci!G24=0,MID(Osnovni_podaci!D20,3,1)="p",MID(Osnovni_podaci!D20,8,1)="k"),Tabele_zaglavlje_Pozicija,A1)</f>
        <v>POZICIJA</v>
      </c>
      <c r="E89" s="466"/>
      <c r="F89" s="466"/>
      <c r="G89" s="466"/>
      <c r="H89" s="467"/>
      <c r="I89" s="491" t="str">
        <f aca="1">Tabele_zaglavlje_Oznaka_aop</f>
        <v>Oznaka za AOP</v>
      </c>
      <c r="J89" s="480" t="str">
        <f aca="1">Tabele_zaglavlje_Napomena_aop</f>
        <v>Napomena</v>
      </c>
      <c r="K89" s="487"/>
      <c r="L89" s="488"/>
      <c r="M89" s="477" t="str">
        <f aca="1">Tabele_zaglavlje_BS_iznos_tekuca</f>
        <v>Iznos na dan bilansa tekuće godine</v>
      </c>
      <c r="N89" s="486" t="str">
        <f aca="1">Tabele_zaglavlje_BS_iznos_prethodna</f>
        <v>Iznos na dan bilansa prethodne godine (PS)</v>
      </c>
      <c r="P89" s="52"/>
    </row>
    <row r="90" spans="3:16" ht="39.75" customHeight="1">
      <c r="C90" s="475"/>
      <c r="D90" s="468"/>
      <c r="E90" s="469"/>
      <c r="F90" s="469"/>
      <c r="G90" s="469"/>
      <c r="H90" s="470"/>
      <c r="I90" s="478"/>
      <c r="J90" s="481"/>
      <c r="K90" s="489"/>
      <c r="L90" s="490"/>
      <c r="M90" s="478"/>
      <c r="N90" s="473"/>
      <c r="P90" s="52"/>
    </row>
    <row r="91" spans="3:16">
      <c r="C91" s="32" t="n">
        <v>1</v>
      </c>
      <c r="D91" s="175" t="s">
        <v>67</v>
      </c>
      <c r="E91" s="471"/>
      <c r="F91" s="471"/>
      <c r="G91" s="471"/>
      <c r="H91" s="176"/>
      <c r="I91" s="176" t="n">
        <v>3</v>
      </c>
      <c r="J91" s="33" t="n">
        <v>4</v>
      </c>
      <c r="K91" s="303"/>
      <c r="L91" s="304"/>
      <c r="M91" s="175" t="n">
        <v>5</v>
      </c>
      <c r="N91" s="34" t="n">
        <v>6</v>
      </c>
      <c r="P91" s="52"/>
    </row>
    <row r="92" spans="2:16" ht="22.50" customHeight="1">
      <c r="B92" s="25" t="n">
        <v>68</v>
      </c>
      <c r="C92" s="132">
        <f>VLOOKUP($B92,T_Aop[],5,1)</f>
        <v>0</v>
      </c>
      <c r="D92" s="452" t="str">
        <f aca="1">IF(AND(Godina=2024,MID(Osnovni_podaci!D20,3,1)="p",Osnovni_podaci!L24=0,Osnovni_podaci!G24=0,MID(Osnovni_podaci!D20,3,1)="p",MID(Osnovni_podaci!D20,8,1)="k"),VLOOKUP($B92,T_Aop[],6,1),A1)</f>
        <v>  BILANSNA PASIVA
A. KAPITAL  (102 -110 + 113 - 114 + 115 + 119 + 122 - 123 + 124 - 128 + 131)</v>
      </c>
      <c r="E92" s="453"/>
      <c r="F92" s="453"/>
      <c r="G92" s="453"/>
      <c r="H92" s="454"/>
      <c r="I92" s="133">
        <f>VLOOKUP($B92,T_Aop[],4,1)</f>
        <v>101</v>
      </c>
      <c r="J92" s="323"/>
      <c r="K92" s="432"/>
      <c r="L92" s="433"/>
      <c r="M92" s="384">
        <f>SUBTOTAL(9,M95:M100,M104,M107:M109,M111:M113,M116:M118,M122)-SUBTOTAL(9,M102:M103,M114,M120:M121)-SUBTOTAL(9,M105)</f>
        <v>1190514</v>
      </c>
      <c r="N92" s="306">
        <f>SUBTOTAL(9,N95:N100,N104,N107:N109,N111:N113,N116:N118,N122)-SUBTOTAL(9,N102:N103,N114,N120:N121)-SUBTOTAL(9,N105)</f>
        <v>1189709</v>
      </c>
      <c r="P92" s="52"/>
    </row>
    <row r="93" spans="2:16">
      <c r="B93" s="25" t="n">
        <v>69</v>
      </c>
      <c r="C93" s="270">
        <f>VLOOKUP($B93,T_Aop[],5,1)</f>
        <v>30</v>
      </c>
      <c r="D93" s="461" t="str">
        <f aca="1">IF(AND(Godina=2024,MID(Osnovni_podaci!D20,3,1)="p",Osnovni_podaci!L24=0,Osnovni_podaci!G24=0,MID(Osnovni_podaci!D20,3,1)="p",MID(Osnovni_podaci!D20,8,1)="k"),VLOOKUP($B93,T_Aop[],6,1),A1)</f>
        <v>  I OSNOVNI KAPITAL (103 + 106 + 107 + 108 + 109)</v>
      </c>
      <c r="E93" s="462"/>
      <c r="F93" s="462"/>
      <c r="G93" s="462"/>
      <c r="H93" s="463"/>
      <c r="I93" s="180">
        <f>VLOOKUP($B93,T_Aop[],4,1)</f>
        <v>102</v>
      </c>
      <c r="J93" s="321"/>
      <c r="K93" s="430"/>
      <c r="L93" s="431"/>
      <c r="M93" s="385">
        <f>SUBTOTAL(9,M94:M100)</f>
        <v>6015177</v>
      </c>
      <c r="N93" s="386">
        <f>SUBTOTAL(9,N94:N100)</f>
        <v>6015177</v>
      </c>
      <c r="P93" s="52"/>
    </row>
    <row r="94" spans="2:16">
      <c r="B94" s="25" t="n">
        <v>70</v>
      </c>
      <c r="C94" s="271">
        <f>VLOOKUP($B94,T_Aop[],5,1)</f>
        <v>300</v>
      </c>
      <c r="D94" s="436" t="str">
        <f aca="1">IF(AND(Godina=2024,MID(Osnovni_podaci!D20,3,1)="p",Osnovni_podaci!L24=0,Osnovni_podaci!G24=0,MID(Osnovni_podaci!D20,3,1)="p",MID(Osnovni_podaci!D20,8,1)="k"),VLOOKUP($B94,T_Aop[],6,1),A1)</f>
        <v>    1. Akcijski kapital (104 + 105)</v>
      </c>
      <c r="E94" s="437"/>
      <c r="F94" s="437"/>
      <c r="G94" s="437"/>
      <c r="H94" s="438"/>
      <c r="I94" s="133">
        <f>VLOOKUP($B94,T_Aop[],4,1)</f>
        <v>103</v>
      </c>
      <c r="J94" s="122"/>
      <c r="K94" s="432"/>
      <c r="L94" s="433"/>
      <c r="M94" s="55">
        <f>SUBTOTAL(9,M95:M96)</f>
        <v>6015177</v>
      </c>
      <c r="N94" s="56">
        <f>SUBTOTAL(9,N95:N96)</f>
        <v>6015177</v>
      </c>
      <c r="P94" s="52"/>
    </row>
    <row r="95" spans="2:16">
      <c r="B95" s="25" t="n">
        <v>71</v>
      </c>
      <c r="C95" s="272"/>
      <c r="D95" s="439" t="str">
        <f aca="1">IF(AND(Godina=2024,MID(Osnovni_podaci!D20,3,1)="p",Osnovni_podaci!L24=0,Osnovni_podaci!G24=0,MID(Osnovni_podaci!D20,3,1)="p",MID(Osnovni_podaci!D20,8,1)="k"),VLOOKUP($B95,T_Aop[],6,1),A1)</f>
        <v>      1.1. Akcijski kapital - obične akcije </v>
      </c>
      <c r="E95" s="440"/>
      <c r="F95" s="440"/>
      <c r="G95" s="440"/>
      <c r="H95" s="441"/>
      <c r="I95" s="63">
        <f>VLOOKUP($B95,T_Aop[],4,1)</f>
        <v>104</v>
      </c>
      <c r="J95" s="120"/>
      <c r="K95" s="430"/>
      <c r="L95" s="431"/>
      <c r="M95" s="150" t="n">
        <v>6015177</v>
      </c>
      <c r="N95" s="151" t="n">
        <v>6015177</v>
      </c>
      <c r="P95" s="52"/>
    </row>
    <row r="96" spans="2:16">
      <c r="B96" s="25" t="n">
        <v>72</v>
      </c>
      <c r="C96" s="271"/>
      <c r="D96" s="436" t="str">
        <f aca="1">IF(AND(Godina=2024,MID(Osnovni_podaci!D20,3,1)="p",Osnovni_podaci!L24=0,Osnovni_podaci!G24=0,MID(Osnovni_podaci!D20,3,1)="p",MID(Osnovni_podaci!D20,8,1)="k"),VLOOKUP($B96,T_Aop[],6,1),A1)</f>
        <v>      1.2. Akcijski kapital – povlašćene (prioritetne) akcije</v>
      </c>
      <c r="E96" s="437"/>
      <c r="F96" s="437"/>
      <c r="G96" s="437"/>
      <c r="H96" s="438"/>
      <c r="I96" s="65">
        <f>VLOOKUP($B96,T_Aop[],4,1)</f>
        <v>105</v>
      </c>
      <c r="J96" s="122"/>
      <c r="K96" s="432"/>
      <c r="L96" s="433"/>
      <c r="M96" s="152"/>
      <c r="N96" s="153"/>
      <c r="P96" s="52"/>
    </row>
    <row r="97" spans="2:16">
      <c r="B97" s="25" t="n">
        <v>73</v>
      </c>
      <c r="C97" s="272">
        <f>VLOOKUP($B97,T_Aop[],5,1)</f>
        <v>302</v>
      </c>
      <c r="D97" s="439" t="str">
        <f aca="1">IF(AND(Godina=2024,MID(Osnovni_podaci!D20,3,1)="p",Osnovni_podaci!L24=0,Osnovni_podaci!G24=0,MID(Osnovni_podaci!D20,3,1)="p",MID(Osnovni_podaci!D20,8,1)="k"),VLOOKUP($B97,T_Aop[],6,1),A1)</f>
        <v>    2. Udjeli društva sa ograničenom odgovornošću</v>
      </c>
      <c r="E97" s="440"/>
      <c r="F97" s="440"/>
      <c r="G97" s="440"/>
      <c r="H97" s="441"/>
      <c r="I97" s="63">
        <f>VLOOKUP($B97,T_Aop[],4,1)</f>
        <v>106</v>
      </c>
      <c r="J97" s="120"/>
      <c r="K97" s="430"/>
      <c r="L97" s="431"/>
      <c r="M97" s="150"/>
      <c r="N97" s="151"/>
      <c r="P97" s="52"/>
    </row>
    <row r="98" spans="2:16">
      <c r="B98" s="25" t="n">
        <v>74</v>
      </c>
      <c r="C98" s="271">
        <f>VLOOKUP($B98,T_Aop[],5,1)</f>
        <v>304</v>
      </c>
      <c r="D98" s="436" t="str">
        <f aca="1">IF(AND(Godina=2024,MID(Osnovni_podaci!D20,3,1)="p",Osnovni_podaci!L24=0,Osnovni_podaci!G24=0,MID(Osnovni_podaci!D20,3,1)="p",MID(Osnovni_podaci!D20,8,1)="k"),VLOOKUP($B98,T_Aop[],6,1),A1)</f>
        <v>    3. Ulozi</v>
      </c>
      <c r="E98" s="437"/>
      <c r="F98" s="437"/>
      <c r="G98" s="437"/>
      <c r="H98" s="438"/>
      <c r="I98" s="65">
        <f>VLOOKUP($B98,T_Aop[],4,1)</f>
        <v>107</v>
      </c>
      <c r="J98" s="122"/>
      <c r="K98" s="432"/>
      <c r="L98" s="433"/>
      <c r="M98" s="152"/>
      <c r="N98" s="153"/>
      <c r="P98" s="52"/>
    </row>
    <row r="99" spans="2:16">
      <c r="B99" s="25" t="n">
        <v>75</v>
      </c>
      <c r="C99" s="272">
        <f>VLOOKUP($B99,T_Aop[],5,1)</f>
        <v>305</v>
      </c>
      <c r="D99" s="439" t="str">
        <f aca="1">IF(AND(Godina=2024,MID(Osnovni_podaci!D20,3,1)="p",Osnovni_podaci!L24=0,Osnovni_podaci!G24=0,MID(Osnovni_podaci!D20,3,1)="p",MID(Osnovni_podaci!D20,8,1)="k"),VLOOKUP($B99,T_Aop[],6,1),A1)</f>
        <v>    4. Državni kapital</v>
      </c>
      <c r="E99" s="440"/>
      <c r="F99" s="440"/>
      <c r="G99" s="440"/>
      <c r="H99" s="441"/>
      <c r="I99" s="63">
        <f>VLOOKUP($B99,T_Aop[],4,1)</f>
        <v>108</v>
      </c>
      <c r="J99" s="120"/>
      <c r="K99" s="430"/>
      <c r="L99" s="431"/>
      <c r="M99" s="150"/>
      <c r="N99" s="151"/>
      <c r="P99" s="52"/>
    </row>
    <row r="100" spans="2:16">
      <c r="B100" s="25" t="n">
        <v>76</v>
      </c>
      <c r="C100" s="271" t="str">
        <f aca="1">IF(AND(Godina=2024,MID(Osnovni_podaci!D20,3,1)="p",Osnovni_podaci!L24=0,Osnovni_podaci!G24=0,MID(Osnovni_podaci!D20,3,1)="p",MID(Osnovni_podaci!D20,8,1)="k"),VLOOKUP($B100,T_Aop[],5,1),A1)</f>
        <v>309</v>
      </c>
      <c r="D100" s="436" t="str">
        <f aca="1">IF(AND(Godina=2024,MID(Osnovni_podaci!D20,3,1)="p",Osnovni_podaci!L24=0,Osnovni_podaci!G24=0,MID(Osnovni_podaci!D20,3,1)="p",MID(Osnovni_podaci!D20,8,1)="k"),VLOOKUP($B100,T_Aop[],6,1),A1)</f>
        <v>    5. Ostali osnovni kapital</v>
      </c>
      <c r="E100" s="437"/>
      <c r="F100" s="437"/>
      <c r="G100" s="437"/>
      <c r="H100" s="438"/>
      <c r="I100" s="65">
        <f aca="1">IF(AND(Godina=2024,MID(Osnovni_podaci!D20,3,1)="p",Osnovni_podaci!L24=0,Osnovni_podaci!G24=0,MID(Osnovni_podaci!D20,3,1)="p",MID(Osnovni_podaci!D20,8,1)="k"),VLOOKUP($B100,T_Aop[],4,1),A1)</f>
        <v>109</v>
      </c>
      <c r="J100" s="122"/>
      <c r="K100" s="432"/>
      <c r="L100" s="433"/>
      <c r="M100" s="152"/>
      <c r="N100" s="153"/>
      <c r="P100" s="52"/>
    </row>
    <row r="101" spans="2:16">
      <c r="B101" s="25" t="n">
        <v>77</v>
      </c>
      <c r="C101" s="272">
        <f aca="1">IF(AND(Godina=2024,MID(Osnovni_podaci!D20,3,1)="p",Osnovni_podaci!L24=0,Osnovni_podaci!G24=0,MID(Osnovni_podaci!D20,3,1)="p",MID(Osnovni_podaci!D20,8,1)="k"),VLOOKUP($B101,T_Aop[],5,1),A1)</f>
        <v>31</v>
      </c>
      <c r="D101" s="446" t="str">
        <f aca="1">IF(AND(Godina=2024,MID(Osnovni_podaci!D20,3,1)="p",Osnovni_podaci!L24=0,Osnovni_podaci!G24=0,MID(Osnovni_podaci!D20,3,1)="p",MID(Osnovni_podaci!D20,8,1)="k"),VLOOKUP($B101,T_Aop[],6,1),A1)</f>
        <v>  II OTKUPLJENE SOPSTVENE AKCIJE I UPISANI NEUPLAĆENI KAPITAL (111 + 112)</v>
      </c>
      <c r="E101" s="447"/>
      <c r="F101" s="447"/>
      <c r="G101" s="447"/>
      <c r="H101" s="448"/>
      <c r="I101" s="134">
        <f aca="1">IF(AND(Godina=2024,MID(Osnovni_podaci!D20,3,1)="p",Osnovni_podaci!L24=0,Osnovni_podaci!G24=0,MID(Osnovni_podaci!D20,3,1)="p",MID(Osnovni_podaci!D20,8,1)="k"),VLOOKUP($B101,T_Aop[],4,1),A1)</f>
        <v>110</v>
      </c>
      <c r="J101" s="120"/>
      <c r="K101" s="430"/>
      <c r="L101" s="431"/>
      <c r="M101" s="57">
        <f>SUBTOTAL(9,M102:M103)</f>
        <v>0</v>
      </c>
      <c r="N101" s="58">
        <f>SUBTOTAL(9,N102:N103)</f>
        <v>0</v>
      </c>
      <c r="P101" s="52"/>
    </row>
    <row r="102" spans="2:16">
      <c r="B102" s="25" t="n">
        <v>78</v>
      </c>
      <c r="C102" s="271">
        <f aca="1">IF(AND(Godina=2024,MID(Osnovni_podaci!D20,3,1)="p",Osnovni_podaci!L24=0,Osnovni_podaci!G24=0,MID(Osnovni_podaci!D20,3,1)="p",MID(Osnovni_podaci!D20,8,1)="k"),VLOOKUP($B102,T_Aop[],5,1),A1)</f>
        <v>310</v>
      </c>
      <c r="D102" s="436" t="str">
        <f aca="1">IF(AND(Godina=2024,MID(Osnovni_podaci!D20,3,1)="p",Osnovni_podaci!L24=0,Osnovni_podaci!G24=0,MID(Osnovni_podaci!D20,3,1)="p",MID(Osnovni_podaci!D20,8,1)="k"),VLOOKUP($B102,T_Aop[],6,1),A1)</f>
        <v>    1. Otkupljene sopstvene akcije i udjeli </v>
      </c>
      <c r="E102" s="437"/>
      <c r="F102" s="437"/>
      <c r="G102" s="437"/>
      <c r="H102" s="438"/>
      <c r="I102" s="65">
        <f aca="1">IF(AND(Godina=2024,MID(Osnovni_podaci!D20,3,1)="p",Osnovni_podaci!L24=0,Osnovni_podaci!G24=0,MID(Osnovni_podaci!D20,3,1)="p",MID(Osnovni_podaci!D20,8,1)="k"),VLOOKUP($B102,T_Aop[],4,1),A1)</f>
        <v>111</v>
      </c>
      <c r="J102" s="122"/>
      <c r="K102" s="432"/>
      <c r="L102" s="433"/>
      <c r="M102" s="156"/>
      <c r="N102" s="157"/>
      <c r="P102" s="52"/>
    </row>
    <row r="103" spans="2:16">
      <c r="B103" s="25" t="n">
        <v>79</v>
      </c>
      <c r="C103" s="272">
        <f aca="1">IF(AND(Godina=2024,MID(Osnovni_podaci!D20,3,1)="p",Osnovni_podaci!L24=0,Osnovni_podaci!G24=0,MID(Osnovni_podaci!D20,3,1)="p",MID(Osnovni_podaci!D20,8,1)="k"),VLOOKUP($B103,T_Aop[],5,1),A1)</f>
        <v>311</v>
      </c>
      <c r="D103" s="439" t="str">
        <f aca="1">IF(AND(Godina=2024,MID(Osnovni_podaci!D20,3,1)="p",Osnovni_podaci!L24=0,Osnovni_podaci!G24=0,MID(Osnovni_podaci!D20,3,1)="p",MID(Osnovni_podaci!D20,8,1)="k"),VLOOKUP($B103,T_Aop[],6,1),A1)</f>
        <v>    2. Upisani neuplaćeni kapital</v>
      </c>
      <c r="E103" s="440"/>
      <c r="F103" s="440"/>
      <c r="G103" s="440"/>
      <c r="H103" s="441"/>
      <c r="I103" s="63">
        <f aca="1">IF(AND(Godina=2024,MID(Osnovni_podaci!D20,3,1)="p",Osnovni_podaci!L24=0,Osnovni_podaci!G24=0,MID(Osnovni_podaci!D20,3,1)="p",MID(Osnovni_podaci!D20,8,1)="k"),VLOOKUP($B103,T_Aop[],4,1),A1)</f>
        <v>112</v>
      </c>
      <c r="J103" s="120"/>
      <c r="K103" s="430"/>
      <c r="L103" s="431"/>
      <c r="M103" s="154"/>
      <c r="N103" s="155"/>
      <c r="P103" s="52"/>
    </row>
    <row r="104" spans="2:16">
      <c r="B104" s="25" t="n">
        <v>80</v>
      </c>
      <c r="C104" s="271">
        <f aca="1">IF(AND(Godina=2024,MID(Osnovni_podaci!D20,3,1)="p",Osnovni_podaci!L24=0,Osnovni_podaci!G24=0,MID(Osnovni_podaci!D20,3,1)="p",MID(Osnovni_podaci!D20,8,1)="k"),VLOOKUP($B104,T_Aop[],5,1),A1)</f>
        <v>320</v>
      </c>
      <c r="D104" s="443" t="str">
        <f aca="1">IF(AND(Godina=2024,MID(Osnovni_podaci!D20,3,1)="p",Osnovni_podaci!L24=0,Osnovni_podaci!G24=0,MID(Osnovni_podaci!D20,3,1)="p",MID(Osnovni_podaci!D20,8,1)="k"),VLOOKUP($B104,T_Aop[],6,1),A1)</f>
        <v>  III EMISIONA PREMIJA</v>
      </c>
      <c r="E104" s="444"/>
      <c r="F104" s="444"/>
      <c r="G104" s="444"/>
      <c r="H104" s="445"/>
      <c r="I104" s="133">
        <f aca="1">IF(AND(Godina=2024,MID(Osnovni_podaci!D20,3,1)="p",Osnovni_podaci!L24=0,Osnovni_podaci!G24=0,MID(Osnovni_podaci!D20,3,1)="p",MID(Osnovni_podaci!D20,8,1)="k"),VLOOKUP($B104,T_Aop[],4,1),A1)</f>
        <v>113</v>
      </c>
      <c r="J104" s="122"/>
      <c r="K104" s="432"/>
      <c r="L104" s="433"/>
      <c r="M104" s="156"/>
      <c r="N104" s="157"/>
      <c r="P104" s="52"/>
    </row>
    <row r="105" spans="2:16">
      <c r="B105" s="25" t="n">
        <v>81</v>
      </c>
      <c r="C105" s="272">
        <f aca="1">IF(AND(Godina=2024,MID(Osnovni_podaci!D20,3,1)="p",Osnovni_podaci!L24=0,Osnovni_podaci!G24=0,MID(Osnovni_podaci!D20,3,1)="p",MID(Osnovni_podaci!D20,8,1)="k"),VLOOKUP($B105,T_Aop[],5,1),A1)</f>
        <v>321</v>
      </c>
      <c r="D105" s="446" t="str">
        <f aca="1">IF(AND(Godina=2024,MID(Osnovni_podaci!D20,3,1)="p",Osnovni_podaci!L24=0,Osnovni_podaci!G24=0,MID(Osnovni_podaci!D20,3,1)="p",MID(Osnovni_podaci!D20,8,1)="k"),VLOOKUP($B105,T_Aop[],6,1),A1)</f>
        <v>  IV EMISIONI GUBITAK</v>
      </c>
      <c r="E105" s="447"/>
      <c r="F105" s="447"/>
      <c r="G105" s="447"/>
      <c r="H105" s="448"/>
      <c r="I105" s="134">
        <f aca="1">IF(AND(Godina=2024,MID(Osnovni_podaci!D20,3,1)="p",Osnovni_podaci!L24=0,Osnovni_podaci!G24=0,MID(Osnovni_podaci!D20,3,1)="p",MID(Osnovni_podaci!D20,8,1)="k"),VLOOKUP($B105,T_Aop[],4,1),A1)</f>
        <v>114</v>
      </c>
      <c r="J105" s="120"/>
      <c r="K105" s="430"/>
      <c r="L105" s="431"/>
      <c r="M105" s="154"/>
      <c r="N105" s="155"/>
      <c r="P105" s="52"/>
    </row>
    <row r="106" spans="2:16">
      <c r="B106" s="25" t="n">
        <v>82</v>
      </c>
      <c r="C106" s="271" t="str">
        <f aca="1">IF(AND(Godina=2024,MID(Osnovni_podaci!D20,3,1)="p",Osnovni_podaci!L24=0,Osnovni_podaci!G24=0,MID(Osnovni_podaci!D20,3,1)="p",MID(Osnovni_podaci!D20,8,1)="k"),VLOOKUP($B106,T_Aop[],5,1),A1)</f>
        <v>dio 32</v>
      </c>
      <c r="D106" s="443" t="str">
        <f aca="1">IF(AND(Godina=2024,MID(Osnovni_podaci!D20,3,1)="p",Osnovni_podaci!L24=0,Osnovni_podaci!G24=0,MID(Osnovni_podaci!D20,3,1)="p",MID(Osnovni_podaci!D20,8,1)="k"),VLOOKUP($B106,T_Aop[],6,1),A1)</f>
        <v>  V REZERVE (116 do 118)</v>
      </c>
      <c r="E106" s="444"/>
      <c r="F106" s="444"/>
      <c r="G106" s="444"/>
      <c r="H106" s="445"/>
      <c r="I106" s="133">
        <f aca="1">IF(AND(Godina=2024,MID(Osnovni_podaci!D20,3,1)="p",Osnovni_podaci!L24=0,Osnovni_podaci!G24=0,MID(Osnovni_podaci!D20,3,1)="p",MID(Osnovni_podaci!D20,8,1)="k"),VLOOKUP($B106,T_Aop[],4,1),A1)</f>
        <v>115</v>
      </c>
      <c r="J106" s="122"/>
      <c r="K106" s="432"/>
      <c r="L106" s="433"/>
      <c r="M106" s="55">
        <f>SUBTOTAL(9,M107:M109)</f>
        <v>869</v>
      </c>
      <c r="N106" s="56">
        <f>SUBTOTAL(9,N107:N109)</f>
        <v>869</v>
      </c>
      <c r="P106" s="52"/>
    </row>
    <row r="107" spans="2:16">
      <c r="B107" s="25" t="n">
        <v>83</v>
      </c>
      <c r="C107" s="272">
        <f aca="1">IF(AND(Godina=2024,MID(Osnovni_podaci!D20,3,1)="p",Osnovni_podaci!L24=0,Osnovni_podaci!G24=0,MID(Osnovni_podaci!D20,3,1)="p",MID(Osnovni_podaci!D20,8,1)="k"),VLOOKUP($B107,T_Aop[],5,1),A1)</f>
        <v>322</v>
      </c>
      <c r="D107" s="439" t="str">
        <f aca="1">IF(AND(Godina=2024,MID(Osnovni_podaci!D20,3,1)="p",Osnovni_podaci!L24=0,Osnovni_podaci!G24=0,MID(Osnovni_podaci!D20,3,1)="p",MID(Osnovni_podaci!D20,8,1)="k"),VLOOKUP($B107,T_Aop[],6,1),A1)</f>
        <v>    1. Zakonske rezerve</v>
      </c>
      <c r="E107" s="440"/>
      <c r="F107" s="440"/>
      <c r="G107" s="440"/>
      <c r="H107" s="441"/>
      <c r="I107" s="63">
        <f aca="1">IF(AND(Godina=2024,MID(Osnovni_podaci!D20,3,1)="p",Osnovni_podaci!L24=0,Osnovni_podaci!G24=0,MID(Osnovni_podaci!D20,3,1)="p",MID(Osnovni_podaci!D20,8,1)="k"),VLOOKUP($B107,T_Aop[],4,1),A1)</f>
        <v>116</v>
      </c>
      <c r="J107" s="120"/>
      <c r="K107" s="430"/>
      <c r="L107" s="431"/>
      <c r="M107" s="150" t="n">
        <v>869</v>
      </c>
      <c r="N107" s="151" t="n">
        <v>869</v>
      </c>
      <c r="P107" s="52"/>
    </row>
    <row r="108" spans="2:16">
      <c r="B108" s="25" t="n">
        <v>84</v>
      </c>
      <c r="C108" s="271">
        <f aca="1">IF(AND(Godina=2024,MID(Osnovni_podaci!D20,3,1)="p",Osnovni_podaci!L24=0,Osnovni_podaci!G24=0,MID(Osnovni_podaci!D20,3,1)="p",MID(Osnovni_podaci!D20,8,1)="k"),VLOOKUP($B108,T_Aop[],5,1),A1)</f>
        <v>323</v>
      </c>
      <c r="D108" s="436" t="str">
        <f aca="1">IF(AND(Godina=2024,MID(Osnovni_podaci!D20,3,1)="p",Osnovni_podaci!L24=0,Osnovni_podaci!G24=0,MID(Osnovni_podaci!D20,3,1)="p",MID(Osnovni_podaci!D20,8,1)="k"),VLOOKUP($B108,T_Aop[],6,1),A1)</f>
        <v>    2. Statutarne rezerve</v>
      </c>
      <c r="E108" s="437"/>
      <c r="F108" s="437"/>
      <c r="G108" s="437"/>
      <c r="H108" s="438"/>
      <c r="I108" s="65">
        <f aca="1">IF(AND(Godina=2024,MID(Osnovni_podaci!D20,3,1)="p",Osnovni_podaci!L24=0,Osnovni_podaci!G24=0,MID(Osnovni_podaci!D20,3,1)="p",MID(Osnovni_podaci!D20,8,1)="k"),VLOOKUP($B108,T_Aop[],4,1),A1)</f>
        <v>117</v>
      </c>
      <c r="J108" s="122"/>
      <c r="K108" s="432"/>
      <c r="L108" s="433"/>
      <c r="M108" s="122"/>
      <c r="N108" s="123"/>
      <c r="P108" s="52"/>
    </row>
    <row r="109" spans="2:16">
      <c r="B109" s="25" t="n">
        <v>85</v>
      </c>
      <c r="C109" s="272">
        <f aca="1">IF(AND(Godina=2024,MID(Osnovni_podaci!D20,3,1)="p",Osnovni_podaci!L24=0,Osnovni_podaci!G24=0,MID(Osnovni_podaci!D20,3,1)="p",MID(Osnovni_podaci!D20,8,1)="k"),VLOOKUP($B109,T_Aop[],5,1),A1)</f>
        <v>329</v>
      </c>
      <c r="D109" s="439" t="str">
        <f aca="1">IF(AND(Godina=2024,MID(Osnovni_podaci!D20,3,1)="p",Osnovni_podaci!L24=0,Osnovni_podaci!G24=0,MID(Osnovni_podaci!D20,3,1)="p",MID(Osnovni_podaci!D20,8,1)="k"),VLOOKUP($B109,T_Aop[],6,1),A1)</f>
        <v>    3. Ostale rezerve</v>
      </c>
      <c r="E109" s="440"/>
      <c r="F109" s="440"/>
      <c r="G109" s="440"/>
      <c r="H109" s="441"/>
      <c r="I109" s="63">
        <f aca="1">IF(AND(Godina=2024,MID(Osnovni_podaci!D20,3,1)="p",Osnovni_podaci!L24=0,Osnovni_podaci!G24=0,MID(Osnovni_podaci!D20,3,1)="p",MID(Osnovni_podaci!D20,8,1)="k"),VLOOKUP($B109,T_Aop[],4,1),A1)</f>
        <v>118</v>
      </c>
      <c r="J109" s="120"/>
      <c r="K109" s="430"/>
      <c r="L109" s="431"/>
      <c r="M109" s="150"/>
      <c r="N109" s="121"/>
      <c r="P109" s="52"/>
    </row>
    <row r="110" spans="2:16" ht="11.25" customHeight="1">
      <c r="B110" s="25" t="n">
        <v>86</v>
      </c>
      <c r="C110" s="271" t="str">
        <f aca="1">IF(AND(Godina=2024,MID(Osnovni_podaci!D20,3,1)="p",Osnovni_podaci!L24=0,Osnovni_podaci!G24=0,MID(Osnovni_podaci!D20,3,1)="p",MID(Osnovni_podaci!D20,8,1)="k"),VLOOKUP($B110,T_Aop[],5,1),A1)</f>
        <v>dio 33</v>
      </c>
      <c r="D110" s="443" t="str">
        <f aca="1">IF(AND(Godina=2024,MID(Osnovni_podaci!D20,3,1)="p",Osnovni_podaci!L24=0,Osnovni_podaci!G24=0,MID(Osnovni_podaci!D20,3,1)="p",MID(Osnovni_podaci!D20,8,1)="k"),VLOOKUP($B110,T_Aop[],6,1),A1)</f>
        <v>   VI REVALORIZACIONE REZERVE (120 + 121)</v>
      </c>
      <c r="E110" s="444"/>
      <c r="F110" s="444"/>
      <c r="G110" s="444"/>
      <c r="H110" s="445"/>
      <c r="I110" s="133">
        <f aca="1">IF(AND(Godina=2024,MID(Osnovni_podaci!D20,3,1)="p",Osnovni_podaci!L24=0,Osnovni_podaci!G24=0,MID(Osnovni_podaci!D20,3,1)="p",MID(Osnovni_podaci!D20,8,1)="k"),VLOOKUP($B110,T_Aop[],4,1),A1)</f>
        <v>119</v>
      </c>
      <c r="J110" s="122"/>
      <c r="K110" s="432"/>
      <c r="L110" s="433"/>
      <c r="M110" s="55">
        <f>SUBTOTAL(9,M111:M112)</f>
        <v>248947</v>
      </c>
      <c r="N110" s="41">
        <f>SUBTOTAL(9,N111:N112)</f>
        <v>251683</v>
      </c>
      <c r="P110" s="52"/>
    </row>
    <row r="111" spans="2:16">
      <c r="B111" s="25" t="n">
        <v>87</v>
      </c>
      <c r="C111" s="272">
        <f aca="1">IF(AND(Godina=2024,MID(Osnovni_podaci!D20,3,1)="p",Osnovni_podaci!L24=0,Osnovni_podaci!G24=0,MID(Osnovni_podaci!D20,3,1)="p",MID(Osnovni_podaci!D20,8,1)="k"),VLOOKUP($B111,T_Aop[],5,1),A1)</f>
        <v>330</v>
      </c>
      <c r="D111" s="439" t="str">
        <f aca="1">IF(AND(Godina=2024,MID(Osnovni_podaci!D20,3,1)="p",Osnovni_podaci!L24=0,Osnovni_podaci!G24=0,MID(Osnovni_podaci!D20,3,1)="p",MID(Osnovni_podaci!D20,8,1)="k"),VLOOKUP($B111,T_Aop[],6,1),A1)</f>
        <v>    1. Revalorizacione rezerve za nekretnine, postrojenja, opremu i nematerijalna sredstva</v>
      </c>
      <c r="E111" s="440"/>
      <c r="F111" s="440"/>
      <c r="G111" s="440"/>
      <c r="H111" s="441"/>
      <c r="I111" s="63">
        <f aca="1">IF(AND(Godina=2024,MID(Osnovni_podaci!D20,3,1)="p",Osnovni_podaci!L24=0,Osnovni_podaci!G24=0,MID(Osnovni_podaci!D20,3,1)="p",MID(Osnovni_podaci!D20,8,1)="k"),VLOOKUP($B111,T_Aop[],4,1),A1)</f>
        <v>120</v>
      </c>
      <c r="J111" s="120"/>
      <c r="K111" s="430"/>
      <c r="L111" s="431"/>
      <c r="M111" s="150" t="n">
        <v>248947</v>
      </c>
      <c r="N111" s="121" t="n">
        <v>251683</v>
      </c>
      <c r="P111" s="52"/>
    </row>
    <row r="112" spans="2:16">
      <c r="B112" s="25" t="n">
        <v>88</v>
      </c>
      <c r="C112" s="271" t="str">
        <f aca="1">IF(AND(Godina=2024,MID(Osnovni_podaci!D20,3,1)="p",Osnovni_podaci!L24=0,Osnovni_podaci!G24=0,MID(Osnovni_podaci!D20,3,1)="p",MID(Osnovni_podaci!D20,8,1)="k"),VLOOKUP($B112,T_Aop[],5,1),A1)</f>
        <v>331 i 334</v>
      </c>
      <c r="D112" s="436" t="str">
        <f aca="1">IF(AND(Godina=2024,MID(Osnovni_podaci!D20,3,1)="p",Osnovni_podaci!L24=0,Osnovni_podaci!G24=0,MID(Osnovni_podaci!D20,3,1)="p",MID(Osnovni_podaci!D20,8,1)="k"),VLOOKUP($B112,T_Aop[],6,1),A1)</f>
        <v>    2. Ostale revalorizacione rezerve</v>
      </c>
      <c r="E112" s="437"/>
      <c r="F112" s="437"/>
      <c r="G112" s="437"/>
      <c r="H112" s="438"/>
      <c r="I112" s="65">
        <f aca="1">IF(AND(Godina=2024,MID(Osnovni_podaci!D20,3,1)="p",Osnovni_podaci!L24=0,Osnovni_podaci!G24=0,MID(Osnovni_podaci!D20,3,1)="p",MID(Osnovni_podaci!D20,8,1)="k"),VLOOKUP($B112,T_Aop[],4,1),A1)</f>
        <v>121</v>
      </c>
      <c r="J112" s="122"/>
      <c r="K112" s="432"/>
      <c r="L112" s="433"/>
      <c r="M112" s="152"/>
      <c r="N112" s="123"/>
      <c r="P112" s="52"/>
    </row>
    <row r="113" spans="2:16" ht="21" customHeight="1">
      <c r="B113" s="25" t="n">
        <v>89</v>
      </c>
      <c r="C113" s="272">
        <f aca="1">IF(AND(Godina=2024,MID(Osnovni_podaci!D20,3,1)="p",Osnovni_podaci!L24=0,Osnovni_podaci!G24=0,MID(Osnovni_podaci!D20,3,1)="p",MID(Osnovni_podaci!D20,8,1)="k"),VLOOKUP($B113,T_Aop[],5,1),A1)</f>
        <v>332</v>
      </c>
      <c r="D113" s="449" t="str">
        <f aca="1">IF(AND(Godina=2024,MID(Osnovni_podaci!D20,3,1)="p",Osnovni_podaci!L24=0,Osnovni_podaci!G24=0,MID(Osnovni_podaci!D20,3,1)="p",MID(Osnovni_podaci!D20,8,1)="k"),VLOOKUP($B113,T_Aop[],6,1),A1)</f>
        <v>  VII POZITIVNI EFEKTI VREDNOVANJA FINANSIJSKIH SREDSTAVA KOJA SE VREDNUJU PO FER VRIJEDNOSTI KROZ OSTALI UKUPNI REZULTAT</v>
      </c>
      <c r="E113" s="450"/>
      <c r="F113" s="450"/>
      <c r="G113" s="450"/>
      <c r="H113" s="451"/>
      <c r="I113" s="134">
        <f aca="1">IF(AND(Godina=2024,MID(Osnovni_podaci!D20,3,1)="p",Osnovni_podaci!L24=0,Osnovni_podaci!G24=0,MID(Osnovni_podaci!D20,3,1)="p",MID(Osnovni_podaci!D20,8,1)="k"),VLOOKUP($B113,T_Aop[],4,1),A1)</f>
        <v>122</v>
      </c>
      <c r="J113" s="120"/>
      <c r="K113" s="430"/>
      <c r="L113" s="431"/>
      <c r="M113" s="154"/>
      <c r="N113" s="74"/>
      <c r="P113" s="52"/>
    </row>
    <row r="114" spans="2:16" ht="23.25" customHeight="1">
      <c r="B114" s="25" t="n">
        <v>90</v>
      </c>
      <c r="C114" s="271">
        <f aca="1">IF(AND(Godina=2024,MID(Osnovni_podaci!D20,3,1)="p",Osnovni_podaci!L24=0,Osnovni_podaci!G24=0,MID(Osnovni_podaci!D20,3,1)="p",MID(Osnovni_podaci!D20,8,1)="k"),VLOOKUP($B114,T_Aop[],5,1),A1)</f>
        <v>333</v>
      </c>
      <c r="D114" s="452" t="str">
        <f aca="1">IF(AND(Godina=2024,MID(Osnovni_podaci!D20,3,1)="p",Osnovni_podaci!L24=0,Osnovni_podaci!G24=0,MID(Osnovni_podaci!D20,3,1)="p",MID(Osnovni_podaci!D20,8,1)="k"),VLOOKUP($B114,T_Aop[],6,1),A1)</f>
        <v>  VIII NEGATIVNI EFEKTI VREDNOVANJA FINANSIJSKIH SREDSTAVA KOJA SE VREDNUJU PO FER VRIJEDNOSTI KROZ OSTALI UKUPNI REZULTAT</v>
      </c>
      <c r="E114" s="453"/>
      <c r="F114" s="453"/>
      <c r="G114" s="453"/>
      <c r="H114" s="454"/>
      <c r="I114" s="133">
        <f aca="1">IF(AND(Godina=2024,MID(Osnovni_podaci!D20,3,1)="p",Osnovni_podaci!L24=0,Osnovni_podaci!G24=0,MID(Osnovni_podaci!D20,3,1)="p",MID(Osnovni_podaci!D20,8,1)="k"),VLOOKUP($B114,T_Aop[],4,1),A1)</f>
        <v>123</v>
      </c>
      <c r="J114" s="122"/>
      <c r="K114" s="432"/>
      <c r="L114" s="433"/>
      <c r="M114" s="156"/>
      <c r="N114" s="125"/>
      <c r="P114" s="52"/>
    </row>
    <row r="115" spans="2:16">
      <c r="B115" s="25" t="n">
        <v>91</v>
      </c>
      <c r="C115" s="272">
        <f aca="1">IF(AND(Godina=2024,MID(Osnovni_podaci!D20,3,1)="p",Osnovni_podaci!L24=0,Osnovni_podaci!G24=0,MID(Osnovni_podaci!D20,3,1)="p",MID(Osnovni_podaci!D20,8,1)="k"),VLOOKUP($B115,T_Aop[],5,1),A1)</f>
        <v>34</v>
      </c>
      <c r="D115" s="446" t="str">
        <f aca="1">IF(AND(Godina=2024,MID(Osnovni_podaci!D20,3,1)="p",Osnovni_podaci!L24=0,Osnovni_podaci!G24=0,MID(Osnovni_podaci!D20,3,1)="p",MID(Osnovni_podaci!D20,8,1)="k"),VLOOKUP($B115,T_Aop[],6,1),A1)</f>
        <v>  IX  NERASPOREĐENA DOBIT (125 do 127)</v>
      </c>
      <c r="E115" s="447"/>
      <c r="F115" s="447"/>
      <c r="G115" s="447"/>
      <c r="H115" s="448"/>
      <c r="I115" s="134">
        <f aca="1">IF(AND(Godina=2024,MID(Osnovni_podaci!D20,3,1)="p",Osnovni_podaci!L24=0,Osnovni_podaci!G24=0,MID(Osnovni_podaci!D20,3,1)="p",MID(Osnovni_podaci!D20,8,1)="k"),VLOOKUP($B115,T_Aop[],4,1),A1)</f>
        <v>124</v>
      </c>
      <c r="J115" s="120"/>
      <c r="K115" s="430"/>
      <c r="L115" s="431"/>
      <c r="M115" s="57">
        <f>SUBTOTAL(9,M116:M118)</f>
        <v>17530</v>
      </c>
      <c r="N115" s="42">
        <f>SUBTOTAL(9,N116:N118)</f>
        <v>13989</v>
      </c>
      <c r="P115" s="52"/>
    </row>
    <row r="116" spans="2:16" ht="12" customHeight="1">
      <c r="B116" s="25" t="n">
        <v>92</v>
      </c>
      <c r="C116" s="271" t="str">
        <f aca="1">IF(AND(Godina=2024,MID(Osnovni_podaci!D20,3,1)="p",Osnovni_podaci!L24=0,Osnovni_podaci!G24=0,MID(Osnovni_podaci!D20,3,1)="p",MID(Osnovni_podaci!D20,8,1)="k"),VLOOKUP($B116,T_Aop[],5,1),A1)</f>
        <v>340 ili 342</v>
      </c>
      <c r="D116" s="455" t="str">
        <f aca="1">IF(AND(Godina=2024,MID(Osnovni_podaci!D20,3,1)="p",Osnovni_podaci!L24=0,Osnovni_podaci!G24=0,MID(Osnovni_podaci!D20,3,1)="p",MID(Osnovni_podaci!D20,8,1)="k"),VLOOKUP($B116,T_Aop[],6,1),A1)</f>
        <v>    1. Neraspoređena dobit ranijih godina / Neraspoređeni višak prihoda nad rashodima ranijih godina</v>
      </c>
      <c r="E116" s="456"/>
      <c r="F116" s="456"/>
      <c r="G116" s="456"/>
      <c r="H116" s="457"/>
      <c r="I116" s="65">
        <f aca="1">IF(AND(Godina=2024,MID(Osnovni_podaci!D20,3,1)="p",Osnovni_podaci!L24=0,Osnovni_podaci!G24=0,MID(Osnovni_podaci!D20,3,1)="p",MID(Osnovni_podaci!D20,8,1)="k"),VLOOKUP($B116,T_Aop[],4,1),A1)</f>
        <v>125</v>
      </c>
      <c r="J116" s="122"/>
      <c r="K116" s="432"/>
      <c r="L116" s="433"/>
      <c r="M116" s="152"/>
      <c r="N116" s="123"/>
      <c r="P116" s="52"/>
    </row>
    <row r="117" spans="2:16" ht="12" customHeight="1">
      <c r="B117" s="25" t="n">
        <v>93</v>
      </c>
      <c r="C117" s="272" t="str">
        <f aca="1">IF(AND(Godina=2024,MID(Osnovni_podaci!D20,3,1)="p",Osnovni_podaci!L24=0,Osnovni_podaci!G24=0,MID(Osnovni_podaci!D20,3,1)="p",MID(Osnovni_podaci!D20,8,1)="k"),VLOOKUP($B117,T_Aop[],5,1),A1)</f>
        <v>341 ili 343</v>
      </c>
      <c r="D117" s="458" t="str">
        <f aca="1">IF(AND(Godina=2024,MID(Osnovni_podaci!D20,3,1)="p",Osnovni_podaci!L24=0,Osnovni_podaci!G24=0,MID(Osnovni_podaci!D20,3,1)="p",MID(Osnovni_podaci!D20,8,1)="k"),VLOOKUP($B117,T_Aop[],6,1),A1)</f>
        <v>    2. Neraspoređena dobit tekuće godine / Neraspoređeni višak prihoda nad rashodima tekuće godine</v>
      </c>
      <c r="E117" s="459"/>
      <c r="F117" s="459"/>
      <c r="G117" s="459"/>
      <c r="H117" s="460"/>
      <c r="I117" s="63">
        <f aca="1">IF(AND(Godina=2024,MID(Osnovni_podaci!D20,3,1)="p",Osnovni_podaci!L24=0,Osnovni_podaci!G24=0,MID(Osnovni_podaci!D20,3,1)="p",MID(Osnovni_podaci!D20,8,1)="k"),VLOOKUP($B117,T_Aop[],4,1),A1)</f>
        <v>126</v>
      </c>
      <c r="J117" s="120"/>
      <c r="K117" s="430"/>
      <c r="L117" s="431"/>
      <c r="M117" s="150" t="n">
        <v>17530</v>
      </c>
      <c r="N117" s="121" t="n">
        <v>13989</v>
      </c>
      <c r="P117" s="52"/>
    </row>
    <row r="118" spans="2:16">
      <c r="B118" s="25" t="n">
        <v>94</v>
      </c>
      <c r="C118" s="271">
        <f aca="1">IF(AND(Godina=2024,MID(Osnovni_podaci!D20,3,1)="p",Osnovni_podaci!L24=0,Osnovni_podaci!G24=0,MID(Osnovni_podaci!D20,3,1)="p",MID(Osnovni_podaci!D20,8,1)="k"),VLOOKUP($B118,T_Aop[],5,1),A1)</f>
        <v>344</v>
      </c>
      <c r="D118" s="436" t="str">
        <f aca="1">IF(AND(Godina=2024,MID(Osnovni_podaci!D20,3,1)="p",Osnovni_podaci!L24=0,Osnovni_podaci!G24=0,MID(Osnovni_podaci!D20,3,1)="p",MID(Osnovni_podaci!D20,8,1)="k"),VLOOKUP($B118,T_Aop[],6,1),A1)</f>
        <v>    3. Neto prihod od samostalne djelatnosti</v>
      </c>
      <c r="E118" s="437"/>
      <c r="F118" s="437"/>
      <c r="G118" s="437"/>
      <c r="H118" s="438"/>
      <c r="I118" s="65">
        <f aca="1">IF(AND(Godina=2024,MID(Osnovni_podaci!D20,3,1)="p",Osnovni_podaci!L24=0,Osnovni_podaci!G24=0,MID(Osnovni_podaci!D20,3,1)="p",MID(Osnovni_podaci!D20,8,1)="k"),VLOOKUP($B118,T_Aop[],4,1),A1)</f>
        <v>127</v>
      </c>
      <c r="J118" s="122"/>
      <c r="K118" s="432"/>
      <c r="L118" s="433"/>
      <c r="M118" s="152"/>
      <c r="N118" s="123"/>
      <c r="P118" s="52"/>
    </row>
    <row r="119" spans="2:16">
      <c r="B119" s="25" t="n">
        <v>95</v>
      </c>
      <c r="C119" s="272" t="str">
        <f aca="1">IF(AND(Godina=2024,MID(Osnovni_podaci!D20,3,1)="p",Osnovni_podaci!L24=0,Osnovni_podaci!G24=0,MID(Osnovni_podaci!D20,3,1)="p",MID(Osnovni_podaci!D20,8,1)="k"),VLOOKUP($B119,T_Aop[],5,1),A1)</f>
        <v>35</v>
      </c>
      <c r="D119" s="446" t="str">
        <f aca="1">IF(AND(Godina=2024,MID(Osnovni_podaci!D20,3,1)="p",Osnovni_podaci!L24=0,Osnovni_podaci!G24=0,MID(Osnovni_podaci!D20,3,1)="p",MID(Osnovni_podaci!D20,8,1)="k"),VLOOKUP($B119,T_Aop[],6,1),A1)</f>
        <v>  X GUBITAK (129 + 130)  </v>
      </c>
      <c r="E119" s="447"/>
      <c r="F119" s="447"/>
      <c r="G119" s="447"/>
      <c r="H119" s="448"/>
      <c r="I119" s="134">
        <f aca="1">IF(AND(Godina=2024,MID(Osnovni_podaci!D20,3,1)="p",Osnovni_podaci!L24=0,Osnovni_podaci!G24=0,MID(Osnovni_podaci!D20,3,1)="p",MID(Osnovni_podaci!D20,8,1)="k"),VLOOKUP($B119,T_Aop[],4,1),A1)</f>
        <v>128</v>
      </c>
      <c r="J119" s="120"/>
      <c r="K119" s="430"/>
      <c r="L119" s="431"/>
      <c r="M119" s="57">
        <f>SUBTOTAL(9,M120:M121)</f>
        <v>5092009</v>
      </c>
      <c r="N119" s="42">
        <f>SUBTOTAL(9,N120:N121)</f>
        <v>5092009</v>
      </c>
      <c r="P119" s="52"/>
    </row>
    <row r="120" spans="2:16">
      <c r="B120" s="25" t="n">
        <v>96</v>
      </c>
      <c r="C120" s="271" t="str">
        <f aca="1">IF(AND(Godina=2024,MID(Osnovni_podaci!D20,3,1)="p",Osnovni_podaci!L24=0,Osnovni_podaci!G24=0,MID(Osnovni_podaci!D20,3,1)="p",MID(Osnovni_podaci!D20,8,1)="k"),VLOOKUP($B120,T_Aop[],5,1),A1)</f>
        <v>350 ili 352</v>
      </c>
      <c r="D120" s="436" t="str">
        <f aca="1">IF(AND(Godina=2024,MID(Osnovni_podaci!D20,3,1)="p",Osnovni_podaci!L24=0,Osnovni_podaci!G24=0,MID(Osnovni_podaci!D20,3,1)="p",MID(Osnovni_podaci!D20,8,1)="k"),VLOOKUP($B120,T_Aop[],6,1),A1)</f>
        <v>    1. Gubitak ranijih godina / Višak rashoda nad prihodima ranijih godina</v>
      </c>
      <c r="E120" s="437"/>
      <c r="F120" s="437"/>
      <c r="G120" s="437"/>
      <c r="H120" s="438"/>
      <c r="I120" s="65">
        <f aca="1">IF(AND(Godina=2024,MID(Osnovni_podaci!D20,3,1)="p",Osnovni_podaci!L24=0,Osnovni_podaci!G24=0,MID(Osnovni_podaci!D20,3,1)="p",MID(Osnovni_podaci!D20,8,1)="k"),VLOOKUP($B120,T_Aop[],4,1),A1)</f>
        <v>129</v>
      </c>
      <c r="J120" s="122"/>
      <c r="K120" s="432"/>
      <c r="L120" s="433"/>
      <c r="M120" s="152" t="n">
        <v>5092009</v>
      </c>
      <c r="N120" s="123" t="n">
        <v>5092009</v>
      </c>
      <c r="P120" s="52"/>
    </row>
    <row r="121" spans="2:16">
      <c r="B121" s="25" t="n">
        <v>97</v>
      </c>
      <c r="C121" s="272" t="str">
        <f aca="1">IF(AND(Godina=2024,MID(Osnovni_podaci!D20,3,1)="p",Osnovni_podaci!L24=0,Osnovni_podaci!G24=0,MID(Osnovni_podaci!D20,3,1)="p",MID(Osnovni_podaci!D20,8,1)="k"),VLOOKUP($B121,T_Aop[],5,1),A1)</f>
        <v>351 ili 353</v>
      </c>
      <c r="D121" s="439" t="str">
        <f aca="1">IF(AND(Godina=2024,MID(Osnovni_podaci!D20,3,1)="p",Osnovni_podaci!L24=0,Osnovni_podaci!G24=0,MID(Osnovni_podaci!D20,3,1)="p",MID(Osnovni_podaci!D20,8,1)="k"),VLOOKUP($B121,T_Aop[],6,1),A1)</f>
        <v>    2. Gubitak tekuće godine / Višak rashoda nad prihodima tekuće godine</v>
      </c>
      <c r="E121" s="440"/>
      <c r="F121" s="440"/>
      <c r="G121" s="440"/>
      <c r="H121" s="441"/>
      <c r="I121" s="63">
        <f aca="1">IF(AND(Godina=2024,MID(Osnovni_podaci!D20,3,1)="p",Osnovni_podaci!L24=0,Osnovni_podaci!G24=0,MID(Osnovni_podaci!D20,3,1)="p",MID(Osnovni_podaci!D20,8,1)="k"),VLOOKUP($B121,T_Aop[],4,1),A1)</f>
        <v>130</v>
      </c>
      <c r="J121" s="120"/>
      <c r="K121" s="430"/>
      <c r="L121" s="431"/>
      <c r="M121" s="150"/>
      <c r="N121" s="121"/>
      <c r="P121" s="52"/>
    </row>
    <row r="122" spans="2:16">
      <c r="B122" s="25" t="n">
        <v>98</v>
      </c>
      <c r="C122" s="271" t="str">
        <f aca="1">IF(AND(Godina=2024,MID(Osnovni_podaci!D20,3,1)="p",Osnovni_podaci!L24=0,Osnovni_podaci!G24=0,MID(Osnovni_podaci!D20,3,1)="p",MID(Osnovni_podaci!D20,8,1)="k"),VLOOKUP($B122,T_Aop[],5,1),A1)</f>
        <v> </v>
      </c>
      <c r="D122" s="443" t="str">
        <f aca="1">IF(AND(Godina=2024,MID(Osnovni_podaci!D20,3,1)="p",Osnovni_podaci!L24=0,Osnovni_podaci!G24=0,MID(Osnovni_podaci!D20,3,1)="p",MID(Osnovni_podaci!D20,8,1)="k"),VLOOKUP($B122,T_Aop[],6,1),A1)</f>
        <v>  XI UČEŠĆA BEZ PRAVA KONTROLE</v>
      </c>
      <c r="E122" s="444"/>
      <c r="F122" s="444"/>
      <c r="G122" s="444"/>
      <c r="H122" s="445"/>
      <c r="I122" s="133">
        <f aca="1">IF(AND(Godina=2024,MID(Osnovni_podaci!D20,3,1)="p",Osnovni_podaci!L24=0,Osnovni_podaci!G24=0,MID(Osnovni_podaci!D20,3,1)="p",MID(Osnovni_podaci!D20,8,1)="k"),VLOOKUP($B122,T_Aop[],4,1),A1)</f>
        <v>131</v>
      </c>
      <c r="J122" s="122"/>
      <c r="K122" s="432"/>
      <c r="L122" s="433"/>
      <c r="M122" s="156"/>
      <c r="N122" s="125"/>
      <c r="P122" s="52"/>
    </row>
    <row r="123" spans="2:16">
      <c r="B123" s="25" t="n">
        <v>99</v>
      </c>
      <c r="C123" s="272" t="str">
        <f aca="1">IF(AND(Godina=2024,MID(Osnovni_podaci!D20,3,1)="p",Osnovni_podaci!L24=0,Osnovni_podaci!G24=0,MID(Osnovni_podaci!D20,3,1)="p",MID(Osnovni_podaci!D20,8,1)="k"),VLOOKUP($B123,T_Aop[],5,1),A1)</f>
        <v> </v>
      </c>
      <c r="D123" s="446" t="str">
        <f aca="1">IF(AND(Godina=2024,MID(Osnovni_podaci!D20,3,1)="p",Osnovni_podaci!L24=0,Osnovni_podaci!G24=0,MID(Osnovni_podaci!D20,3,1)="p",MID(Osnovni_podaci!D20,8,1)="k"),VLOOKUP($B123,T_Aop[],6,1),A1)</f>
        <v>  B. DUGOROČNA REZERVISANJA I DUGOROČNE OBAVEZE (133 + 137 + 145)</v>
      </c>
      <c r="E123" s="447"/>
      <c r="F123" s="447"/>
      <c r="G123" s="447"/>
      <c r="H123" s="448"/>
      <c r="I123" s="134">
        <f aca="1">IF(AND(Godina=2024,MID(Osnovni_podaci!D20,3,1)="p",Osnovni_podaci!L24=0,Osnovni_podaci!G24=0,MID(Osnovni_podaci!D20,3,1)="p",MID(Osnovni_podaci!D20,8,1)="k"),VLOOKUP($B123,T_Aop[],4,1),A1)</f>
        <v>132</v>
      </c>
      <c r="J123" s="120"/>
      <c r="K123" s="430"/>
      <c r="L123" s="431"/>
      <c r="M123" s="297">
        <f>SUBTOTAL(9,M124:M136)</f>
        <v>601441</v>
      </c>
      <c r="N123" s="300">
        <f>SUBTOTAL(9,N124:N136)</f>
        <v>680014</v>
      </c>
      <c r="P123" s="52"/>
    </row>
    <row r="124" spans="2:16">
      <c r="B124" s="25" t="n">
        <v>100</v>
      </c>
      <c r="C124" s="271" t="str">
        <f aca="1">IF(AND(Godina=2024,MID(Osnovni_podaci!D20,3,1)="p",Osnovni_podaci!L24=0,Osnovni_podaci!G24=0,MID(Osnovni_podaci!D20,3,1)="p",MID(Osnovni_podaci!D20,8,1)="k"),VLOOKUP($B124,T_Aop[],5,1),A1)</f>
        <v>dio 40</v>
      </c>
      <c r="D124" s="443" t="str">
        <f aca="1">IF(AND(Godina=2024,MID(Osnovni_podaci!D20,3,1)="p",Osnovni_podaci!L24=0,Osnovni_podaci!G24=0,MID(Osnovni_podaci!D20,3,1)="p",MID(Osnovni_podaci!D20,8,1)="k"),VLOOKUP($B124,T_Aop[],6,1),A1)</f>
        <v>  I DUGOROČNA REZERVISANJA (134 do 136)</v>
      </c>
      <c r="E124" s="444"/>
      <c r="F124" s="444"/>
      <c r="G124" s="444"/>
      <c r="H124" s="445"/>
      <c r="I124" s="133">
        <f aca="1">IF(AND(Godina=2024,MID(Osnovni_podaci!D20,3,1)="p",Osnovni_podaci!L24=0,Osnovni_podaci!G24=0,MID(Osnovni_podaci!D20,3,1)="p",MID(Osnovni_podaci!D20,8,1)="k"),VLOOKUP($B124,T_Aop[],4,1),A1)</f>
        <v>133</v>
      </c>
      <c r="J124" s="122"/>
      <c r="K124" s="432"/>
      <c r="L124" s="433"/>
      <c r="M124" s="55">
        <f>SUBTOTAL(9,M125:M127)</f>
        <v>9259</v>
      </c>
      <c r="N124" s="41">
        <f>SUBTOTAL(9,N125:N127)</f>
        <v>9259</v>
      </c>
      <c r="P124" s="52"/>
    </row>
    <row r="125" spans="2:16">
      <c r="B125" s="25" t="n">
        <v>101</v>
      </c>
      <c r="C125" s="272">
        <f aca="1">IF(AND(Godina=2024,MID(Osnovni_podaci!D20,3,1)="p",Osnovni_podaci!L24=0,Osnovni_podaci!G24=0,MID(Osnovni_podaci!D20,3,1)="p",MID(Osnovni_podaci!D20,8,1)="k"),VLOOKUP($B125,T_Aop[],5,1),A1)</f>
        <v>400</v>
      </c>
      <c r="D125" s="439" t="str">
        <f aca="1">IF(AND(Godina=2024,MID(Osnovni_podaci!D20,3,1)="p",Osnovni_podaci!L24=0,Osnovni_podaci!G24=0,MID(Osnovni_podaci!D20,3,1)="p",MID(Osnovni_podaci!D20,8,1)="k"),VLOOKUP($B125,T_Aop[],6,1),A1)</f>
        <v>    1. Rezervisanja za troškove u garantnom roku</v>
      </c>
      <c r="E125" s="440"/>
      <c r="F125" s="440"/>
      <c r="G125" s="440"/>
      <c r="H125" s="441"/>
      <c r="I125" s="63">
        <f aca="1">IF(AND(Godina=2024,MID(Osnovni_podaci!D20,3,1)="p",Osnovni_podaci!L24=0,Osnovni_podaci!G24=0,MID(Osnovni_podaci!D20,3,1)="p",MID(Osnovni_podaci!D20,8,1)="k"),VLOOKUP($B125,T_Aop[],4,1),A1)</f>
        <v>134</v>
      </c>
      <c r="J125" s="120"/>
      <c r="K125" s="430"/>
      <c r="L125" s="431"/>
      <c r="M125" s="150"/>
      <c r="N125" s="121"/>
      <c r="P125" s="52"/>
    </row>
    <row r="126" spans="2:16">
      <c r="B126" s="25" t="n">
        <v>102</v>
      </c>
      <c r="C126" s="271">
        <f aca="1">IF(AND(Godina=2024,MID(Osnovni_podaci!D20,3,1)="p",Osnovni_podaci!L24=0,Osnovni_podaci!G24=0,MID(Osnovni_podaci!D20,3,1)="p",MID(Osnovni_podaci!D20,8,1)="k"),VLOOKUP($B126,T_Aop[],5,1),A1)</f>
        <v>404</v>
      </c>
      <c r="D126" s="436" t="str">
        <f aca="1">IF(AND(Godina=2024,MID(Osnovni_podaci!D20,3,1)="p",Osnovni_podaci!L24=0,Osnovni_podaci!G24=0,MID(Osnovni_podaci!D20,3,1)="p",MID(Osnovni_podaci!D20,8,1)="k"),VLOOKUP($B126,T_Aop[],6,1),A1)</f>
        <v>    2. Rezervisanja za naknade i beneficije zaposlenih</v>
      </c>
      <c r="E126" s="437"/>
      <c r="F126" s="437"/>
      <c r="G126" s="437"/>
      <c r="H126" s="438"/>
      <c r="I126" s="65">
        <f aca="1">IF(AND(Godina=2024,MID(Osnovni_podaci!D20,3,1)="p",Osnovni_podaci!L24=0,Osnovni_podaci!G24=0,MID(Osnovni_podaci!D20,3,1)="p",MID(Osnovni_podaci!D20,8,1)="k"),VLOOKUP($B126,T_Aop[],4,1),A1)</f>
        <v>135</v>
      </c>
      <c r="J126" s="122"/>
      <c r="K126" s="432"/>
      <c r="L126" s="433"/>
      <c r="M126" s="152" t="n">
        <v>9259</v>
      </c>
      <c r="N126" s="123" t="n">
        <v>9259</v>
      </c>
      <c r="P126" s="52"/>
    </row>
    <row r="127" spans="2:16">
      <c r="B127" s="25" t="n">
        <v>103</v>
      </c>
      <c r="C127" s="272" t="str">
        <f aca="1">IF(AND(Godina=2024,MID(Osnovni_podaci!D20,3,1)="p",Osnovni_podaci!L24=0,Osnovni_podaci!G24=0,MID(Osnovni_podaci!D20,3,1)="p",MID(Osnovni_podaci!D20,8,1)="k"),VLOOKUP($B127,T_Aop[],5,1),A1)</f>
        <v>401, 402, 403, dio 409</v>
      </c>
      <c r="D127" s="439" t="str">
        <f aca="1">IF(AND(Godina=2024,MID(Osnovni_podaci!D20,3,1)="p",Osnovni_podaci!L24=0,Osnovni_podaci!G24=0,MID(Osnovni_podaci!D20,3,1)="p",MID(Osnovni_podaci!D20,8,1)="k"),VLOOKUP($B127,T_Aop[],6,1),A1)</f>
        <v>    3. Ostala dugoročna rezervisanja</v>
      </c>
      <c r="E127" s="440"/>
      <c r="F127" s="440"/>
      <c r="G127" s="440"/>
      <c r="H127" s="441"/>
      <c r="I127" s="63">
        <f aca="1">IF(AND(Godina=2024,MID(Osnovni_podaci!D20,3,1)="p",Osnovni_podaci!L24=0,Osnovni_podaci!G24=0,MID(Osnovni_podaci!D20,3,1)="p",MID(Osnovni_podaci!D20,8,1)="k"),VLOOKUP($B127,T_Aop[],4,1),A1)</f>
        <v>136</v>
      </c>
      <c r="J127" s="120"/>
      <c r="K127" s="430"/>
      <c r="L127" s="431"/>
      <c r="M127" s="150"/>
      <c r="N127" s="121"/>
      <c r="P127" s="52"/>
    </row>
    <row r="128" spans="2:16">
      <c r="B128" s="25" t="n">
        <v>104</v>
      </c>
      <c r="C128" s="271" t="str">
        <f aca="1">IF(AND(Godina=2024,MID(Osnovni_podaci!D20,3,1)="p",Osnovni_podaci!L24=0,Osnovni_podaci!G24=0,MID(Osnovni_podaci!D20,3,1)="p",MID(Osnovni_podaci!D20,8,1)="k"),VLOOKUP($B128,T_Aop[],5,1),A1)</f>
        <v> </v>
      </c>
      <c r="D128" s="443" t="str">
        <f aca="1">IF(AND(Godina=2024,MID(Osnovni_podaci!D20,3,1)="p",Osnovni_podaci!L24=0,Osnovni_podaci!G24=0,MID(Osnovni_podaci!D20,3,1)="p",MID(Osnovni_podaci!D20,8,1)="k"),VLOOKUP($B128,T_Aop[],6,1),A1)</f>
        <v>  II DUGOROČNE OBAVEZE (138 do 144)</v>
      </c>
      <c r="E128" s="444"/>
      <c r="F128" s="444"/>
      <c r="G128" s="444"/>
      <c r="H128" s="445"/>
      <c r="I128" s="133">
        <f aca="1">IF(AND(Godina=2024,MID(Osnovni_podaci!D20,3,1)="p",Osnovni_podaci!L24=0,Osnovni_podaci!G24=0,MID(Osnovni_podaci!D20,3,1)="p",MID(Osnovni_podaci!D20,8,1)="k"),VLOOKUP($B128,T_Aop[],4,1),A1)</f>
        <v>137</v>
      </c>
      <c r="J128" s="122"/>
      <c r="K128" s="432"/>
      <c r="L128" s="433"/>
      <c r="M128" s="55">
        <f>SUBTOTAL(9,M129:M135)</f>
        <v>592182</v>
      </c>
      <c r="N128" s="41">
        <f>SUBTOTAL(9,N129:N135)</f>
        <v>670755</v>
      </c>
      <c r="P128" s="52"/>
    </row>
    <row r="129" spans="2:16">
      <c r="B129" s="25" t="n">
        <v>105</v>
      </c>
      <c r="C129" s="272">
        <f aca="1">IF(AND(Godina=2024,MID(Osnovni_podaci!D20,3,1)="p",Osnovni_podaci!L24=0,Osnovni_podaci!G24=0,MID(Osnovni_podaci!D20,3,1)="p",MID(Osnovni_podaci!D20,8,1)="k"),VLOOKUP($B129,T_Aop[],5,1),A1)</f>
        <v>411</v>
      </c>
      <c r="D129" s="439" t="str">
        <f aca="1">IF(AND(Godina=2024,MID(Osnovni_podaci!D20,3,1)="p",Osnovni_podaci!L24=0,Osnovni_podaci!G24=0,MID(Osnovni_podaci!D20,3,1)="p",MID(Osnovni_podaci!D20,8,1)="k"),VLOOKUP($B129,T_Aop[],6,1),A1)</f>
        <v>    1. Obaveze prema povezanim pravnim licima</v>
      </c>
      <c r="E129" s="440"/>
      <c r="F129" s="440"/>
      <c r="G129" s="440"/>
      <c r="H129" s="441"/>
      <c r="I129" s="63">
        <f aca="1">IF(AND(Godina=2024,MID(Osnovni_podaci!D20,3,1)="p",Osnovni_podaci!L24=0,Osnovni_podaci!G24=0,MID(Osnovni_podaci!D20,3,1)="p",MID(Osnovni_podaci!D20,8,1)="k"),VLOOKUP($B129,T_Aop[],4,1),A1)</f>
        <v>138</v>
      </c>
      <c r="J129" s="120"/>
      <c r="K129" s="430"/>
      <c r="L129" s="431"/>
      <c r="M129" s="150"/>
      <c r="N129" s="121"/>
      <c r="P129" s="52"/>
    </row>
    <row r="130" spans="2:16">
      <c r="B130" s="25" t="n">
        <v>106</v>
      </c>
      <c r="C130" s="271">
        <f aca="1">IF(AND(Godina=2024,MID(Osnovni_podaci!D20,3,1)="p",Osnovni_podaci!L24=0,Osnovni_podaci!G24=0,MID(Osnovni_podaci!D20,3,1)="p",MID(Osnovni_podaci!D20,8,1)="k"),VLOOKUP($B130,T_Aop[],5,1),A1)</f>
        <v>413</v>
      </c>
      <c r="D130" s="436" t="str">
        <f aca="1">IF(AND(Godina=2024,MID(Osnovni_podaci!D20,3,1)="p",Osnovni_podaci!L24=0,Osnovni_podaci!G24=0,MID(Osnovni_podaci!D20,3,1)="p",MID(Osnovni_podaci!D20,8,1)="k"),VLOOKUP($B130,T_Aop[],6,1),A1)</f>
        <v>    2. Dugoročni krediti u zemlji</v>
      </c>
      <c r="E130" s="437"/>
      <c r="F130" s="437"/>
      <c r="G130" s="437"/>
      <c r="H130" s="438"/>
      <c r="I130" s="65">
        <f aca="1">IF(AND(Godina=2024,MID(Osnovni_podaci!D20,3,1)="p",Osnovni_podaci!L24=0,Osnovni_podaci!G24=0,MID(Osnovni_podaci!D20,3,1)="p",MID(Osnovni_podaci!D20,8,1)="k"),VLOOKUP($B130,T_Aop[],4,1),A1)</f>
        <v>139</v>
      </c>
      <c r="J130" s="122"/>
      <c r="K130" s="432"/>
      <c r="L130" s="433"/>
      <c r="M130" s="152" t="n">
        <v>590017</v>
      </c>
      <c r="N130" s="123" t="n">
        <v>666921</v>
      </c>
      <c r="P130" s="52"/>
    </row>
    <row r="131" spans="2:16">
      <c r="B131" s="25" t="n">
        <v>107</v>
      </c>
      <c r="C131" s="272">
        <f aca="1">IF(AND(Godina=2024,MID(Osnovni_podaci!D20,3,1)="p",Osnovni_podaci!L24=0,Osnovni_podaci!G24=0,MID(Osnovni_podaci!D20,3,1)="p",MID(Osnovni_podaci!D20,8,1)="k"),VLOOKUP($B131,T_Aop[],5,1),A1)</f>
        <v>414</v>
      </c>
      <c r="D131" s="439" t="str">
        <f aca="1">IF(AND(Godina=2024,MID(Osnovni_podaci!D20,3,1)="p",Osnovni_podaci!L24=0,Osnovni_podaci!G24=0,MID(Osnovni_podaci!D20,3,1)="p",MID(Osnovni_podaci!D20,8,1)="k"),VLOOKUP($B131,T_Aop[],6,1),A1)</f>
        <v>    3. Dugoročni krediti u inostranstvu</v>
      </c>
      <c r="E131" s="440"/>
      <c r="F131" s="440"/>
      <c r="G131" s="440"/>
      <c r="H131" s="441"/>
      <c r="I131" s="63">
        <f aca="1">IF(AND(Godina=2024,MID(Osnovni_podaci!D20,3,1)="p",Osnovni_podaci!L24=0,Osnovni_podaci!G24=0,MID(Osnovni_podaci!D20,3,1)="p",MID(Osnovni_podaci!D20,8,1)="k"),VLOOKUP($B131,T_Aop[],4,1),A1)</f>
        <v>140</v>
      </c>
      <c r="J131" s="120"/>
      <c r="K131" s="430"/>
      <c r="L131" s="431"/>
      <c r="M131" s="150"/>
      <c r="N131" s="151"/>
      <c r="P131" s="52"/>
    </row>
    <row r="132" spans="2:16">
      <c r="B132" s="25" t="n">
        <v>108</v>
      </c>
      <c r="C132" s="271">
        <f aca="1">IF(AND(Godina=2024,MID(Osnovni_podaci!D20,3,1)="p",Osnovni_podaci!L24=0,Osnovni_podaci!G24=0,MID(Osnovni_podaci!D20,3,1)="p",MID(Osnovni_podaci!D20,8,1)="k"),VLOOKUP($B132,T_Aop[],5,1),A1)</f>
        <v>412</v>
      </c>
      <c r="D132" s="436" t="str">
        <f aca="1">IF(AND(Godina=2024,MID(Osnovni_podaci!D20,3,1)="p",Osnovni_podaci!L24=0,Osnovni_podaci!G24=0,MID(Osnovni_podaci!D20,3,1)="p",MID(Osnovni_podaci!D20,8,1)="k"),VLOOKUP($B132,T_Aop[],6,1),A1)</f>
        <v>    4. Obaveze po emitovanim dužničkim instrumentima</v>
      </c>
      <c r="E132" s="437"/>
      <c r="F132" s="437"/>
      <c r="G132" s="437"/>
      <c r="H132" s="438"/>
      <c r="I132" s="65">
        <f aca="1">IF(AND(Godina=2024,MID(Osnovni_podaci!D20,3,1)="p",Osnovni_podaci!L24=0,Osnovni_podaci!G24=0,MID(Osnovni_podaci!D20,3,1)="p",MID(Osnovni_podaci!D20,8,1)="k"),VLOOKUP($B132,T_Aop[],4,1),A1)</f>
        <v>141</v>
      </c>
      <c r="J132" s="122"/>
      <c r="K132" s="432"/>
      <c r="L132" s="433"/>
      <c r="M132" s="152"/>
      <c r="N132" s="153"/>
      <c r="P132" s="52"/>
    </row>
    <row r="133" spans="2:16">
      <c r="B133" s="25" t="n">
        <v>109</v>
      </c>
      <c r="C133" s="272" t="str">
        <f aca="1">IF(AND(Godina=2024,MID(Osnovni_podaci!D20,3,1)="p",Osnovni_podaci!L24=0,Osnovni_podaci!G24=0,MID(Osnovni_podaci!D20,3,1)="p",MID(Osnovni_podaci!D20,8,1)="k"),VLOOKUP($B133,T_Aop[],5,1),A1)</f>
        <v>415, 416</v>
      </c>
      <c r="D133" s="439" t="str">
        <f aca="1">IF(AND(Godina=2024,MID(Osnovni_podaci!D20,3,1)="p",Osnovni_podaci!L24=0,Osnovni_podaci!G24=0,MID(Osnovni_podaci!D20,3,1)="p",MID(Osnovni_podaci!D20,8,1)="k"),VLOOKUP($B133,T_Aop[],6,1),A1)</f>
        <v>    5. Dugoročne obaveze po lizingu</v>
      </c>
      <c r="E133" s="440"/>
      <c r="F133" s="440"/>
      <c r="G133" s="440"/>
      <c r="H133" s="441"/>
      <c r="I133" s="63">
        <f aca="1">IF(AND(Godina=2024,MID(Osnovni_podaci!D20,3,1)="p",Osnovni_podaci!L24=0,Osnovni_podaci!G24=0,MID(Osnovni_podaci!D20,3,1)="p",MID(Osnovni_podaci!D20,8,1)="k"),VLOOKUP($B133,T_Aop[],4,1),A1)</f>
        <v>142</v>
      </c>
      <c r="J133" s="120"/>
      <c r="K133" s="430"/>
      <c r="L133" s="431"/>
      <c r="M133" s="150"/>
      <c r="N133" s="151"/>
      <c r="P133" s="52"/>
    </row>
    <row r="134" spans="2:16">
      <c r="B134" s="25" t="n">
        <v>110</v>
      </c>
      <c r="C134" s="271" t="str">
        <f aca="1">IF(AND(Godina=2024,MID(Osnovni_podaci!D20,3,1)="p",Osnovni_podaci!L24=0,Osnovni_podaci!G24=0,MID(Osnovni_podaci!D20,3,1)="p",MID(Osnovni_podaci!D20,8,1)="k"),VLOOKUP($B134,T_Aop[],5,1),A1)</f>
        <v>418</v>
      </c>
      <c r="D134" s="436" t="str">
        <f aca="1">IF(AND(Godina=2024,MID(Osnovni_podaci!D20,3,1)="p",Osnovni_podaci!L24=0,Osnovni_podaci!G24=0,MID(Osnovni_podaci!D20,3,1)="p",MID(Osnovni_podaci!D20,8,1)="k"),VLOOKUP($B134,T_Aop[],6,1),A1)</f>
        <v>    6. Ostale dugoročne finansijske obaveze po amortizovanoj vrijednosti</v>
      </c>
      <c r="E134" s="437"/>
      <c r="F134" s="437"/>
      <c r="G134" s="437"/>
      <c r="H134" s="438"/>
      <c r="I134" s="65">
        <f aca="1">IF(AND(Godina=2024,MID(Osnovni_podaci!D20,3,1)="p",Osnovni_podaci!L24=0,Osnovni_podaci!G24=0,MID(Osnovni_podaci!D20,3,1)="p",MID(Osnovni_podaci!D20,8,1)="k"),VLOOKUP($B134,T_Aop[],4,1),A1)</f>
        <v>143</v>
      </c>
      <c r="J134" s="122"/>
      <c r="K134" s="432"/>
      <c r="L134" s="433"/>
      <c r="M134" s="152"/>
      <c r="N134" s="153"/>
      <c r="P134" s="52"/>
    </row>
    <row r="135" spans="2:16">
      <c r="B135" s="25" t="n">
        <v>111</v>
      </c>
      <c r="C135" s="272" t="str">
        <f aca="1">IF(AND(Godina=2024,MID(Osnovni_podaci!D20,3,1)="p",Osnovni_podaci!L24=0,Osnovni_podaci!G24=0,MID(Osnovni_podaci!D20,3,1)="p",MID(Osnovni_podaci!D20,8,1)="k"),VLOOKUP($B135,T_Aop[],5,1),A1)</f>
        <v>dio 409, 410, 419</v>
      </c>
      <c r="D135" s="439" t="str">
        <f aca="1">IF(AND(Godina=2024,MID(Osnovni_podaci!D20,3,1)="p",Osnovni_podaci!L24=0,Osnovni_podaci!G24=0,MID(Osnovni_podaci!D20,3,1)="p",MID(Osnovni_podaci!D20,8,1)="k"),VLOOKUP($B135,T_Aop[],6,1),A1)</f>
        <v>    7. Ostale dugoročne obaveze, uključujući razgraničenja</v>
      </c>
      <c r="E135" s="440"/>
      <c r="F135" s="440"/>
      <c r="G135" s="440"/>
      <c r="H135" s="441"/>
      <c r="I135" s="63">
        <f aca="1">IF(AND(Godina=2024,MID(Osnovni_podaci!D20,3,1)="p",Osnovni_podaci!L24=0,Osnovni_podaci!G24=0,MID(Osnovni_podaci!D20,3,1)="p",MID(Osnovni_podaci!D20,8,1)="k"),VLOOKUP($B135,T_Aop[],4,1),A1)</f>
        <v>144</v>
      </c>
      <c r="J135" s="120"/>
      <c r="K135" s="430"/>
      <c r="L135" s="431"/>
      <c r="M135" s="150" t="n">
        <v>2165</v>
      </c>
      <c r="N135" s="151" t="n">
        <v>3834</v>
      </c>
      <c r="P135" s="52"/>
    </row>
    <row r="136" spans="2:16">
      <c r="B136" s="25" t="n">
        <v>112</v>
      </c>
      <c r="C136" s="271">
        <f aca="1">IF(AND(Godina=2024,MID(Osnovni_podaci!D20,3,1)="p",Osnovni_podaci!L24=0,Osnovni_podaci!G24=0,MID(Osnovni_podaci!D20,3,1)="p",MID(Osnovni_podaci!D20,8,1)="k"),VLOOKUP($B136,T_Aop[],5,1),A1)</f>
        <v>408</v>
      </c>
      <c r="D136" s="443" t="str">
        <f aca="1">IF(AND(Godina=2024,MID(Osnovni_podaci!D20,3,1)="p",Osnovni_podaci!L24=0,Osnovni_podaci!G24=0,MID(Osnovni_podaci!D20,3,1)="p",MID(Osnovni_podaci!D20,8,1)="k"),VLOOKUP($B136,T_Aop[],6,1),A1)</f>
        <v>  III RAZGRANIČENI PRIHODI I PRIMLJENE DONACIJE</v>
      </c>
      <c r="E136" s="444"/>
      <c r="F136" s="444"/>
      <c r="G136" s="444"/>
      <c r="H136" s="445"/>
      <c r="I136" s="133">
        <f aca="1">IF(AND(Godina=2024,MID(Osnovni_podaci!D20,3,1)="p",Osnovni_podaci!L24=0,Osnovni_podaci!G24=0,MID(Osnovni_podaci!D20,3,1)="p",MID(Osnovni_podaci!D20,8,1)="k"),VLOOKUP($B136,T_Aop[],4,1),A1)</f>
        <v>145</v>
      </c>
      <c r="J136" s="122"/>
      <c r="K136" s="432"/>
      <c r="L136" s="433"/>
      <c r="M136" s="156"/>
      <c r="N136" s="157"/>
      <c r="P136" s="52"/>
    </row>
    <row r="137" spans="2:16">
      <c r="B137" s="25" t="n">
        <v>113</v>
      </c>
      <c r="C137" s="272">
        <f aca="1">IF(AND(Godina=2024,MID(Osnovni_podaci!D20,3,1)="p",Osnovni_podaci!L24=0,Osnovni_podaci!G24=0,MID(Osnovni_podaci!D20,3,1)="p",MID(Osnovni_podaci!D20,8,1)="k"),VLOOKUP($B137,T_Aop[],5,1),A1)</f>
        <v>407</v>
      </c>
      <c r="D137" s="446" t="str">
        <f aca="1">IF(AND(Godina=2024,MID(Osnovni_podaci!D20,3,1)="p",Osnovni_podaci!L24=0,Osnovni_podaci!G24=0,MID(Osnovni_podaci!D20,3,1)="p",MID(Osnovni_podaci!D20,8,1)="k"),VLOOKUP($B137,T_Aop[],6,1),A1)</f>
        <v>  V. ODLOŽENE PORESKE OBAVEZE </v>
      </c>
      <c r="E137" s="447"/>
      <c r="F137" s="447"/>
      <c r="G137" s="447"/>
      <c r="H137" s="448"/>
      <c r="I137" s="134">
        <f aca="1">IF(AND(Godina=2024,MID(Osnovni_podaci!D20,3,1)="p",Osnovni_podaci!L24=0,Osnovni_podaci!G24=0,MID(Osnovni_podaci!D20,3,1)="p",MID(Osnovni_podaci!D20,8,1)="k"),VLOOKUP($B137,T_Aop[],4,1),A1)</f>
        <v>146</v>
      </c>
      <c r="J137" s="120"/>
      <c r="K137" s="430"/>
      <c r="L137" s="431"/>
      <c r="M137" s="154"/>
      <c r="N137" s="155"/>
      <c r="P137" s="52"/>
    </row>
    <row r="138" spans="2:16" ht="23.25" customHeight="1">
      <c r="B138" s="25" t="n">
        <v>114</v>
      </c>
      <c r="C138" s="271" t="str">
        <f aca="1">IF(AND(Godina=2024,MID(Osnovni_podaci!D20,3,1)="p",Osnovni_podaci!L24=0,Osnovni_podaci!G24=0,MID(Osnovni_podaci!D20,3,1)="p",MID(Osnovni_podaci!D20,8,1)="k"),VLOOKUP($B138,T_Aop[],5,1),A1)</f>
        <v>42 do 49</v>
      </c>
      <c r="D138" s="443" t="str">
        <f aca="1">IF(AND(Godina=2024,MID(Osnovni_podaci!D20,3,1)="p",Osnovni_podaci!L24=0,Osnovni_podaci!G24=0,MID(Osnovni_podaci!D20,3,1)="p",MID(Osnovni_podaci!D20,8,1)="k"),VLOOKUP($B138,T_Aop[],6,1),A1)</f>
        <v>   G. KRATKOROČNE OBAVEZE I KRATKOROČNA REZERVISANJA(148 + 155 + 161 + 162 + 163 + 164 + 165 + 166 + 167 + 168)</v>
      </c>
      <c r="E138" s="444"/>
      <c r="F138" s="444"/>
      <c r="G138" s="444"/>
      <c r="H138" s="445"/>
      <c r="I138" s="133">
        <f aca="1">IF(AND(Godina=2024,MID(Osnovni_podaci!D20,3,1)="p",Osnovni_podaci!L24=0,Osnovni_podaci!G24=0,MID(Osnovni_podaci!D20,3,1)="p",MID(Osnovni_podaci!D20,8,1)="k"),VLOOKUP($B138,T_Aop[],4,1),A1)</f>
        <v>147</v>
      </c>
      <c r="J138" s="122"/>
      <c r="K138" s="432"/>
      <c r="L138" s="433"/>
      <c r="M138" s="55">
        <f>SUBTOTAL(9,M139:M159)</f>
        <v>5607267</v>
      </c>
      <c r="N138" s="56">
        <f>SUBTOTAL(9,N139:N159)</f>
        <v>5289016</v>
      </c>
      <c r="P138" s="52"/>
    </row>
    <row r="139" spans="2:16">
      <c r="B139" s="25" t="n">
        <v>115</v>
      </c>
      <c r="C139" s="272">
        <f aca="1">IF(AND(Godina=2024,MID(Osnovni_podaci!D20,3,1)="p",Osnovni_podaci!L24=0,Osnovni_podaci!G24=0,MID(Osnovni_podaci!D20,3,1)="p",MID(Osnovni_podaci!D20,8,1)="k"),VLOOKUP($B139,T_Aop[],5,1),A1)</f>
        <v>42</v>
      </c>
      <c r="D139" s="439" t="str">
        <f aca="1">IF(AND(Godina=2024,MID(Osnovni_podaci!D20,3,1)="p",Osnovni_podaci!L24=0,Osnovni_podaci!G24=0,MID(Osnovni_podaci!D20,3,1)="p",MID(Osnovni_podaci!D20,8,1)="k"),VLOOKUP($B139,T_Aop[],6,1),A1)</f>
        <v>    1. Kratkoročne finansijske obaveze (149 do 154)</v>
      </c>
      <c r="E139" s="440"/>
      <c r="F139" s="440"/>
      <c r="G139" s="440"/>
      <c r="H139" s="441"/>
      <c r="I139" s="63">
        <f aca="1">IF(AND(Godina=2024,MID(Osnovni_podaci!D20,3,1)="p",Osnovni_podaci!L24=0,Osnovni_podaci!G24=0,MID(Osnovni_podaci!D20,3,1)="p",MID(Osnovni_podaci!D20,8,1)="k"),VLOOKUP($B139,T_Aop[],4,1),A1)</f>
        <v>148</v>
      </c>
      <c r="J139" s="120"/>
      <c r="K139" s="430"/>
      <c r="L139" s="431"/>
      <c r="M139" s="57">
        <f>SUBTOTAL(9,M140:M145)</f>
        <v>1361178</v>
      </c>
      <c r="N139" s="58">
        <f>SUBTOTAL(9,N140:N145)</f>
        <v>1413630</v>
      </c>
      <c r="P139" s="52"/>
    </row>
    <row r="140" spans="2:16">
      <c r="B140" s="25" t="n">
        <v>116</v>
      </c>
      <c r="C140" s="271">
        <f aca="1">IF(AND(Godina=2024,MID(Osnovni_podaci!D20,3,1)="p",Osnovni_podaci!L24=0,Osnovni_podaci!G24=0,MID(Osnovni_podaci!D20,3,1)="p",MID(Osnovni_podaci!D20,8,1)="k"),VLOOKUP($B140,T_Aop[],5,1),A1)</f>
        <v>420</v>
      </c>
      <c r="D140" s="436" t="str">
        <f aca="1">IF(AND(Godina=2024,MID(Osnovni_podaci!D20,3,1)="p",Osnovni_podaci!L24=0,Osnovni_podaci!G24=0,MID(Osnovni_podaci!D20,3,1)="p",MID(Osnovni_podaci!D20,8,1)="k"),VLOOKUP($B140,T_Aop[],6,1),A1)</f>
        <v>      1.1. Kratkoročne finansijske obaveze prema povezanim pravnim licima</v>
      </c>
      <c r="E140" s="437"/>
      <c r="F140" s="437"/>
      <c r="G140" s="437"/>
      <c r="H140" s="438"/>
      <c r="I140" s="65">
        <f aca="1">IF(AND(Godina=2024,MID(Osnovni_podaci!D20,3,1)="p",Osnovni_podaci!L24=0,Osnovni_podaci!G24=0,MID(Osnovni_podaci!D20,3,1)="p",MID(Osnovni_podaci!D20,8,1)="k"),VLOOKUP($B140,T_Aop[],4,1),A1)</f>
        <v>149</v>
      </c>
      <c r="J140" s="122"/>
      <c r="K140" s="432"/>
      <c r="L140" s="433"/>
      <c r="M140" s="152" t="n">
        <v>475200</v>
      </c>
      <c r="N140" s="153" t="n">
        <v>475200</v>
      </c>
      <c r="P140" s="52"/>
    </row>
    <row r="141" spans="2:16">
      <c r="B141" s="25" t="n">
        <v>117</v>
      </c>
      <c r="C141" s="272" t="str">
        <f aca="1">IF(AND(Godina=2024,MID(Osnovni_podaci!D20,3,1)="p",Osnovni_podaci!L24=0,Osnovni_podaci!G24=0,MID(Osnovni_podaci!D20,3,1)="p",MID(Osnovni_podaci!D20,8,1)="k"),VLOOKUP($B141,T_Aop[],5,1),A1)</f>
        <v>421 do 424</v>
      </c>
      <c r="D141" s="439" t="str">
        <f aca="1">IF(AND(Godina=2024,MID(Osnovni_podaci!D20,3,1)="p",Osnovni_podaci!L24=0,Osnovni_podaci!G24=0,MID(Osnovni_podaci!D20,3,1)="p",MID(Osnovni_podaci!D20,8,1)="k"),VLOOKUP($B141,T_Aop[],6,1),A1)</f>
        <v>      1.2. Kratkoročni krediti i obaveze po emitovanim kratkoročnim hartijama od vrijednosti</v>
      </c>
      <c r="E141" s="440"/>
      <c r="F141" s="440"/>
      <c r="G141" s="440"/>
      <c r="H141" s="441"/>
      <c r="I141" s="63">
        <f aca="1">IF(AND(Godina=2024,MID(Osnovni_podaci!D20,3,1)="p",Osnovni_podaci!L24=0,Osnovni_podaci!G24=0,MID(Osnovni_podaci!D20,3,1)="p",MID(Osnovni_podaci!D20,8,1)="k"),VLOOKUP($B141,T_Aop[],4,1),A1)</f>
        <v>150</v>
      </c>
      <c r="J141" s="120"/>
      <c r="K141" s="430"/>
      <c r="L141" s="431"/>
      <c r="M141" s="150" t="n">
        <v>556978</v>
      </c>
      <c r="N141" s="151" t="n">
        <v>564430</v>
      </c>
      <c r="P141" s="52"/>
    </row>
    <row r="142" spans="2:16">
      <c r="B142" s="25" t="n">
        <v>118</v>
      </c>
      <c r="C142" s="271" t="str">
        <f aca="1">IF(AND(Godina=2024,MID(Osnovni_podaci!D20,3,1)="p",Osnovni_podaci!L24=0,Osnovni_podaci!G24=0,MID(Osnovni_podaci!D20,3,1)="p",MID(Osnovni_podaci!D20,8,1)="k"),VLOOKUP($B142,T_Aop[],5,1),A1)</f>
        <v>425 i 426</v>
      </c>
      <c r="D142" s="436" t="str">
        <f aca="1">IF(AND(Godina=2024,MID(Osnovni_podaci!D20,3,1)="p",Osnovni_podaci!L24=0,Osnovni_podaci!G24=0,MID(Osnovni_podaci!D20,3,1)="p",MID(Osnovni_podaci!D20,8,1)="k"),VLOOKUP($B142,T_Aop[],6,1),A1)</f>
        <v>      1.3. Kratkoročne obaveze po lizingu</v>
      </c>
      <c r="E142" s="437"/>
      <c r="F142" s="437"/>
      <c r="G142" s="437"/>
      <c r="H142" s="438"/>
      <c r="I142" s="65">
        <f aca="1">IF(AND(Godina=2024,MID(Osnovni_podaci!D20,3,1)="p",Osnovni_podaci!L24=0,Osnovni_podaci!G24=0,MID(Osnovni_podaci!D20,3,1)="p",MID(Osnovni_podaci!D20,8,1)="k"),VLOOKUP($B142,T_Aop[],4,1),A1)</f>
        <v>151</v>
      </c>
      <c r="J142" s="122"/>
      <c r="K142" s="432"/>
      <c r="L142" s="433"/>
      <c r="M142" s="152"/>
      <c r="N142" s="153"/>
      <c r="P142" s="52"/>
    </row>
    <row r="143" spans="2:16">
      <c r="B143" s="25" t="n">
        <v>119</v>
      </c>
      <c r="C143" s="272">
        <f aca="1">IF(AND(Godina=2024,MID(Osnovni_podaci!D20,3,1)="p",Osnovni_podaci!L24=0,Osnovni_podaci!G24=0,MID(Osnovni_podaci!D20,3,1)="p",MID(Osnovni_podaci!D20,8,1)="k"),VLOOKUP($B143,T_Aop[],5,1),A1)</f>
        <v>427</v>
      </c>
      <c r="D143" s="439" t="str">
        <f aca="1">IF(AND(Godina=2024,MID(Osnovni_podaci!D20,3,1)="p",Osnovni_podaci!L24=0,Osnovni_podaci!G24=0,MID(Osnovni_podaci!D20,3,1)="p",MID(Osnovni_podaci!D20,8,1)="k"),VLOOKUP($B143,T_Aop[],6,1),A1)</f>
        <v>      1.4. Kratkoročne obaveze po fer vrijednosti kroz bilans uspjeha</v>
      </c>
      <c r="E143" s="440"/>
      <c r="F143" s="440"/>
      <c r="G143" s="440"/>
      <c r="H143" s="441"/>
      <c r="I143" s="63">
        <f aca="1">IF(AND(Godina=2024,MID(Osnovni_podaci!D20,3,1)="p",Osnovni_podaci!L24=0,Osnovni_podaci!G24=0,MID(Osnovni_podaci!D20,3,1)="p",MID(Osnovni_podaci!D20,8,1)="k"),VLOOKUP($B143,T_Aop[],4,1),A1)</f>
        <v>152</v>
      </c>
      <c r="J143" s="120"/>
      <c r="K143" s="430"/>
      <c r="L143" s="431"/>
      <c r="M143" s="150"/>
      <c r="N143" s="151"/>
      <c r="P143" s="52"/>
    </row>
    <row r="144" spans="2:16">
      <c r="B144" s="25" t="n">
        <v>120</v>
      </c>
      <c r="C144" s="271">
        <f aca="1">IF(AND(Godina=2024,MID(Osnovni_podaci!D20,3,1)="p",Osnovni_podaci!L24=0,Osnovni_podaci!G24=0,MID(Osnovni_podaci!D20,3,1)="p",MID(Osnovni_podaci!D20,8,1)="k"),VLOOKUP($B144,T_Aop[],5,1),A1)</f>
        <v>428</v>
      </c>
      <c r="D144" s="436" t="str">
        <f aca="1">IF(AND(Godina=2024,MID(Osnovni_podaci!D20,3,1)="p",Osnovni_podaci!L24=0,Osnovni_podaci!G24=0,MID(Osnovni_podaci!D20,3,1)="p",MID(Osnovni_podaci!D20,8,1)="k"),VLOOKUP($B144,T_Aop[],6,1),A1)</f>
        <v>      1.5. Derivatne finansijske obaveze</v>
      </c>
      <c r="E144" s="437"/>
      <c r="F144" s="437"/>
      <c r="G144" s="437"/>
      <c r="H144" s="438"/>
      <c r="I144" s="65">
        <f aca="1">IF(AND(Godina=2024,MID(Osnovni_podaci!D20,3,1)="p",Osnovni_podaci!L24=0,Osnovni_podaci!G24=0,MID(Osnovni_podaci!D20,3,1)="p",MID(Osnovni_podaci!D20,8,1)="k"),VLOOKUP($B144,T_Aop[],4,1),A1)</f>
        <v>153</v>
      </c>
      <c r="J144" s="122"/>
      <c r="K144" s="432"/>
      <c r="L144" s="433"/>
      <c r="M144" s="152"/>
      <c r="N144" s="153"/>
      <c r="P144" s="52"/>
    </row>
    <row r="145" spans="2:16">
      <c r="B145" s="25" t="n">
        <v>121</v>
      </c>
      <c r="C145" s="272">
        <f aca="1">IF(AND(Godina=2024,MID(Osnovni_podaci!D20,3,1)="p",Osnovni_podaci!L24=0,Osnovni_podaci!G24=0,MID(Osnovni_podaci!D20,3,1)="p",MID(Osnovni_podaci!D20,8,1)="k"),VLOOKUP($B145,T_Aop[],5,1),A1)</f>
        <v>429</v>
      </c>
      <c r="D145" s="439" t="str">
        <f aca="1">IF(AND(Godina=2024,MID(Osnovni_podaci!D20,3,1)="p",Osnovni_podaci!L24=0,Osnovni_podaci!G24=0,MID(Osnovni_podaci!D20,3,1)="p",MID(Osnovni_podaci!D20,8,1)="k"),VLOOKUP($B145,T_Aop[],6,1),A1)</f>
        <v>      1.6. Ostale obaveze po amortizovanoj vrijednosti</v>
      </c>
      <c r="E145" s="440"/>
      <c r="F145" s="440"/>
      <c r="G145" s="440"/>
      <c r="H145" s="441"/>
      <c r="I145" s="63">
        <f aca="1">IF(AND(Godina=2024,MID(Osnovni_podaci!D20,3,1)="p",Osnovni_podaci!L24=0,Osnovni_podaci!G24=0,MID(Osnovni_podaci!D20,3,1)="p",MID(Osnovni_podaci!D20,8,1)="k"),VLOOKUP($B145,T_Aop[],4,1),A1)</f>
        <v>154</v>
      </c>
      <c r="J145" s="120"/>
      <c r="K145" s="430"/>
      <c r="L145" s="431"/>
      <c r="M145" s="150" t="n">
        <v>329000</v>
      </c>
      <c r="N145" s="151" t="n">
        <v>374000</v>
      </c>
      <c r="P145" s="52"/>
    </row>
    <row r="146" spans="2:16">
      <c r="B146" s="25" t="n">
        <v>122</v>
      </c>
      <c r="C146" s="271">
        <f aca="1">IF(AND(Godina=2024,MID(Osnovni_podaci!D20,3,1)="p",Osnovni_podaci!L24=0,Osnovni_podaci!G24=0,MID(Osnovni_podaci!D20,3,1)="p",MID(Osnovni_podaci!D20,8,1)="k"),VLOOKUP($B146,T_Aop[],5,1),A1)</f>
        <v>43</v>
      </c>
      <c r="D146" s="436" t="str">
        <f aca="1">IF(AND(Godina=2024,MID(Osnovni_podaci!D20,3,1)="p",Osnovni_podaci!L24=0,Osnovni_podaci!G24=0,MID(Osnovni_podaci!D20,3,1)="p",MID(Osnovni_podaci!D20,8,1)="k"),VLOOKUP($B146,T_Aop[],6,1),A1)</f>
        <v>    2. Obaveze iz poslovanja (156 do 160)</v>
      </c>
      <c r="E146" s="437"/>
      <c r="F146" s="437"/>
      <c r="G146" s="437"/>
      <c r="H146" s="438"/>
      <c r="I146" s="65">
        <f aca="1">IF(AND(Godina=2024,MID(Osnovni_podaci!D20,3,1)="p",Osnovni_podaci!L24=0,Osnovni_podaci!G24=0,MID(Osnovni_podaci!D20,3,1)="p",MID(Osnovni_podaci!D20,8,1)="k"),VLOOKUP($B146,T_Aop[],4,1),A1)</f>
        <v>155</v>
      </c>
      <c r="J146" s="122"/>
      <c r="K146" s="432"/>
      <c r="L146" s="433"/>
      <c r="M146" s="338">
        <f>SUBTOTAL(9,M147:M151)</f>
        <v>3867334</v>
      </c>
      <c r="N146" s="343">
        <f>SUBTOTAL(9,N147:N151)</f>
        <v>3589274</v>
      </c>
      <c r="P146" s="52"/>
    </row>
    <row r="147" spans="2:16">
      <c r="B147" s="25" t="n">
        <v>123</v>
      </c>
      <c r="C147" s="272" t="str">
        <f aca="1">IF(AND(Godina=2024,MID(Osnovni_podaci!D20,3,1)="p",Osnovni_podaci!L24=0,Osnovni_podaci!G24=0,MID(Osnovni_podaci!D20,3,1)="p",MID(Osnovni_podaci!D20,8,1)="k"),VLOOKUP($B147,T_Aop[],5,1),A1)</f>
        <v>430 i 436</v>
      </c>
      <c r="D147" s="439" t="str">
        <f aca="1">IF(AND(Godina=2024,MID(Osnovni_podaci!D20,3,1)="p",Osnovni_podaci!L24=0,Osnovni_podaci!G24=0,MID(Osnovni_podaci!D20,3,1)="p",MID(Osnovni_podaci!D20,8,1)="k"),VLOOKUP($B147,T_Aop[],6,1),A1)</f>
        <v>      2.1. Primljeni avansi, depoziti i kaucije</v>
      </c>
      <c r="E147" s="440"/>
      <c r="F147" s="440"/>
      <c r="G147" s="440"/>
      <c r="H147" s="441"/>
      <c r="I147" s="63">
        <f aca="1">IF(AND(Godina=2024,MID(Osnovni_podaci!D20,3,1)="p",Osnovni_podaci!L24=0,Osnovni_podaci!G24=0,MID(Osnovni_podaci!D20,3,1)="p",MID(Osnovni_podaci!D20,8,1)="k"),VLOOKUP($B147,T_Aop[],4,1),A1)</f>
        <v>156</v>
      </c>
      <c r="J147" s="120"/>
      <c r="K147" s="430"/>
      <c r="L147" s="431"/>
      <c r="M147" s="150" t="n">
        <v>358433</v>
      </c>
      <c r="N147" s="151" t="n">
        <v>238228</v>
      </c>
      <c r="P147" s="52"/>
    </row>
    <row r="148" spans="2:16">
      <c r="B148" s="25" t="n">
        <v>124</v>
      </c>
      <c r="C148" s="271">
        <f aca="1">IF(AND(Godina=2024,MID(Osnovni_podaci!D20,3,1)="p",Osnovni_podaci!L24=0,Osnovni_podaci!G24=0,MID(Osnovni_podaci!D20,3,1)="p",MID(Osnovni_podaci!D20,8,1)="k"),VLOOKUP($B148,T_Aop[],5,1),A1)</f>
        <v>431</v>
      </c>
      <c r="D148" s="436" t="str">
        <f aca="1">IF(AND(Godina=2024,MID(Osnovni_podaci!D20,3,1)="p",Osnovni_podaci!L24=0,Osnovni_podaci!G24=0,MID(Osnovni_podaci!D20,3,1)="p",MID(Osnovni_podaci!D20,8,1)="k"),VLOOKUP($B148,T_Aop[],6,1),A1)</f>
        <v>      2.2. Dobavljači – povezana pravna lica</v>
      </c>
      <c r="E148" s="437"/>
      <c r="F148" s="437"/>
      <c r="G148" s="437"/>
      <c r="H148" s="438"/>
      <c r="I148" s="65">
        <f aca="1">IF(AND(Godina=2024,MID(Osnovni_podaci!D20,3,1)="p",Osnovni_podaci!L24=0,Osnovni_podaci!G24=0,MID(Osnovni_podaci!D20,3,1)="p",MID(Osnovni_podaci!D20,8,1)="k"),VLOOKUP($B148,T_Aop[],4,1),A1)</f>
        <v>157</v>
      </c>
      <c r="J148" s="122"/>
      <c r="K148" s="432"/>
      <c r="L148" s="433"/>
      <c r="M148" s="152" t="n">
        <v>2327562</v>
      </c>
      <c r="N148" s="153" t="n">
        <v>2107496</v>
      </c>
      <c r="P148" s="52"/>
    </row>
    <row r="149" spans="2:16">
      <c r="B149" s="25" t="n">
        <v>125</v>
      </c>
      <c r="C149" s="272" t="str">
        <f aca="1">IF(AND(Godina=2024,MID(Osnovni_podaci!D20,3,1)="p",Osnovni_podaci!L24=0,Osnovni_podaci!G24=0,MID(Osnovni_podaci!D20,3,1)="p",MID(Osnovni_podaci!D20,8,1)="k"),VLOOKUP($B149,T_Aop[],5,1),A1)</f>
        <v>432, 433, 434</v>
      </c>
      <c r="D149" s="439" t="str">
        <f aca="1">IF(AND(Godina=2024,MID(Osnovni_podaci!D20,3,1)="p",Osnovni_podaci!L24=0,Osnovni_podaci!G24=0,MID(Osnovni_podaci!D20,3,1)="p",MID(Osnovni_podaci!D20,8,1)="k"),VLOOKUP($B149,T_Aop[],6,1),A1)</f>
        <v>      2.3. Dobavljači u zemlji</v>
      </c>
      <c r="E149" s="440"/>
      <c r="F149" s="440"/>
      <c r="G149" s="440"/>
      <c r="H149" s="441"/>
      <c r="I149" s="63">
        <f aca="1">IF(AND(Godina=2024,MID(Osnovni_podaci!D20,3,1)="p",Osnovni_podaci!L24=0,Osnovni_podaci!G24=0,MID(Osnovni_podaci!D20,3,1)="p",MID(Osnovni_podaci!D20,8,1)="k"),VLOOKUP($B149,T_Aop[],4,1),A1)</f>
        <v>158</v>
      </c>
      <c r="J149" s="120"/>
      <c r="K149" s="430"/>
      <c r="L149" s="431"/>
      <c r="M149" s="150" t="n">
        <v>1181339</v>
      </c>
      <c r="N149" s="151" t="n">
        <v>1243550</v>
      </c>
      <c r="P149" s="52"/>
    </row>
    <row r="150" spans="2:16">
      <c r="B150" s="25" t="n">
        <v>126</v>
      </c>
      <c r="C150" s="271">
        <f aca="1">IF(AND(Godina=2024,MID(Osnovni_podaci!D20,3,1)="p",Osnovni_podaci!L24=0,Osnovni_podaci!G24=0,MID(Osnovni_podaci!D20,3,1)="p",MID(Osnovni_podaci!D20,8,1)="k"),VLOOKUP($B150,T_Aop[],5,1),A1)</f>
        <v>435</v>
      </c>
      <c r="D150" s="436" t="str">
        <f aca="1">IF(AND(Godina=2024,MID(Osnovni_podaci!D20,3,1)="p",Osnovni_podaci!L24=0,Osnovni_podaci!G24=0,MID(Osnovni_podaci!D20,3,1)="p",MID(Osnovni_podaci!D20,8,1)="k"),VLOOKUP($B150,T_Aop[],6,1),A1)</f>
        <v>      2.4. Dobavljači iz inostranstva</v>
      </c>
      <c r="E150" s="437"/>
      <c r="F150" s="437"/>
      <c r="G150" s="437"/>
      <c r="H150" s="438"/>
      <c r="I150" s="65">
        <f aca="1">IF(AND(Godina=2024,MID(Osnovni_podaci!D20,3,1)="p",Osnovni_podaci!L24=0,Osnovni_podaci!G24=0,MID(Osnovni_podaci!D20,3,1)="p",MID(Osnovni_podaci!D20,8,1)="k"),VLOOKUP($B150,T_Aop[],4,1),A1)</f>
        <v>159</v>
      </c>
      <c r="J150" s="122"/>
      <c r="K150" s="432"/>
      <c r="L150" s="433"/>
      <c r="M150" s="152"/>
      <c r="N150" s="153"/>
      <c r="P150" s="52"/>
    </row>
    <row r="151" spans="2:16">
      <c r="B151" s="25" t="n">
        <v>127</v>
      </c>
      <c r="C151" s="272" t="str">
        <f aca="1">IF(AND(Godina=2024,MID(Osnovni_podaci!D20,3,1)="p",Osnovni_podaci!L24=0,Osnovni_podaci!G24=0,MID(Osnovni_podaci!D20,3,1)="p",MID(Osnovni_podaci!D20,8,1)="k"),VLOOKUP($B151,T_Aop[],5,1),A1)</f>
        <v>437, 439</v>
      </c>
      <c r="D151" s="439" t="str">
        <f aca="1">IF(AND(Godina=2024,MID(Osnovni_podaci!D20,3,1)="p",Osnovni_podaci!L24=0,Osnovni_podaci!G24=0,MID(Osnovni_podaci!D20,3,1)="p",MID(Osnovni_podaci!D20,8,1)="k"),VLOOKUP($B151,T_Aop[],6,1),A1)</f>
        <v>      2.5. Ostale obaveze iz poslovanja</v>
      </c>
      <c r="E151" s="440"/>
      <c r="F151" s="440"/>
      <c r="G151" s="440"/>
      <c r="H151" s="441"/>
      <c r="I151" s="63">
        <f aca="1">IF(AND(Godina=2024,MID(Osnovni_podaci!D20,3,1)="p",Osnovni_podaci!L24=0,Osnovni_podaci!G24=0,MID(Osnovni_podaci!D20,3,1)="p",MID(Osnovni_podaci!D20,8,1)="k"),VLOOKUP($B151,T_Aop[],4,1),A1)</f>
        <v>160</v>
      </c>
      <c r="J151" s="120"/>
      <c r="K151" s="430"/>
      <c r="L151" s="431"/>
      <c r="M151" s="150"/>
      <c r="N151" s="151"/>
      <c r="P151" s="52"/>
    </row>
    <row r="152" spans="2:16">
      <c r="B152" s="25" t="n">
        <v>128</v>
      </c>
      <c r="C152" s="271" t="str">
        <f aca="1">IF(AND(Godina=2024,MID(Osnovni_podaci!D20,3,1)="p",Osnovni_podaci!L24=0,Osnovni_podaci!G24=0,MID(Osnovni_podaci!D20,3,1)="p",MID(Osnovni_podaci!D20,8,1)="k"),VLOOKUP($B152,T_Aop[],5,1),A1)</f>
        <v>440 do 449</v>
      </c>
      <c r="D152" s="436" t="str">
        <f aca="1">IF(AND(Godina=2024,MID(Osnovni_podaci!D20,3,1)="p",Osnovni_podaci!L24=0,Osnovni_podaci!G24=0,MID(Osnovni_podaci!D20,3,1)="p",MID(Osnovni_podaci!D20,8,1)="k"),VLOOKUP($B152,T_Aop[],6,1),A1)</f>
        <v>    3. Obaveze iz specifičnih poslova</v>
      </c>
      <c r="E152" s="437"/>
      <c r="F152" s="437"/>
      <c r="G152" s="437"/>
      <c r="H152" s="438"/>
      <c r="I152" s="65">
        <f aca="1">IF(AND(Godina=2024,MID(Osnovni_podaci!D20,3,1)="p",Osnovni_podaci!L24=0,Osnovni_podaci!G24=0,MID(Osnovni_podaci!D20,3,1)="p",MID(Osnovni_podaci!D20,8,1)="k"),VLOOKUP($B152,T_Aop[],4,1),A1)</f>
        <v>161</v>
      </c>
      <c r="J152" s="122"/>
      <c r="K152" s="432"/>
      <c r="L152" s="433"/>
      <c r="M152" s="152"/>
      <c r="N152" s="123"/>
      <c r="P152" s="52"/>
    </row>
    <row r="153" spans="2:16">
      <c r="B153" s="25" t="n">
        <v>129</v>
      </c>
      <c r="C153" s="272" t="str">
        <f aca="1">IF(AND(Godina=2024,MID(Osnovni_podaci!D20,3,1)="p",Osnovni_podaci!L24=0,Osnovni_podaci!G24=0,MID(Osnovni_podaci!D20,3,1)="p",MID(Osnovni_podaci!D20,8,1)="k"),VLOOKUP($B153,T_Aop[],5,1),A1)</f>
        <v>450 do 458</v>
      </c>
      <c r="D153" s="439" t="str">
        <f aca="1">IF(AND(Godina=2024,MID(Osnovni_podaci!D20,3,1)="p",Osnovni_podaci!L24=0,Osnovni_podaci!G24=0,MID(Osnovni_podaci!D20,3,1)="p",MID(Osnovni_podaci!D20,8,1)="k"),VLOOKUP($B153,T_Aop[],6,1),A1)</f>
        <v>    4. Obaveze za plate i naknade plata</v>
      </c>
      <c r="E153" s="440"/>
      <c r="F153" s="440"/>
      <c r="G153" s="440"/>
      <c r="H153" s="441"/>
      <c r="I153" s="63">
        <f aca="1">IF(AND(Godina=2024,MID(Osnovni_podaci!D20,3,1)="p",Osnovni_podaci!L24=0,Osnovni_podaci!G24=0,MID(Osnovni_podaci!D20,3,1)="p",MID(Osnovni_podaci!D20,8,1)="k"),VLOOKUP($B153,T_Aop[],4,1),A1)</f>
        <v>162</v>
      </c>
      <c r="J153" s="120"/>
      <c r="K153" s="430"/>
      <c r="L153" s="431"/>
      <c r="M153" s="150" t="n">
        <v>33008</v>
      </c>
      <c r="N153" s="121" t="n">
        <v>28124</v>
      </c>
      <c r="P153" s="52"/>
    </row>
    <row r="154" spans="2:16">
      <c r="B154" s="25" t="n">
        <v>130</v>
      </c>
      <c r="C154" s="271" t="str">
        <f aca="1">IF(AND(Godina=2024,MID(Osnovni_podaci!D20,3,1)="p",Osnovni_podaci!L24=0,Osnovni_podaci!G24=0,MID(Osnovni_podaci!D20,3,1)="p",MID(Osnovni_podaci!D20,8,1)="k"),VLOOKUP($B154,T_Aop[],5,1),A1)</f>
        <v>460 do 469</v>
      </c>
      <c r="D154" s="436" t="str">
        <f aca="1">IF(AND(Godina=2024,MID(Osnovni_podaci!D20,3,1)="p",Osnovni_podaci!L24=0,Osnovni_podaci!G24=0,MID(Osnovni_podaci!D20,3,1)="p",MID(Osnovni_podaci!D20,8,1)="k"),VLOOKUP($B154,T_Aop[],6,1),A1)</f>
        <v>    5. Ostale obaveze</v>
      </c>
      <c r="E154" s="437"/>
      <c r="F154" s="437"/>
      <c r="G154" s="437"/>
      <c r="H154" s="438"/>
      <c r="I154" s="65">
        <f aca="1">IF(AND(Godina=2024,MID(Osnovni_podaci!D20,3,1)="p",Osnovni_podaci!L24=0,Osnovni_podaci!G24=0,MID(Osnovni_podaci!D20,3,1)="p",MID(Osnovni_podaci!D20,8,1)="k"),VLOOKUP($B154,T_Aop[],4,1),A1)</f>
        <v>163</v>
      </c>
      <c r="J154" s="122"/>
      <c r="K154" s="432"/>
      <c r="L154" s="433"/>
      <c r="M154" s="152" t="n">
        <v>14614</v>
      </c>
      <c r="N154" s="123" t="n">
        <v>12184</v>
      </c>
      <c r="P154" s="52"/>
    </row>
    <row r="155" spans="2:16">
      <c r="B155" s="25" t="n">
        <v>131</v>
      </c>
      <c r="C155" s="272" t="str">
        <f aca="1">IF(AND(Godina=2024,MID(Osnovni_podaci!D20,3,1)="p",Osnovni_podaci!L24=0,Osnovni_podaci!G24=0,MID(Osnovni_podaci!D20,3,1)="p",MID(Osnovni_podaci!D20,8,1)="k"),VLOOKUP($B155,T_Aop[],5,1),A1)</f>
        <v>470 do 479</v>
      </c>
      <c r="D155" s="439" t="str">
        <f aca="1">IF(AND(Godina=2024,MID(Osnovni_podaci!D20,3,1)="p",Osnovni_podaci!L24=0,Osnovni_podaci!G24=0,MID(Osnovni_podaci!D20,3,1)="p",MID(Osnovni_podaci!D20,8,1)="k"),VLOOKUP($B155,T_Aop[],6,1),A1)</f>
        <v>    6. Porez na dodatu vrijednost</v>
      </c>
      <c r="E155" s="440"/>
      <c r="F155" s="440"/>
      <c r="G155" s="440"/>
      <c r="H155" s="441"/>
      <c r="I155" s="63">
        <f aca="1">IF(AND(Godina=2024,MID(Osnovni_podaci!D20,3,1)="p",Osnovni_podaci!L24=0,Osnovni_podaci!G24=0,MID(Osnovni_podaci!D20,3,1)="p",MID(Osnovni_podaci!D20,8,1)="k"),VLOOKUP($B155,T_Aop[],4,1),A1)</f>
        <v>164</v>
      </c>
      <c r="J155" s="120"/>
      <c r="K155" s="430"/>
      <c r="L155" s="431"/>
      <c r="M155" s="150" t="n">
        <v>4309</v>
      </c>
      <c r="N155" s="121" t="n">
        <v>16226</v>
      </c>
      <c r="P155" s="52"/>
    </row>
    <row r="156" spans="2:16" ht="12.75" customHeight="1">
      <c r="B156" s="25" t="n">
        <v>132</v>
      </c>
      <c r="C156" s="271" t="str">
        <f aca="1">IF(AND(Godina=2024,MID(Osnovni_podaci!D20,3,1)="p",Osnovni_podaci!L24=0,Osnovni_podaci!G24=0,MID(Osnovni_podaci!D20,3,1)="p",MID(Osnovni_podaci!D20,8,1)="k"),VLOOKUP($B156,T_Aop[],5,1),A1)</f>
        <v>48, osim 481</v>
      </c>
      <c r="D156" s="436" t="str">
        <f aca="1">IF(AND(Godina=2024,MID(Osnovni_podaci!D20,3,1)="p",Osnovni_podaci!L24=0,Osnovni_podaci!G24=0,MID(Osnovni_podaci!D20,3,1)="p",MID(Osnovni_podaci!D20,8,1)="k"),VLOOKUP($B156,T_Aop[],6,1),A1)</f>
        <v>    7. Obaveze za ostale poreze, doprinose i druge dažbine</v>
      </c>
      <c r="E156" s="437"/>
      <c r="F156" s="437"/>
      <c r="G156" s="437"/>
      <c r="H156" s="438"/>
      <c r="I156" s="65">
        <f aca="1">IF(AND(Godina=2024,MID(Osnovni_podaci!D20,3,1)="p",Osnovni_podaci!L24=0,Osnovni_podaci!G24=0,MID(Osnovni_podaci!D20,3,1)="p",MID(Osnovni_podaci!D20,8,1)="k"),VLOOKUP($B156,T_Aop[],4,1),A1)</f>
        <v>165</v>
      </c>
      <c r="J156" s="122"/>
      <c r="K156" s="432"/>
      <c r="L156" s="433"/>
      <c r="M156" s="152" t="n">
        <v>19122</v>
      </c>
      <c r="N156" s="123" t="n">
        <v>23781</v>
      </c>
      <c r="P156" s="52"/>
    </row>
    <row r="157" spans="2:16" ht="10.50" customHeight="1">
      <c r="B157" s="25" t="n">
        <v>133</v>
      </c>
      <c r="C157" s="272">
        <f aca="1">IF(AND(Godina=2024,MID(Osnovni_podaci!D20,3,1)="p",Osnovni_podaci!L24=0,Osnovni_podaci!G24=0,MID(Osnovni_podaci!D20,3,1)="p",MID(Osnovni_podaci!D20,8,1)="k"),VLOOKUP($B157,T_Aop[],5,1),A1)</f>
        <v>481</v>
      </c>
      <c r="D157" s="439" t="str">
        <f aca="1">IF(AND(Godina=2024,MID(Osnovni_podaci!D20,3,1)="p",Osnovni_podaci!L24=0,Osnovni_podaci!G24=0,MID(Osnovni_podaci!D20,3,1)="p",MID(Osnovni_podaci!D20,8,1)="k"),VLOOKUP($B157,T_Aop[],6,1),A1)</f>
        <v>    8. Obaveze za porez na dobit</v>
      </c>
      <c r="E157" s="440"/>
      <c r="F157" s="440"/>
      <c r="G157" s="440"/>
      <c r="H157" s="441"/>
      <c r="I157" s="63">
        <f aca="1">IF(AND(Godina=2024,MID(Osnovni_podaci!D20,3,1)="p",Osnovni_podaci!L24=0,Osnovni_podaci!G24=0,MID(Osnovni_podaci!D20,3,1)="p",MID(Osnovni_podaci!D20,8,1)="k"),VLOOKUP($B157,T_Aop[],4,1),A1)</f>
        <v>166</v>
      </c>
      <c r="J157" s="120"/>
      <c r="K157" s="430"/>
      <c r="L157" s="431"/>
      <c r="M157" s="150" t="n">
        <v>1349</v>
      </c>
      <c r="N157" s="121" t="n">
        <v>1199</v>
      </c>
      <c r="P157" s="52"/>
    </row>
    <row r="158" spans="2:16" ht="12.75" customHeight="1">
      <c r="B158" s="25" t="n">
        <v>134</v>
      </c>
      <c r="C158" s="271" t="str">
        <f aca="1">IF(AND(Godina=2024,MID(Osnovni_podaci!D20,3,1)="p",Osnovni_podaci!L24=0,Osnovni_podaci!G24=0,MID(Osnovni_podaci!D20,3,1)="p",MID(Osnovni_podaci!D20,8,1)="k"),VLOOKUP($B158,T_Aop[],5,1),A1)</f>
        <v>49, osim 496</v>
      </c>
      <c r="D158" s="436" t="str">
        <f aca="1">IF(AND(Godina=2024,MID(Osnovni_podaci!D20,3,1)="p",Osnovni_podaci!L24=0,Osnovni_podaci!G24=0,MID(Osnovni_podaci!D20,3,1)="p",MID(Osnovni_podaci!D20,8,1)="k"),VLOOKUP($B158,T_Aop[],6,1),A1)</f>
        <v>    9. Kratkoročna razgraničenja</v>
      </c>
      <c r="E158" s="437"/>
      <c r="F158" s="437"/>
      <c r="G158" s="437"/>
      <c r="H158" s="438"/>
      <c r="I158" s="65">
        <f aca="1">IF(AND(Godina=2024,MID(Osnovni_podaci!D20,3,1)="p",Osnovni_podaci!L24=0,Osnovni_podaci!G24=0,MID(Osnovni_podaci!D20,3,1)="p",MID(Osnovni_podaci!D20,8,1)="k"),VLOOKUP($B158,T_Aop[],4,1),A1)</f>
        <v>167</v>
      </c>
      <c r="J158" s="122"/>
      <c r="K158" s="432"/>
      <c r="L158" s="433"/>
      <c r="M158" s="152" t="n">
        <v>306353</v>
      </c>
      <c r="N158" s="153" t="n">
        <v>204598</v>
      </c>
      <c r="P158" s="52"/>
    </row>
    <row r="159" spans="2:14" ht="12.75" customHeight="1">
      <c r="B159" s="25" t="n">
        <v>135</v>
      </c>
      <c r="C159" s="272">
        <f>VLOOKUP($B159,T_Aop[],5,1)</f>
        <v>496</v>
      </c>
      <c r="D159" s="439" t="str">
        <f aca="1">IF(AND(Godina=2024,MID(Osnovni_podaci!D20,3,1)="p",Osnovni_podaci!L24=0,Osnovni_podaci!G24=0,MID(Osnovni_podaci!D20,3,1)="p",MID(Osnovni_podaci!D20,8,1)="k"),VLOOKUP($B159,T_Aop[],6,1),A1)</f>
        <v>    10. Kratkoročna rezervisanja</v>
      </c>
      <c r="E159" s="440"/>
      <c r="F159" s="440"/>
      <c r="G159" s="440"/>
      <c r="H159" s="441"/>
      <c r="I159" s="63">
        <f aca="1">IF(AND(Godina=2024,MID(Osnovni_podaci!D20,3,1)="p",Osnovni_podaci!L24=0,Osnovni_podaci!G24=0,MID(Osnovni_podaci!D20,3,1)="p",MID(Osnovni_podaci!D20,8,1)="k"),VLOOKUP($B159,T_Aop[],4,1),A1)</f>
        <v>168</v>
      </c>
      <c r="J159" s="120"/>
      <c r="K159" s="430"/>
      <c r="L159" s="431"/>
      <c r="M159" s="150"/>
      <c r="N159" s="151"/>
    </row>
    <row r="160" spans="2:14" ht="6" customHeight="1">
      <c r="B160" s="25" t="n">
        <v>136</v>
      </c>
      <c r="C160" s="271"/>
      <c r="D160" s="436" t="str">
        <f aca="1">IF(AND(Godina=2024,MID(Osnovni_podaci!D20,3,1)="p",Osnovni_podaci!L24=0,Osnovni_podaci!G24=0,MID(Osnovni_podaci!D20,3,1)="p",MID(Osnovni_podaci!D20,8,1)="k"),VLOOKUP($B160,T_Aop[],6,1),A1)</f>
        <v/>
      </c>
      <c r="E160" s="437"/>
      <c r="F160" s="437"/>
      <c r="G160" s="437"/>
      <c r="H160" s="438"/>
      <c r="I160" s="133">
        <f aca="1">IF(AND(Godina=2024,MID(Osnovni_podaci!D20,3,1)="p",Osnovni_podaci!L24=0,Osnovni_podaci!G24=0,MID(Osnovni_podaci!D20,3,1)="p",MID(Osnovni_podaci!D20,8,1)="k"),VLOOKUP($B160,T_Aop[],4,1),A1)</f>
        <v>0</v>
      </c>
      <c r="J160" s="122"/>
      <c r="K160" s="432"/>
      <c r="L160" s="433"/>
      <c r="M160" s="152"/>
      <c r="N160" s="153"/>
    </row>
    <row r="161" spans="2:14" ht="12.75" customHeight="1">
      <c r="B161" s="25" t="n">
        <v>137</v>
      </c>
      <c r="C161" s="272"/>
      <c r="D161" s="446" t="str">
        <f aca="1">IF(AND(Godina=2024,MID(Osnovni_podaci!D20,3,1)="p",Osnovni_podaci!L24=0,Osnovni_podaci!G24=0,MID(Osnovni_podaci!D20,3,1)="p",MID(Osnovni_podaci!D20,8,1)="k"),VLOOKUP($B161,T_Aop[],6,1),A1)</f>
        <v>  D. BILANSNA PASIVA (101 + 132 + 146 + 147)</v>
      </c>
      <c r="E161" s="447"/>
      <c r="F161" s="447"/>
      <c r="G161" s="447"/>
      <c r="H161" s="448"/>
      <c r="I161" s="134">
        <f aca="1">IF(AND(Godina=2024,MID(Osnovni_podaci!D20,3,1)="p",Osnovni_podaci!L24=0,Osnovni_podaci!G24=0,MID(Osnovni_podaci!D20,3,1)="p",MID(Osnovni_podaci!D20,8,1)="k"),VLOOKUP($B161,T_Aop[],4,1),A1)</f>
        <v>169</v>
      </c>
      <c r="J161" s="120"/>
      <c r="K161" s="430"/>
      <c r="L161" s="431"/>
      <c r="M161" s="297">
        <f>SUBTOTAL(9,M93:M100,M106:M109,M104,M110:M112,M113,M115:M118,M122:M159)-SUBTOTAL(9,M114,M101:M103,M105,M119:M121)</f>
        <v>7399222</v>
      </c>
      <c r="N161" s="300">
        <f>SUBTOTAL(9,N93:N100,N106:N109,N104,N110:N112,N113,N115:N118,N122:N159)-SUBTOTAL(9,N114,N101:N103,N105,N119:N121)</f>
        <v>7158739</v>
      </c>
    </row>
    <row r="162" spans="2:14" ht="9.75" customHeight="1">
      <c r="B162" s="25" t="n">
        <v>138</v>
      </c>
      <c r="C162" s="276" t="str">
        <f>VLOOKUP($B162,T_Aop[],5,1)</f>
        <v>890 do 898</v>
      </c>
      <c r="D162" s="483" t="str">
        <f aca="1">IF(AND(Godina=2024,MID(Osnovni_podaci!D20,3,1)="p",Osnovni_podaci!L24=0,Osnovni_podaci!G24=0,MID(Osnovni_podaci!D20,3,1)="p",MID(Osnovni_podaci!D20,8,1)="k"),VLOOKUP($B162,T_Aop[],6,1),A1)</f>
        <v>  Đ. VANBILANSNA PASIVA</v>
      </c>
      <c r="E162" s="484"/>
      <c r="F162" s="484"/>
      <c r="G162" s="484"/>
      <c r="H162" s="485"/>
      <c r="I162" s="136">
        <f aca="1">IF(AND(Godina=2024,MID(Osnovni_podaci!D20,3,1)="p",Osnovni_podaci!L24=0,Osnovni_podaci!G24=0,MID(Osnovni_podaci!D20,3,1)="p",MID(Osnovni_podaci!D20,8,1)="k"),VLOOKUP($B162,T_Aop[],4,1),A1)</f>
        <v>170</v>
      </c>
      <c r="J162" s="302"/>
      <c r="K162" s="434"/>
      <c r="L162" s="435"/>
      <c r="M162" s="330"/>
      <c r="N162" s="332"/>
    </row>
    <row r="163" spans="1:1" ht="9.75" customHeight="1"/>
    <row r="164" spans="1:1" hidden="1" ht="3" customHeight="1">
      <extLst>
        <ext uri="smNativeData">
          <pm:rowDef xmlns:pm="smNativeData" id="1714042646" r="164" hidden="1" collapsedDB="0" collapsedOL="0"/>
        </ext>
      </extLst>
    </row>
    <row r="165" spans="3:6" hidden="1" ht="1" customHeight="1">
      <c r="C165" s="140"/>
      <c r="D165" s="383"/>
      <c r="E165"/>
      <c r="F165" s="60"/>
      <extLst>
        <ext uri="smNativeData">
          <pm:rowDef xmlns:pm="smNativeData" id="1714042646" r="165" hidden="1" collapsedDB="0" collapsedOL="0"/>
        </ext>
      </extLst>
    </row>
    <row r="166" spans="3:20" ht="25.50" customHeight="1">
      <c r="C166" s="140" t="str">
        <f aca="1">Podnozje_U</f>
        <v>U:</v>
      </c>
      <c r="D166" s="317" t="str">
        <f aca="1">Podatak_U</f>
        <v>Pelagićevu</v>
      </c>
      <c r="E166"/>
      <c r="F166" s="60" t="str">
        <f aca="1">Podnozje_Lice_sa_licencom</f>
        <v>Lice sa licencom:</v>
      </c>
      <c r="G166" s="22"/>
      <c r="H166" s="24" t="str">
        <f aca="1">Podnozje_Broj_licence</f>
        <v>Broj licence:</v>
      </c>
      <c r="J166" s="45" t="str">
        <f aca="1">Podnozje_MP</f>
        <v>(M.P.)</v>
      </c>
      <c r="L166" s="18" t="str">
        <f aca="1">Podnozje_Direktor</f>
        <v>Lice ovlašćeno za zastupanje:</v>
      </c>
      <c r="M166" s="18"/>
      <c r="N166" s="18"/>
      <c r="O166" s="24"/>
      <c r="P166" s="24"/>
      <c r="Q166" s="24"/>
      <c r="R166" s="24"/>
      <c r="S166" s="24"/>
      <c r="T166" s="37"/>
    </row>
    <row r="167" spans="4:20" ht="20.25" customHeight="1">
      <c r="D167" s="25"/>
      <c r="E167" t="s">
        <v>50</v>
      </c>
      <c r="F167" t="str">
        <f aca="1">Podatak_Lice_sa_licencom</f>
        <v>Jokica Gavrić</v>
      </c>
      <c r="G167"/>
      <c r="H167" s="22" t="str">
        <f aca="1">Podatak_Broj_Licence</f>
        <v>srt-0336/24</v>
      </c>
      <c r="I167"/>
      <c r="L167" s="183" t="str">
        <f aca="1">Podatak_Direktor</f>
        <v>Obavezan unos podataka u formi!</v>
      </c>
      <c r="M167" s="183"/>
      <c r="N167" s="183"/>
      <c r="O167" s="24"/>
      <c r="P167" s="24"/>
      <c r="R167" s="24"/>
      <c r="S167" s="24"/>
      <c r="T167" s="37"/>
    </row>
    <row r="168" spans="3:20" ht="24" customHeight="1">
      <c r="C168" s="140" t="str">
        <f aca="1">Podnozje_Dana</f>
        <v>Dana:</v>
      </c>
      <c r="D168" s="317" t="str">
        <f aca="1">Podatak_Dana</f>
        <v>30.03.2024.</v>
      </c>
      <c r="E168"/>
      <c r="F168" s="316"/>
      <c r="G168"/>
      <c r="H168" s="22"/>
      <c r="I168" s="22"/>
      <c r="J168" s="22"/>
      <c r="L168" s="49"/>
      <c r="M168" s="49"/>
      <c r="N168" s="383"/>
      <c r="O168" s="24"/>
      <c r="P168" s="24"/>
      <c r="Q168" s="24"/>
      <c r="R168" s="24"/>
      <c r="S168" s="24"/>
      <c r="T168" s="37"/>
    </row>
    <row r="169" spans="1:1" ht="18.75" customHeight="1"/>
    <row r="170" spans="3:12" ht="14.25" customHeight="1">
      <c r="C170" s="140"/>
      <c r="D170" s="383"/>
      <c r="E170"/>
      <c r="F170" s="60"/>
      <c r="G170" s="22"/>
      <c r="H170" s="22" t="str">
        <f>_xlfn.TEXTJOIN(" ",FALSE,Osnovni_podaci!D66,Osnovni_podaci!D68)</f>
        <v> </v>
      </c>
      <c r="I170" s="45"/>
      <c r="J170" s="492"/>
      <c r="K170" s="492"/>
      <c r="L170" s="492"/>
    </row>
    <row r="171" spans="4:12" hidden="1">
      <c r="D171" s="25"/>
      <c r="E171"/>
      <c r="F171"/>
      <c r="G171"/>
      <c r="H171" s="22"/>
      <c r="I171"/>
      <c r="J171" s="298" t="s">
        <v>68</v>
      </c>
      <c r="K171" s="298"/>
      <c r="L171" s="298"/>
      <extLst>
        <ext uri="smNativeData">
          <pm:rowDef xmlns:pm="smNativeData" id="1714042646" r="171" hidden="1" collapsedDB="0" collapsedOL="0"/>
        </ext>
      </extLst>
    </row>
    <row r="172" spans="3:12" hidden="1">
      <c r="C172" s="140"/>
      <c r="D172" s="317"/>
      <c r="E172"/>
      <c r="F172" s="316"/>
      <c r="G172"/>
      <c r="H172" s="22"/>
      <c r="I172" s="22"/>
      <c r="J172" s="22"/>
      <c r="K172" s="49"/>
      <c r="L172" s="49"/>
      <extLst>
        <ext uri="smNativeData">
          <pm:rowDef xmlns:pm="smNativeData" id="1714042646" r="172" hidden="1" collapsedDB="0" collapsedOL="0"/>
        </ext>
      </extLst>
    </row>
    <row r="173" spans="3:10" hidden="1">
      <c r="C173" s="22"/>
      <c r="D173" s="22"/>
      <c r="E173" s="48"/>
      <c r="F173" s="22"/>
      <c r="G173" s="47"/>
      <c r="H173"/>
      <c r="I173" s="22"/>
      <c r="J173" s="22"/>
      <extLst>
        <ext uri="smNativeData">
          <pm:rowDef xmlns:pm="smNativeData" id="1714042646" r="173" hidden="1" collapsedDB="0" collapsedOL="0"/>
        </ext>
      </extLst>
    </row>
    <row r="174" spans="3:11" hidden="1">
      <c r="C174" s="45"/>
      <c r="D174" s="48"/>
      <c r="E174" s="48"/>
      <c r="F174" s="48"/>
      <c r="G174" s="48"/>
      <c r="H174" s="22"/>
      <c r="I174" s="22"/>
      <c r="J174" s="45"/>
      <c r="K174" s="45"/>
      <extLst>
        <ext uri="smNativeData">
          <pm:rowDef xmlns:pm="smNativeData" id="1714042646" r="174" hidden="1" collapsedDB="0" collapsedOL="0"/>
        </ext>
      </extLst>
    </row>
    <row r="175" spans="1:1"/>
  </sheetData>
  <sheetProtection algorithmName="SHA-512" hashValue="/T+0wZROjN7/TUZDshDAAG8kfIXS/zAeK5/K8nrISFeUbdYU+SsGMG93tiRpAi28O7lbr/rNSBvlsi/s8UT0Rg==" saltValue="byKYitSE1xUUWr/zCaNzVQ==" spinCount="100000" sheet="1" autoFilter="0"/>
  <mergeCells count="241">
    <mergeCell ref="C5:E6"/>
    <mergeCell ref="C7:E7"/>
    <mergeCell ref="D8:E8"/>
    <mergeCell ref="C9:E9"/>
    <mergeCell ref="L9:N9"/>
    <mergeCell ref="C10:E10"/>
    <mergeCell ref="G10:H10"/>
    <mergeCell ref="C11:E11"/>
    <mergeCell ref="C12:E12"/>
    <mergeCell ref="C13:E13"/>
    <mergeCell ref="C14:N14"/>
    <mergeCell ref="C15:N15"/>
    <mergeCell ref="C16:N16"/>
    <mergeCell ref="K18:M18"/>
    <mergeCell ref="C18:C19"/>
    <mergeCell ref="D18:H19"/>
    <mergeCell ref="I18:I19"/>
    <mergeCell ref="J18:J19"/>
    <mergeCell ref="N18:N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C89:C90"/>
    <mergeCell ref="D89:H90"/>
    <mergeCell ref="I89:I90"/>
    <mergeCell ref="J89:J90"/>
    <mergeCell ref="K89:L90"/>
    <mergeCell ref="M89:M90"/>
    <mergeCell ref="N89:N90"/>
    <mergeCell ref="D91:H91"/>
    <mergeCell ref="D92:H92"/>
    <mergeCell ref="K92:L92"/>
    <mergeCell ref="D93:H93"/>
    <mergeCell ref="K93:L93"/>
    <mergeCell ref="D94:H94"/>
    <mergeCell ref="K94:L94"/>
    <mergeCell ref="D95:H95"/>
    <mergeCell ref="K95:L95"/>
    <mergeCell ref="D96:H96"/>
    <mergeCell ref="K96:L96"/>
    <mergeCell ref="D97:H97"/>
    <mergeCell ref="K97:L97"/>
    <mergeCell ref="D98:H98"/>
    <mergeCell ref="K98:L98"/>
    <mergeCell ref="D99:H99"/>
    <mergeCell ref="K99:L99"/>
    <mergeCell ref="D100:H100"/>
    <mergeCell ref="K100:L100"/>
    <mergeCell ref="D101:H101"/>
    <mergeCell ref="K101:L101"/>
    <mergeCell ref="D102:H102"/>
    <mergeCell ref="K102:L102"/>
    <mergeCell ref="D103:H103"/>
    <mergeCell ref="K103:L103"/>
    <mergeCell ref="D104:H104"/>
    <mergeCell ref="K104:L104"/>
    <mergeCell ref="D105:H105"/>
    <mergeCell ref="K105:L105"/>
    <mergeCell ref="D106:H106"/>
    <mergeCell ref="K106:L106"/>
    <mergeCell ref="D107:H107"/>
    <mergeCell ref="K107:L107"/>
    <mergeCell ref="D108:H108"/>
    <mergeCell ref="K108:L108"/>
    <mergeCell ref="D109:H109"/>
    <mergeCell ref="K109:L109"/>
    <mergeCell ref="D110:H110"/>
    <mergeCell ref="K110:L110"/>
    <mergeCell ref="D111:H111"/>
    <mergeCell ref="K111:L111"/>
    <mergeCell ref="D112:H112"/>
    <mergeCell ref="K112:L112"/>
    <mergeCell ref="D113:H113"/>
    <mergeCell ref="K113:L113"/>
    <mergeCell ref="D114:H114"/>
    <mergeCell ref="K114:L114"/>
    <mergeCell ref="D115:H115"/>
    <mergeCell ref="K115:L115"/>
    <mergeCell ref="D116:H116"/>
    <mergeCell ref="K116:L116"/>
    <mergeCell ref="D117:H117"/>
    <mergeCell ref="K117:L117"/>
    <mergeCell ref="D118:H118"/>
    <mergeCell ref="K118:L118"/>
    <mergeCell ref="D119:H119"/>
    <mergeCell ref="K119:L119"/>
    <mergeCell ref="D120:H120"/>
    <mergeCell ref="K120:L120"/>
    <mergeCell ref="D121:H121"/>
    <mergeCell ref="K121:L121"/>
    <mergeCell ref="D122:H122"/>
    <mergeCell ref="K122:L122"/>
    <mergeCell ref="D123:H123"/>
    <mergeCell ref="K123:L123"/>
    <mergeCell ref="D124:H124"/>
    <mergeCell ref="K124:L124"/>
    <mergeCell ref="D125:H125"/>
    <mergeCell ref="K125:L125"/>
    <mergeCell ref="D126:H126"/>
    <mergeCell ref="K126:L126"/>
    <mergeCell ref="D127:H127"/>
    <mergeCell ref="K127:L127"/>
    <mergeCell ref="D128:H128"/>
    <mergeCell ref="K128:L128"/>
    <mergeCell ref="D129:H129"/>
    <mergeCell ref="K129:L129"/>
    <mergeCell ref="D130:H130"/>
    <mergeCell ref="K130:L130"/>
    <mergeCell ref="D131:H131"/>
    <mergeCell ref="K131:L131"/>
    <mergeCell ref="D132:H132"/>
    <mergeCell ref="K132:L132"/>
    <mergeCell ref="D133:H133"/>
    <mergeCell ref="K133:L133"/>
    <mergeCell ref="D134:H134"/>
    <mergeCell ref="K134:L134"/>
    <mergeCell ref="D135:H135"/>
    <mergeCell ref="K135:L135"/>
    <mergeCell ref="D136:H136"/>
    <mergeCell ref="K136:L136"/>
    <mergeCell ref="D137:H137"/>
    <mergeCell ref="K137:L137"/>
    <mergeCell ref="D138:H138"/>
    <mergeCell ref="K138:L138"/>
    <mergeCell ref="D139:H139"/>
    <mergeCell ref="K139:L139"/>
    <mergeCell ref="D140:H140"/>
    <mergeCell ref="K140:L140"/>
    <mergeCell ref="D141:H141"/>
    <mergeCell ref="K141:L141"/>
    <mergeCell ref="D142:H142"/>
    <mergeCell ref="K142:L142"/>
    <mergeCell ref="D143:H143"/>
    <mergeCell ref="K143:L143"/>
    <mergeCell ref="D144:H144"/>
    <mergeCell ref="K144:L144"/>
    <mergeCell ref="D145:H145"/>
    <mergeCell ref="K145:L145"/>
    <mergeCell ref="D146:H146"/>
    <mergeCell ref="K146:L146"/>
    <mergeCell ref="D147:H147"/>
    <mergeCell ref="K147:L147"/>
    <mergeCell ref="D148:H148"/>
    <mergeCell ref="K148:L148"/>
    <mergeCell ref="D149:H149"/>
    <mergeCell ref="K149:L149"/>
    <mergeCell ref="D150:H150"/>
    <mergeCell ref="K150:L150"/>
    <mergeCell ref="D151:H151"/>
    <mergeCell ref="K151:L151"/>
    <mergeCell ref="D152:H152"/>
    <mergeCell ref="K152:L152"/>
    <mergeCell ref="D153:H153"/>
    <mergeCell ref="K153:L153"/>
    <mergeCell ref="D154:H154"/>
    <mergeCell ref="K154:L154"/>
    <mergeCell ref="D155:H155"/>
    <mergeCell ref="K155:L155"/>
    <mergeCell ref="D156:H156"/>
    <mergeCell ref="K156:L156"/>
    <mergeCell ref="D157:H157"/>
    <mergeCell ref="K157:L157"/>
    <mergeCell ref="D158:H158"/>
    <mergeCell ref="K158:L158"/>
    <mergeCell ref="D159:H159"/>
    <mergeCell ref="K159:L159"/>
    <mergeCell ref="D160:H160"/>
    <mergeCell ref="K160:L160"/>
    <mergeCell ref="D161:H161"/>
    <mergeCell ref="K161:L161"/>
    <mergeCell ref="D162:H162"/>
    <mergeCell ref="K162:L162"/>
    <mergeCell ref="F167:G167"/>
    <mergeCell ref="J170:L170"/>
    <mergeCell ref="F171:G171"/>
    <mergeCell ref="J171:L171"/>
  </mergeCells>
  <dataValidations count="5">
    <dataValidation sqref="K21:L22 N21:N22 M21:M41 K28:L28 N28 K37:L37 N37 K42:N42 M43:M87 K45:L45 N45 K50:L50 N50 K56:L57 N56:N57 K64:L65 N64:N65 K72:L73 N72:N73 K81:L81 N81 K86:L86 N86 M92:N94 M101:N101 M106 M106 N106 M110:N110 M115:N115 M119:N119 M123:N124 M128:N128 M138:N139 M146 N146 M161:N161" type="whole" operator="greaterThanOrEqual" errorStyle="stop" allowBlank="1" showInputMessage="1" showErrorMessage="1" prompt="U ovo polje se ne unosi iznos._x000a_Polje se automatski računa u skladu sa formulom." errorTitle="Greška" error="Unose se vrijednosti u konvertibilnim markama, bez decimalnih mjesta. Nije dozvoljen unos negativnih brojeva." view="0">
      <formula1>0</formula1>
      <formula2/>
    </dataValidation>
    <dataValidation sqref="J21:J87 J92:J162" type="whole" operator="greaterThanOrEqual" errorStyle="stop" allowBlank="1" showInputMessage="1" showErrorMessage="1" errorTitle="Greška" error="Unesite broj napomene!" view="0">
      <formula1>0</formula1>
      <formula2/>
    </dataValidation>
    <dataValidation sqref="N23:N27 K24:L24 K26:L27 N29:N36 K30:L36 K38:L41 N38:N41 K43:L44 N43:N44 K46:L49 N46:N49 K51:L55 N51:N55 K58:L63 N58:N63 K66:L71 N66:N71 K74:L80 N74:N80 K82:L85 N82:N85 K87:L87 N87 M95:N100 M102:N103 N104 M105:N105 M107:N109 M113:N114 M116:N118 M120:N122 M125:N127 M129:N137 M140:N145 M147:N160 M162:N162"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92:L162" type="none" operator="between" errorStyle="stop" allowBlank="1" showInputMessage="1" showErrorMessage="1" prompt="Podaci se popunjavaju u kolone 5 i 6, desno." view="0">
      <formula1/>
      <formula2/>
    </dataValidation>
    <dataValidation sqref="M111:N112" type="none" operator="greaterThanOrEqual" errorStyle="stop" allowBlank="1" showInputMessage="1" showErrorMessage="1" errorTitle="Greška" error="Unose se vrijednosti u konvertibilnim markama, bez decimalnih mjesta. Nije dozvoljen unos negativnih brojeva." view="0">
      <formula1/>
      <formula2/>
    </dataValidation>
  </dataValidations>
  <printOptions>
    <extLst>
      <ext uri="smNativeData">
        <pm:pageFlags xmlns:pm="smNativeData" id="1714042646" printRowHead="0" printColHead="0" printHeadLine="0" printFootLine="1" autoHeightHeader="0" autoHeightFooter="0" fitToPageBoth="0"/>
      </ext>
    </extLst>
  </printOptions>
  <pageMargins left="0.393750" right="0.393750" top="0.393750" bottom="0.393750" header="0.315278" footer="0.236111"/>
  <pageSetup paperSize="9" scale="60" fitToWidth="0" fitToHeight="2"/>
  <headerFooter>
    <oddFooter>&amp;R&amp;"Verdana"&amp;8Strana &amp;P od &amp;N</odd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rowBreaks count="1" manualBreakCount="1">
    <brk id="88" man="1"/>
  </rowBreaks>
  <drawing r:id="rId1"/>
  <legacyDrawing r:id="rId2"/>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B2B2B2"/>
  </sheetPr>
  <dimension ref="A1:P161"/>
  <sheetViews>
    <sheetView showGridLines="0" showRowColHeaders="0" tabSelected="1" view="normal" workbookViewId="0">
      <pane ySplit="4" topLeftCell="A135" activePane="bottomLeft" state="frozen"/>
      <selection pane="bottomLeft" activeCell="K141" sqref="K141"/>
    </sheetView>
  </sheetViews>
  <sheetFormatPr defaultRowHeight="14.20" zeroHeight="1"/>
  <cols>
    <col min="1" max="1" width="4.712871" customWidth="1" style="22"/>
    <col min="2" max="2" width="7.564356" hidden="1" customWidth="1" style="22">
      <extLst>
        <ext uri="smNativeData">
          <pm:columnDef xmlns:pm="smNativeData" id="1714042646" min="2" max="2" hidden="1" collapsedDB="0" collapsedOL="0"/>
        </ext>
      </extLst>
    </col>
    <col min="3" max="3" width="18.851485" customWidth="1" style="22"/>
    <col min="4" max="7" width="17.000000" customWidth="1" style="22"/>
    <col min="8" max="8" width="17.425743" customWidth="1" style="22"/>
    <col min="9" max="9" width="7.138614" customWidth="1" style="22"/>
    <col min="10" max="10" width="12.287129" customWidth="1" style="22"/>
    <col min="11" max="11" width="14.425743" customWidth="1" style="22"/>
    <col min="12" max="12" width="14.564356" customWidth="1" style="22"/>
    <col min="13" max="13" width="0.287129" customWidth="1" style="22"/>
    <col min="14" max="14" width="8.851485" hidden="1" customWidth="1" style="22">
      <extLst>
        <ext uri="smNativeData">
          <pm:columnDef xmlns:pm="smNativeData" id="1714042646" min="14" max="14" hidden="1" collapsedDB="0" collapsedOL="0"/>
        </ext>
      </extLst>
    </col>
    <col min="15" max="15" width="11.425743" hidden="1" customWidth="1" style="22">
      <extLst>
        <ext uri="smNativeData">
          <pm:columnDef xmlns:pm="smNativeData" id="1714042646" min="15" max="15" hidden="1" collapsedDB="0" collapsedOL="0"/>
        </ext>
      </extLst>
    </col>
    <col min="16" max="255" width="9.138614" hidden="1" customWidth="1" style="22">
      <extLst>
        <ext uri="smNativeData">
          <pm:columnDef xmlns:pm="smNativeData" id="1714042646" min="16" max="255" hidden="1" collapsedDB="0" collapsedOL="0"/>
        </ext>
      </extLst>
    </col>
    <col min="256" max="16383" width="2.851485" hidden="1" customWidth="1" style="22">
      <extLst>
        <ext uri="smNativeData">
          <pm:columnDef xmlns:pm="smNativeData" id="1714042646" min="256" max="16383" hidden="1" collapsedDB="0" collapsedOL="0"/>
        </ext>
      </extLst>
    </col>
    <col min="16384" max="16384" width="1.287129" customWidth="1" style="22"/>
  </cols>
  <sheetData>
    <row r="1" spans="1:1" ht="12.75" customHeight="1"/>
    <row r="2" spans="1:1" ht="12.75" customHeight="1"/>
    <row r="3" spans="1:1" ht="12.75" customHeight="1"/>
    <row r="4" spans="1:1" ht="12.75" customHeight="1"/>
    <row r="5" spans="3:12" ht="14.25" customHeight="1">
      <c r="C5" s="464" t="str">
        <f aca="1">Zaglavlje_Naziv_preduzeca</f>
        <v>Naziv privrednog društva, zadruge, drugog pravnog lica ili preduzetnika: </v>
      </c>
      <c r="D5" s="464"/>
      <c r="E5" s="464"/>
      <c r="L5" s="298" t="str">
        <f aca="1">Podatak_MB</f>
        <v>1062280</v>
      </c>
    </row>
    <row r="6" spans="3:12" ht="14.25" customHeight="1">
      <c r="C6" s="464"/>
      <c r="D6" s="464"/>
      <c r="E6" s="464"/>
      <c r="L6" s="54" t="str">
        <f aca="1">Zaglavlje_MB</f>
        <v>Matični broj</v>
      </c>
    </row>
    <row r="7" spans="3:12" ht="14.25" customHeight="1">
      <c r="C7" s="479" t="str">
        <f aca="1">Podatak_Naziv_preduzeca</f>
        <v>Napredak a.d. Pelagićevo</v>
      </c>
      <c r="D7" s="479"/>
      <c r="E7" s="479"/>
      <c r="F7" s="27"/>
      <c r="L7" s="298" t="str">
        <f aca="1">Podatak_Sifra_djelatnosti</f>
        <v>01.11</v>
      </c>
    </row>
    <row r="8" spans="3:12" ht="12.75" customHeight="1">
      <c r="C8" s="24" t="str">
        <f aca="1">Zaglavlje_Sjediste</f>
        <v>Sjedište:</v>
      </c>
      <c r="D8" s="317" t="str">
        <f aca="1">Podatak_Sjediste</f>
        <v>Pelagićevo</v>
      </c>
      <c r="E8" s="317"/>
      <c r="F8" s="27"/>
      <c r="L8" s="54" t="str">
        <f aca="1">Zaglavlje_Sifra_djelatnosti</f>
        <v>Šifra djelatnosti</v>
      </c>
    </row>
    <row r="9" spans="3:12" ht="12.75" customHeight="1">
      <c r="C9" s="407" t="str">
        <f aca="1">Zaglavlje_Ziro_racun</f>
        <v>Račun kod ovlašćene organizacije za platni promet:</v>
      </c>
      <c r="D9" s="407"/>
      <c r="E9" s="407"/>
      <c r="F9" s="181"/>
      <c r="L9" s="298" t="str">
        <f aca="1">Podatak_JIB</f>
        <v>4400471400001</v>
      </c>
    </row>
    <row r="10" spans="3:12" ht="12.75" customHeight="1">
      <c r="C10" s="482" t="str">
        <f aca="1">Podatak_Ziro_racun_1</f>
        <v>554-005-00000031-83</v>
      </c>
      <c r="D10" s="482"/>
      <c r="E10" s="482"/>
      <c r="F10" s="24"/>
      <c r="K10" s="54" t="str">
        <f aca="1">Zaglavlje_JIB</f>
        <v>JIB</v>
      </c>
      <c r="L10" s="54"/>
    </row>
    <row r="11" spans="3:11" ht="12.75" customHeight="1">
      <c r="C11" s="482" t="str">
        <f aca="1">Podatak_Ziro_racun_2</f>
        <v>562-011-00000477-77</v>
      </c>
      <c r="D11" s="482"/>
      <c r="E11" s="482"/>
      <c r="F11" s="24"/>
      <c r="J11" s="182"/>
      <c r="K11" s="182"/>
    </row>
    <row r="12" spans="3:11" ht="12.75" customHeight="1">
      <c r="C12" s="508" t="str">
        <f aca="1">Podatak_Ziro_racun_3</f>
        <v/>
      </c>
      <c r="D12" s="508"/>
      <c r="E12" s="508"/>
      <c r="F12" s="24"/>
      <c r="J12" s="182"/>
      <c r="K12" s="182"/>
    </row>
    <row r="13" spans="3:11" ht="12.75" customHeight="1">
      <c r="C13" s="508" t="str">
        <f aca="1">Podatak_Ziro_racun_4</f>
        <v/>
      </c>
      <c r="D13" s="508"/>
      <c r="E13" s="508"/>
      <c r="J13"/>
      <c r="K13"/>
    </row>
    <row r="14" spans="3:12" ht="12.75" customHeight="1">
      <c r="C14" s="442" t="str">
        <f aca="1">IF(Id_Konsolidovani,Nazivi_bilansa_Konsolidovani_naziv&amp;LOWER(Nazivi_bilansa_BUa),Nazivi_bilansa_BUa)</f>
        <v>Bilans uspjeha</v>
      </c>
      <c r="D14" s="442"/>
      <c r="E14" s="442"/>
      <c r="F14" s="442"/>
      <c r="G14" s="442"/>
      <c r="H14" s="442"/>
      <c r="I14" s="442"/>
      <c r="J14" s="442"/>
      <c r="K14" s="442"/>
      <c r="L14" s="442"/>
    </row>
    <row r="15" spans="3:12" ht="12.75" customHeight="1">
      <c r="C15" s="52" t="str">
        <f aca="1">Nazivi_bilansa_BUa1</f>
        <v>(Izvještaj o ukupnom rezultatu u periodu)</v>
      </c>
      <c r="D15" s="52"/>
      <c r="E15" s="52"/>
      <c r="F15" s="52"/>
      <c r="G15" s="52"/>
      <c r="H15" s="52"/>
      <c r="I15" s="52"/>
      <c r="J15" s="52"/>
      <c r="K15" s="52"/>
      <c r="L15" s="52"/>
    </row>
    <row r="16" spans="3:12" ht="12.75" customHeight="1">
      <c r="C16" s="52" t="str">
        <f aca="1">Datumi_Datum_BU</f>
        <v>za period od 01.01. do 31.03.2024. godine</v>
      </c>
      <c r="D16" s="52"/>
      <c r="E16" s="52"/>
      <c r="F16" s="52"/>
      <c r="G16" s="52"/>
      <c r="H16" s="52"/>
      <c r="I16" s="52"/>
      <c r="J16" s="52"/>
      <c r="K16" s="52"/>
      <c r="L16" s="52"/>
    </row>
    <row r="17" spans="3:12" ht="12.75" customHeight="1">
      <c r="C17" s="49"/>
      <c r="D17" s="49"/>
      <c r="E17" s="49"/>
      <c r="F17" s="49"/>
      <c r="G17" s="49"/>
      <c r="H17" s="49"/>
      <c r="I17" s="49"/>
      <c r="J17" s="49"/>
      <c r="L17" s="342" t="str">
        <f aca="1">Tabele_zaglavlje_Valuta</f>
        <v>- u konvertibilnim markama -</v>
      </c>
    </row>
    <row r="18" spans="3:12" ht="12.75" customHeight="1">
      <c r="C18" s="494" t="str">
        <f aca="1">Tabele_zaglavlje_Grupa_racuna</f>
        <v>Grupa računa, račun</v>
      </c>
      <c r="D18" s="496" t="str">
        <f aca="1">Tabele_zaglavlje_Pozicija</f>
        <v>POZICIJA</v>
      </c>
      <c r="E18" s="497"/>
      <c r="F18" s="497"/>
      <c r="G18" s="497"/>
      <c r="H18" s="498"/>
      <c r="I18" s="509" t="str">
        <f aca="1">Tabele_zaglavlje_Oznaka_aop</f>
        <v>Oznaka za AOP</v>
      </c>
      <c r="J18" s="509" t="str">
        <f aca="1">Tabele_zaglavlje_Napomena_aop</f>
        <v>Napomena</v>
      </c>
      <c r="K18" s="514" t="str">
        <f aca="1">Tabele_zaglavlje_Iznos</f>
        <v>Iznos</v>
      </c>
      <c r="L18" s="515"/>
    </row>
    <row r="19" spans="3:16" ht="20.25" customHeight="1">
      <c r="C19" s="495"/>
      <c r="D19" s="499"/>
      <c r="E19" s="500"/>
      <c r="F19" s="500"/>
      <c r="G19" s="500"/>
      <c r="H19" s="501"/>
      <c r="I19" s="510"/>
      <c r="J19" s="510"/>
      <c r="K19" s="50" t="str">
        <f aca="1">Tabele_zaglavlje_Tekuca_godina</f>
        <v>Tekuća godina</v>
      </c>
      <c r="L19" s="51" t="str">
        <f aca="1">Tabele_zaglavlje_Prethodna_godina</f>
        <v>Prethodna godina</v>
      </c>
      <c r="P19" s="107" t="s">
        <v>65</v>
      </c>
    </row>
    <row r="20" spans="2:12" ht="12.75" customHeight="1">
      <c r="B20" s="52" t="s">
        <v>66</v>
      </c>
      <c r="C20" s="340" t="n">
        <v>1</v>
      </c>
      <c r="D20" s="502" t="n">
        <v>2</v>
      </c>
      <c r="E20" s="503"/>
      <c r="F20" s="503"/>
      <c r="G20" s="503"/>
      <c r="H20" s="504"/>
      <c r="I20" s="307" t="n">
        <v>3</v>
      </c>
      <c r="J20" s="307" t="n">
        <v>4</v>
      </c>
      <c r="K20" s="307" t="n">
        <v>5</v>
      </c>
      <c r="L20" s="308" t="n">
        <v>6</v>
      </c>
    </row>
    <row r="21" spans="2:16" ht="25.50" customHeight="1">
      <c r="B21" s="25" t="n">
        <v>139</v>
      </c>
      <c r="C21" s="346">
        <f>VLOOKUP($B21,T_Aop[],5,1)</f>
        <v>0</v>
      </c>
      <c r="D21" s="505" t="str">
        <f>VLOOKUP($B21,T_Aop[],6,1)</f>
        <v>  A. POSLOVNI PRIHODI I RASHODI
I POSLOVNI PRIHODI 
(202 + 206 + 210 + 214 – 215 + 216 – 217 + 218)</v>
      </c>
      <c r="E21" s="506"/>
      <c r="F21" s="506"/>
      <c r="G21" s="506"/>
      <c r="H21" s="507"/>
      <c r="I21" s="370">
        <f>VLOOKUP($B21,T_Aop[],4,1)</f>
        <v>201</v>
      </c>
      <c r="J21" s="158"/>
      <c r="K21" s="305">
        <f aca="1">IF(AND(Godina=2024,MID(Osnovni_podaci!D20,3,1)="p",Osnovni_podaci!L24=0,Osnovni_podaci!G24=0,MID(Osnovni_podaci!D20,3,1)="p",MID(Osnovni_podaci!D20,8,1)="k"),SUBTOTAL(9,K22:K33,K34,K36,K38)-SUBTOTAL(9,K35,K37),A1)</f>
        <v>311579</v>
      </c>
      <c r="L21" s="306">
        <f aca="1">IF(AND(Godina=2024,MID(Osnovni_podaci!D20,3,1)="p",Osnovni_podaci!L24=0,Osnovni_podaci!G24=0,MID(Osnovni_podaci!D20,3,1)="p",MID(Osnovni_podaci!D20,8,1)="k"),SUBTOTAL(9,L22:L33,L34,L36,L38)-SUBTOTAL(9,L35,L37),A1)</f>
        <v>373939</v>
      </c>
      <c r="N21" s="52"/>
      <c r="P21" s="143"/>
    </row>
    <row r="22" spans="2:16" ht="13.50" customHeight="1">
      <c r="B22" s="25" t="n">
        <v>140</v>
      </c>
      <c r="C22" s="62">
        <f>VLOOKUP($B22,T_Aop[],5,1)</f>
        <v>60</v>
      </c>
      <c r="D22" s="439" t="str">
        <f>VLOOKUP($B22,T_Aop[],6,1)</f>
        <v>    1. Prihodi od prodaje robe (203 do 205)</v>
      </c>
      <c r="E22" s="440"/>
      <c r="F22" s="440"/>
      <c r="G22" s="440"/>
      <c r="H22" s="441"/>
      <c r="I22" s="63">
        <f>VLOOKUP($B22,T_Aop[],4,1)</f>
        <v>202</v>
      </c>
      <c r="J22" s="120"/>
      <c r="K22" s="119">
        <f aca="1">IF(AND(Godina=2024,MID(Osnovni_podaci!D20,3,1)="p",Osnovni_podaci!L24=0,Osnovni_podaci!G24=0,MID(Osnovni_podaci!D20,3,1)="p",MID(Osnovni_podaci!D20,8,1)="k"),SUBTOTAL(9,K23:K25),A1)</f>
        <v>0</v>
      </c>
      <c r="L22" s="347">
        <f aca="1">IF(AND(Godina=2024,MID(Osnovni_podaci!D20,3,1)="p",Osnovni_podaci!L24=0,Osnovni_podaci!G24=0,MID(Osnovni_podaci!D20,3,1)="p",MID(Osnovni_podaci!D20,8,1)="k"),SUBTOTAL(9,L23:L25),A1)</f>
        <v>0</v>
      </c>
      <c r="N22" s="52"/>
      <c r="P22" s="143"/>
    </row>
    <row r="23" spans="2:16" ht="13.50" customHeight="1">
      <c r="B23" s="25" t="n">
        <v>141</v>
      </c>
      <c r="C23" s="64" t="str">
        <f>VLOOKUP($B23,T_Aop[],5,1)</f>
        <v>600, dio 605</v>
      </c>
      <c r="D23" s="436" t="str">
        <f>VLOOKUP($B23,T_Aop[],6,1)</f>
        <v>      a) Prihodi od prodaje robe povezanim pravnim licima</v>
      </c>
      <c r="E23" s="437"/>
      <c r="F23" s="437"/>
      <c r="G23" s="437"/>
      <c r="H23" s="438"/>
      <c r="I23" s="65">
        <f>VLOOKUP($B23,T_Aop[],4,1)</f>
        <v>203</v>
      </c>
      <c r="J23" s="122"/>
      <c r="K23" s="122"/>
      <c r="L23" s="123"/>
      <c r="N23" s="52"/>
      <c r="P23" s="143"/>
    </row>
    <row r="24" spans="2:16" ht="22.50" customHeight="1">
      <c r="B24" s="25" t="n">
        <v>142</v>
      </c>
      <c r="C24" s="62" t="str">
        <f>VLOOKUP($B24,T_Aop[],5,1)</f>
        <v>601, 602, 603,dio 605</v>
      </c>
      <c r="D24" s="439" t="str">
        <f>VLOOKUP($B24,T_Aop[],6,1)</f>
        <v>      b) Prihodi od prodaje robe na domaćem tržištu</v>
      </c>
      <c r="E24" s="440"/>
      <c r="F24" s="440"/>
      <c r="G24" s="440"/>
      <c r="H24" s="441"/>
      <c r="I24" s="63">
        <f>VLOOKUP($B24,T_Aop[],4,1)</f>
        <v>204</v>
      </c>
      <c r="J24" s="120"/>
      <c r="K24" s="120"/>
      <c r="L24" s="121"/>
      <c r="N24" s="52"/>
      <c r="P24" s="143"/>
    </row>
    <row r="25" spans="2:16" ht="13.50" customHeight="1">
      <c r="B25" s="25" t="n">
        <v>143</v>
      </c>
      <c r="C25" s="64" t="str">
        <f>VLOOKUP($B25,T_Aop[],5,1)</f>
        <v>604, dio 605</v>
      </c>
      <c r="D25" s="436" t="str">
        <f>VLOOKUP($B25,T_Aop[],6,1)</f>
        <v>      c) Prihodi od prodaje robe na inostranom tržištu</v>
      </c>
      <c r="E25" s="437"/>
      <c r="F25" s="437"/>
      <c r="G25" s="437"/>
      <c r="H25" s="438"/>
      <c r="I25" s="65">
        <f>VLOOKUP($B25,T_Aop[],4,1)</f>
        <v>205</v>
      </c>
      <c r="J25" s="122"/>
      <c r="K25" s="122"/>
      <c r="L25" s="123"/>
      <c r="N25" s="52"/>
      <c r="P25" s="143"/>
    </row>
    <row r="26" spans="2:16" ht="13.50" customHeight="1">
      <c r="B26" s="25" t="n">
        <v>144</v>
      </c>
      <c r="C26" s="62" t="str">
        <f>VLOOKUP($B26,T_Aop[],5,1)</f>
        <v>61</v>
      </c>
      <c r="D26" s="439" t="str">
        <f>VLOOKUP($B26,T_Aop[],6,1)</f>
        <v>    2. Prihodi od prodaje proizvoda (207 do 209)</v>
      </c>
      <c r="E26" s="440"/>
      <c r="F26" s="440"/>
      <c r="G26" s="440"/>
      <c r="H26" s="441"/>
      <c r="I26" s="63">
        <f>VLOOKUP($B26,T_Aop[],4,1)</f>
        <v>206</v>
      </c>
      <c r="J26" s="120"/>
      <c r="K26" s="119">
        <f aca="1">IF(AND(Godina=2024,MID(Osnovni_podaci!D20,3,1)="p",Osnovni_podaci!L24=0,Osnovni_podaci!G24=0,MID(Osnovni_podaci!D20,3,1)="p",MID(Osnovni_podaci!D20,8,1)="k"),SUBTOTAL(9,K27:K29),A1)</f>
        <v>187907</v>
      </c>
      <c r="L26" s="347">
        <f aca="1">IF(AND(Godina=2024,MID(Osnovni_podaci!D20,3,1)="p",Osnovni_podaci!L24=0,Osnovni_podaci!G24=0,MID(Osnovni_podaci!D20,3,1)="p",MID(Osnovni_podaci!D20,8,1)="k"),SUBTOTAL(9,L27:L29),A1)</f>
        <v>315522</v>
      </c>
      <c r="N26" s="52"/>
      <c r="P26" s="143"/>
    </row>
    <row r="27" spans="2:16" ht="13.50" customHeight="1">
      <c r="B27" s="25" t="n">
        <v>145</v>
      </c>
      <c r="C27" s="64" t="str">
        <f>VLOOKUP($B27,T_Aop[],5,1)</f>
        <v>610, dio 615</v>
      </c>
      <c r="D27" s="436" t="str">
        <f>VLOOKUP($B27,T_Aop[],6,1)</f>
        <v>      a) Prihodi od prodaje proizvoda povezanim pravnim licima</v>
      </c>
      <c r="E27" s="437"/>
      <c r="F27" s="437"/>
      <c r="G27" s="437"/>
      <c r="H27" s="438"/>
      <c r="I27" s="65">
        <f>VLOOKUP($B27,T_Aop[],4,1)</f>
        <v>207</v>
      </c>
      <c r="J27" s="122"/>
      <c r="K27" s="122" t="n">
        <v>48672</v>
      </c>
      <c r="L27" s="123"/>
      <c r="N27" s="52"/>
      <c r="P27" s="143"/>
    </row>
    <row r="28" spans="2:16" ht="22.50" customHeight="1">
      <c r="B28" s="25" t="n">
        <v>146</v>
      </c>
      <c r="C28" s="62" t="str">
        <f>VLOOKUP($B28,T_Aop[],5,1)</f>
        <v>611, 612, 613, dio 615</v>
      </c>
      <c r="D28" s="439" t="str">
        <f>VLOOKUP($B28,T_Aop[],6,1)</f>
        <v>      b) Prihodi od prodaje proizvoda na domaćem tržištu</v>
      </c>
      <c r="E28" s="440"/>
      <c r="F28" s="440"/>
      <c r="G28" s="440"/>
      <c r="H28" s="441"/>
      <c r="I28" s="63">
        <f>VLOOKUP($B28,T_Aop[],4,1)</f>
        <v>208</v>
      </c>
      <c r="J28" s="120"/>
      <c r="K28" s="120" t="n">
        <v>139235</v>
      </c>
      <c r="L28" s="121" t="n">
        <v>315522</v>
      </c>
      <c r="N28" s="52"/>
      <c r="P28" s="143"/>
    </row>
    <row r="29" spans="2:16" ht="13.50" customHeight="1">
      <c r="B29" s="25" t="n">
        <v>147</v>
      </c>
      <c r="C29" s="64" t="str">
        <f>VLOOKUP($B29,T_Aop[],5,1)</f>
        <v>614, dio 615</v>
      </c>
      <c r="D29" s="436" t="str">
        <f>VLOOKUP($B29,T_Aop[],6,1)</f>
        <v>      c) Prihodi od prodaje proizvoda na inostranom tržištu</v>
      </c>
      <c r="E29" s="437"/>
      <c r="F29" s="437"/>
      <c r="G29" s="437"/>
      <c r="H29" s="438"/>
      <c r="I29" s="65">
        <f>VLOOKUP($B29,T_Aop[],4,1)</f>
        <v>209</v>
      </c>
      <c r="J29" s="122"/>
      <c r="K29" s="122"/>
      <c r="L29" s="123"/>
      <c r="N29" s="52"/>
      <c r="P29" s="143"/>
    </row>
    <row r="30" spans="2:16" ht="13.50" customHeight="1">
      <c r="B30" s="25" t="n">
        <v>148</v>
      </c>
      <c r="C30" s="62" t="str">
        <f>VLOOKUP($B30,T_Aop[],5,1)</f>
        <v>62</v>
      </c>
      <c r="D30" s="439" t="str">
        <f>VLOOKUP($B30,T_Aop[],6,1)</f>
        <v>     3. Prihodi od pruženih usluga (211 do 213)</v>
      </c>
      <c r="E30" s="440"/>
      <c r="F30" s="440"/>
      <c r="G30" s="440"/>
      <c r="H30" s="441"/>
      <c r="I30" s="63">
        <f>VLOOKUP($B30,T_Aop[],4,1)</f>
        <v>210</v>
      </c>
      <c r="J30" s="120"/>
      <c r="K30" s="119">
        <f aca="1">IF(AND(Godina=2024,MID(Osnovni_podaci!D20,3,1)="p",Osnovni_podaci!L24=0,Osnovni_podaci!G24=0,MID(Osnovni_podaci!D20,3,1)="p",MID(Osnovni_podaci!D20,8,1)="k"),SUBTOTAL(9,K31:K33),A1)</f>
        <v>23797</v>
      </c>
      <c r="L30" s="347">
        <f aca="1">IF(AND(Godina=2024,MID(Osnovni_podaci!D20,3,1)="p",Osnovni_podaci!L24=0,Osnovni_podaci!G24=0,MID(Osnovni_podaci!D20,3,1)="p",MID(Osnovni_podaci!D20,8,1)="k"),SUBTOTAL(9,L31:L33),A1)</f>
        <v>30855</v>
      </c>
      <c r="N30" s="52"/>
      <c r="P30" s="143"/>
    </row>
    <row r="31" spans="2:16" ht="13.50" customHeight="1">
      <c r="B31" s="25" t="n">
        <v>149</v>
      </c>
      <c r="C31" s="64" t="str">
        <f>VLOOKUP($B31,T_Aop[],5,1)</f>
        <v>620, dio 625</v>
      </c>
      <c r="D31" s="436" t="str">
        <f>VLOOKUP($B31,T_Aop[],6,1)</f>
        <v>      a) Prihodi od pruženih usluga povezanim licima</v>
      </c>
      <c r="E31" s="437"/>
      <c r="F31" s="437"/>
      <c r="G31" s="437"/>
      <c r="H31" s="438"/>
      <c r="I31" s="65">
        <f>VLOOKUP($B31,T_Aop[],4,1)</f>
        <v>211</v>
      </c>
      <c r="J31" s="122"/>
      <c r="K31" s="122"/>
      <c r="L31" s="123"/>
      <c r="N31" s="52"/>
      <c r="P31" s="143"/>
    </row>
    <row r="32" spans="2:16" ht="22.50" customHeight="1">
      <c r="B32" s="25" t="n">
        <v>150</v>
      </c>
      <c r="C32" s="62" t="str">
        <f>VLOOKUP($B32,T_Aop[],5,1)</f>
        <v>621, 622, 623, dio 625</v>
      </c>
      <c r="D32" s="439" t="str">
        <f>VLOOKUP($B32,T_Aop[],6,1)</f>
        <v>      b) Prihodi od pruženih usluga na domaćem tržištu</v>
      </c>
      <c r="E32" s="440"/>
      <c r="F32" s="440"/>
      <c r="G32" s="440"/>
      <c r="H32" s="441"/>
      <c r="I32" s="63">
        <f>VLOOKUP($B32,T_Aop[],4,1)</f>
        <v>212</v>
      </c>
      <c r="J32" s="120"/>
      <c r="K32" s="120" t="n">
        <v>23797</v>
      </c>
      <c r="L32" s="121" t="n">
        <v>30855</v>
      </c>
      <c r="N32" s="52"/>
      <c r="P32" s="143"/>
    </row>
    <row r="33" spans="2:16" ht="13.50" customHeight="1">
      <c r="B33" s="25" t="n">
        <v>151</v>
      </c>
      <c r="C33" s="64" t="str">
        <f>VLOOKUP($B33,T_Aop[],5,1)</f>
        <v>624, dio 625</v>
      </c>
      <c r="D33" s="436" t="str">
        <f>VLOOKUP($B33,T_Aop[],6,1)</f>
        <v>      c) Prihodi od pruženih usluga na inostranom tržištu</v>
      </c>
      <c r="E33" s="437"/>
      <c r="F33" s="437"/>
      <c r="G33" s="437"/>
      <c r="H33" s="438"/>
      <c r="I33" s="65">
        <f>VLOOKUP($B33,T_Aop[],4,1)</f>
        <v>213</v>
      </c>
      <c r="J33" s="122"/>
      <c r="K33" s="122"/>
      <c r="L33" s="123"/>
      <c r="N33" s="52"/>
      <c r="P33" s="143"/>
    </row>
    <row r="34" spans="2:16" ht="13.50" customHeight="1">
      <c r="B34" s="25" t="n">
        <v>152</v>
      </c>
      <c r="C34" s="62" t="str">
        <f>VLOOKUP($B34,T_Aop[],5,1)</f>
        <v>630</v>
      </c>
      <c r="D34" s="439" t="str">
        <f>VLOOKUP($B34,T_Aop[],6,1)</f>
        <v>    4. Povećanje vrijednosti zaliha učinaka</v>
      </c>
      <c r="E34" s="440"/>
      <c r="F34" s="440"/>
      <c r="G34" s="440"/>
      <c r="H34" s="441"/>
      <c r="I34" s="63">
        <f>VLOOKUP($B34,T_Aop[],4,1)</f>
        <v>214</v>
      </c>
      <c r="J34" s="120"/>
      <c r="K34" s="120" t="n">
        <v>94412</v>
      </c>
      <c r="L34" s="121" t="n">
        <v>20757</v>
      </c>
      <c r="N34" s="52"/>
      <c r="P34" s="143"/>
    </row>
    <row r="35" spans="2:16" ht="13.50" customHeight="1">
      <c r="B35" s="25" t="n">
        <v>153</v>
      </c>
      <c r="C35" s="64" t="str">
        <f>VLOOKUP($B35,T_Aop[],5,1)</f>
        <v>631</v>
      </c>
      <c r="D35" s="436" t="str">
        <f>VLOOKUP($B35,T_Aop[],6,1)</f>
        <v>    5. Smanjenje vrijednosti zaliha učinaka</v>
      </c>
      <c r="E35" s="437"/>
      <c r="F35" s="437"/>
      <c r="G35" s="437"/>
      <c r="H35" s="438"/>
      <c r="I35" s="65">
        <f>VLOOKUP($B35,T_Aop[],4,1)</f>
        <v>215</v>
      </c>
      <c r="J35" s="122"/>
      <c r="K35" s="122"/>
      <c r="L35" s="123"/>
      <c r="N35" s="52"/>
      <c r="P35" s="143"/>
    </row>
    <row r="36" spans="2:16" ht="22.50" customHeight="1">
      <c r="B36" s="25" t="n">
        <v>154</v>
      </c>
      <c r="C36" s="62" t="str">
        <f>VLOOKUP($B36,T_Aop[],5,1)</f>
        <v>640 i 641</v>
      </c>
      <c r="D36" s="439" t="str">
        <f>VLOOKUP($B36,T_Aop[],6,1)</f>
        <v>    6. Povećanje vrijednosti investicionih nekretnina i bioloških sredstava koja se ne amortizuju</v>
      </c>
      <c r="E36" s="440"/>
      <c r="F36" s="440"/>
      <c r="G36" s="440"/>
      <c r="H36" s="441"/>
      <c r="I36" s="63">
        <f>VLOOKUP($B36,T_Aop[],4,1)</f>
        <v>216</v>
      </c>
      <c r="J36" s="120"/>
      <c r="K36" s="120"/>
      <c r="L36" s="121"/>
      <c r="N36" s="52"/>
      <c r="P36" s="143"/>
    </row>
    <row r="37" spans="2:16" ht="22.50" customHeight="1">
      <c r="B37" s="25" t="n">
        <v>155</v>
      </c>
      <c r="C37" s="64" t="str">
        <f>VLOOKUP($B37,T_Aop[],5,1)</f>
        <v>642 i 643</v>
      </c>
      <c r="D37" s="436" t="str">
        <f>VLOOKUP($B37,T_Aop[],6,1)</f>
        <v>    7.  Smanjenje vrijednosti investicionih nekretnina i bioloških sredstava koja se ne amortizuju</v>
      </c>
      <c r="E37" s="437"/>
      <c r="F37" s="437"/>
      <c r="G37" s="437"/>
      <c r="H37" s="438"/>
      <c r="I37" s="65">
        <f>VLOOKUP($B37,T_Aop[],4,1)</f>
        <v>217</v>
      </c>
      <c r="J37" s="122"/>
      <c r="K37" s="122"/>
      <c r="L37" s="123"/>
      <c r="N37" s="52"/>
      <c r="P37" s="143"/>
    </row>
    <row r="38" spans="2:16" ht="11.25" customHeight="1">
      <c r="B38" s="25" t="n">
        <v>156</v>
      </c>
      <c r="C38" s="62" t="str">
        <f>VLOOKUP($B38,T_Aop[],5,1)</f>
        <v>650 do 659</v>
      </c>
      <c r="D38" s="439" t="str">
        <f>VLOOKUP($B38,T_Aop[],6,1)</f>
        <v>    8. Ostali poslovni prihodi</v>
      </c>
      <c r="E38" s="440"/>
      <c r="F38" s="440"/>
      <c r="G38" s="440"/>
      <c r="H38" s="441"/>
      <c r="I38" s="63">
        <f>VLOOKUP($B38,T_Aop[],4,1)</f>
        <v>218</v>
      </c>
      <c r="J38" s="120"/>
      <c r="K38" s="120" t="n">
        <v>5463</v>
      </c>
      <c r="L38" s="121" t="n">
        <v>6805</v>
      </c>
      <c r="N38" s="52"/>
      <c r="P38" s="143"/>
    </row>
    <row r="39" spans="2:16" ht="12.75" customHeight="1">
      <c r="B39" s="25" t="n">
        <v>157</v>
      </c>
      <c r="C39" s="64">
        <f>VLOOKUP($B39,T_Aop[],5,1)</f>
        <v>0</v>
      </c>
      <c r="D39" s="443" t="str">
        <f>VLOOKUP($B39,T_Aop[],6,1)</f>
        <v>  II  POSLOVNI RASHODI  (220 + 221 + 222 + 223 + 226 + 227 + 234 + 235 + 236)</v>
      </c>
      <c r="E39" s="444"/>
      <c r="F39" s="444"/>
      <c r="G39" s="444"/>
      <c r="H39" s="445"/>
      <c r="I39" s="133">
        <f>VLOOKUP($B39,T_Aop[],4,1)</f>
        <v>219</v>
      </c>
      <c r="J39" s="122"/>
      <c r="K39" s="40">
        <f aca="1">IF(AND(Godina=2024,MID(Osnovni_podaci!D20,3,1)="p",Osnovni_podaci!L24=0,Osnovni_podaci!G24=0,MID(Osnovni_podaci!D20,3,1)="p",MID(Osnovni_podaci!D20,8,1)="k"),SUBTOTAL(9,K40:K56),A1)</f>
        <v>314384</v>
      </c>
      <c r="L39" s="41">
        <f aca="1">IF(AND(Godina=2024,MID(Osnovni_podaci!D20,3,1)="p",Osnovni_podaci!L24=0,Osnovni_podaci!G24=0,MID(Osnovni_podaci!D20,3,1)="p",MID(Osnovni_podaci!D20,8,1)="k"),SUBTOTAL(9,L40:L56),A1)</f>
        <v>359027</v>
      </c>
      <c r="N39" s="52"/>
      <c r="P39" s="143"/>
    </row>
    <row r="40" spans="2:16" ht="14.25" customHeight="1">
      <c r="B40" s="25" t="n">
        <v>158</v>
      </c>
      <c r="C40" s="62" t="str">
        <f>VLOOKUP($B40,T_Aop[],5,1)</f>
        <v>500 do 502</v>
      </c>
      <c r="D40" s="439" t="str">
        <f>VLOOKUP($B40,T_Aop[],6,1)</f>
        <v>    1. Nabavna vrijednost prodate robe</v>
      </c>
      <c r="E40" s="440"/>
      <c r="F40" s="440"/>
      <c r="G40" s="440"/>
      <c r="H40" s="441"/>
      <c r="I40" s="63">
        <f>VLOOKUP($B40,T_Aop[],4,1)</f>
        <v>220</v>
      </c>
      <c r="J40" s="120"/>
      <c r="K40" s="120"/>
      <c r="L40" s="121"/>
      <c r="N40" s="52"/>
      <c r="P40" s="143"/>
    </row>
    <row r="41" spans="2:16" ht="14.25" customHeight="1">
      <c r="B41" s="25" t="n">
        <v>159</v>
      </c>
      <c r="C41" s="64" t="str">
        <f>VLOOKUP($B41,T_Aop[],5,1)</f>
        <v>510 do 512</v>
      </c>
      <c r="D41" s="436" t="str">
        <f>VLOOKUP($B41,T_Aop[],6,1)</f>
        <v>    2. Troškovi materijala</v>
      </c>
      <c r="E41" s="437"/>
      <c r="F41" s="437"/>
      <c r="G41" s="437"/>
      <c r="H41" s="438"/>
      <c r="I41" s="65">
        <f>VLOOKUP($B41,T_Aop[],4,1)</f>
        <v>221</v>
      </c>
      <c r="J41" s="122"/>
      <c r="K41" s="122" t="n">
        <v>108867</v>
      </c>
      <c r="L41" s="123" t="n">
        <v>142118</v>
      </c>
      <c r="N41" s="52"/>
      <c r="P41" s="143"/>
    </row>
    <row r="42" spans="2:16" ht="14.25" customHeight="1">
      <c r="B42" s="25" t="n">
        <v>160</v>
      </c>
      <c r="C42" s="62" t="str">
        <f>VLOOKUP($B42,T_Aop[],5,1)</f>
        <v>513</v>
      </c>
      <c r="D42" s="439" t="str">
        <f>VLOOKUP($B42,T_Aop[],6,1)</f>
        <v>    3. Troškovi goriva i energije</v>
      </c>
      <c r="E42" s="440"/>
      <c r="F42" s="440"/>
      <c r="G42" s="440"/>
      <c r="H42" s="441"/>
      <c r="I42" s="63">
        <f>VLOOKUP($B42,T_Aop[],4,1)</f>
        <v>222</v>
      </c>
      <c r="J42" s="120"/>
      <c r="K42" s="120" t="n">
        <v>17871</v>
      </c>
      <c r="L42" s="121" t="n">
        <v>42251</v>
      </c>
      <c r="N42" s="52"/>
      <c r="P42" s="143"/>
    </row>
    <row r="43" spans="2:16" ht="22.50" customHeight="1">
      <c r="B43" s="25" t="n">
        <v>161</v>
      </c>
      <c r="C43" s="64" t="str">
        <f>VLOOKUP($B43,T_Aop[],5,1)</f>
        <v>52</v>
      </c>
      <c r="D43" s="436" t="str">
        <f>VLOOKUP($B43,T_Aop[],6,1)</f>
        <v>    4. Troškovi plata, naknada plata i ostalih ličnih primanja (224 + 225)</v>
      </c>
      <c r="E43" s="437"/>
      <c r="F43" s="437"/>
      <c r="G43" s="437"/>
      <c r="H43" s="438"/>
      <c r="I43" s="65">
        <f>VLOOKUP($B43,T_Aop[],4,1)</f>
        <v>223</v>
      </c>
      <c r="J43" s="122"/>
      <c r="K43" s="118">
        <f aca="1">IF(AND(Godina=2024,MID(Osnovni_podaci!D20,3,1)="p",Osnovni_podaci!L24=0,Osnovni_podaci!G24=0,MID(Osnovni_podaci!D20,3,1)="p",MID(Osnovni_podaci!D20,8,1)="k"),SUBTOTAL(9,K44:K45),A1)</f>
        <v>104220</v>
      </c>
      <c r="L43" s="348">
        <f aca="1">IF(AND(Godina=2024,MID(Osnovni_podaci!D20,3,1)="p",Osnovni_podaci!L24=0,Osnovni_podaci!G24=0,MID(Osnovni_podaci!D20,3,1)="p",MID(Osnovni_podaci!D20,8,1)="k"),SUBTOTAL(9,L44:L45),A1)</f>
        <v>92336</v>
      </c>
      <c r="N43" s="52"/>
      <c r="P43" s="143"/>
    </row>
    <row r="44" spans="2:16" ht="14.25" customHeight="1">
      <c r="B44" s="25" t="n">
        <v>162</v>
      </c>
      <c r="C44" s="62" t="str">
        <f>VLOOKUP($B44,T_Aop[],5,1)</f>
        <v>520 i 523</v>
      </c>
      <c r="D44" s="439" t="str">
        <f>VLOOKUP($B44,T_Aop[],6,1)</f>
        <v>      a) Troškovi bruto plata i bruto naknada plata</v>
      </c>
      <c r="E44" s="440"/>
      <c r="F44" s="440"/>
      <c r="G44" s="440"/>
      <c r="H44" s="441"/>
      <c r="I44" s="63">
        <f>VLOOKUP($B44,T_Aop[],4,1)</f>
        <v>224</v>
      </c>
      <c r="J44" s="120"/>
      <c r="K44" s="120" t="n">
        <v>103700</v>
      </c>
      <c r="L44" s="121" t="n">
        <v>91575</v>
      </c>
      <c r="N44" s="52"/>
      <c r="P44" s="143"/>
    </row>
    <row r="45" spans="2:16" ht="14.25" customHeight="1">
      <c r="B45" s="25" t="n">
        <v>163</v>
      </c>
      <c r="C45" s="64" t="str">
        <f>VLOOKUP($B45,T_Aop[],5,1)</f>
        <v>524 do 529</v>
      </c>
      <c r="D45" s="436" t="str">
        <f>VLOOKUP($B45,T_Aop[],6,1)</f>
        <v>      b) Troškovi ostalih ličnih primanja</v>
      </c>
      <c r="E45" s="437"/>
      <c r="F45" s="437"/>
      <c r="G45" s="437"/>
      <c r="H45" s="438"/>
      <c r="I45" s="65">
        <f>VLOOKUP($B45,T_Aop[],4,1)</f>
        <v>225</v>
      </c>
      <c r="J45" s="122"/>
      <c r="K45" s="122" t="n">
        <v>520</v>
      </c>
      <c r="L45" s="123" t="n">
        <v>761</v>
      </c>
      <c r="N45" s="52"/>
      <c r="P45" s="143"/>
    </row>
    <row r="46" spans="2:16" ht="14.25" customHeight="1">
      <c r="B46" s="25" t="n">
        <v>164</v>
      </c>
      <c r="C46" s="62" t="str">
        <f>VLOOKUP($B46,T_Aop[],5,1)</f>
        <v>530 do 539</v>
      </c>
      <c r="D46" s="439" t="str">
        <f>VLOOKUP($B46,T_Aop[],6,1)</f>
        <v>    5. Troškovi proizvodnih usluga</v>
      </c>
      <c r="E46" s="440"/>
      <c r="F46" s="440"/>
      <c r="G46" s="440"/>
      <c r="H46" s="441"/>
      <c r="I46" s="63">
        <f>VLOOKUP($B46,T_Aop[],4,1)</f>
        <v>226</v>
      </c>
      <c r="J46" s="120"/>
      <c r="K46" s="120" t="n">
        <v>4569</v>
      </c>
      <c r="L46" s="121" t="n">
        <v>4213</v>
      </c>
      <c r="N46" s="52"/>
      <c r="P46" s="143"/>
    </row>
    <row r="47" spans="2:16" ht="14.25" customHeight="1">
      <c r="B47" s="25" t="n">
        <v>165</v>
      </c>
      <c r="C47" s="64" t="str">
        <f>VLOOKUP($B47,T_Aop[],5,1)</f>
        <v>54</v>
      </c>
      <c r="D47" s="436" t="str">
        <f>VLOOKUP($B47,T_Aop[],6,1)</f>
        <v>    6. Troškovi amortizacije i rezervisanja (228 + 233)</v>
      </c>
      <c r="E47" s="437"/>
      <c r="F47" s="437"/>
      <c r="G47" s="437"/>
      <c r="H47" s="438"/>
      <c r="I47" s="65">
        <f>VLOOKUP($B47,T_Aop[],4,1)</f>
        <v>227</v>
      </c>
      <c r="J47" s="122"/>
      <c r="K47" s="118">
        <f aca="1">IF(AND(Godina=2024,MID(Osnovni_podaci!D20,3,1)="p",Osnovni_podaci!L24=0,Osnovni_podaci!G24=0,MID(Osnovni_podaci!D20,3,1)="p",MID(Osnovni_podaci!D20,8,1)="k"),SUBTOTAL(9,K48:K53),A1)</f>
        <v>56582</v>
      </c>
      <c r="L47" s="348">
        <f aca="1">IF(AND(Godina=2024,MID(Osnovni_podaci!D20,3,1)="p",Osnovni_podaci!L24=0,Osnovni_podaci!G24=0,MID(Osnovni_podaci!D20,3,1)="p",MID(Osnovni_podaci!D20,8,1)="k"),SUBTOTAL(9,L48:L53),A1)</f>
        <v>54241</v>
      </c>
      <c r="N47" s="52"/>
      <c r="P47" s="143"/>
    </row>
    <row r="48" spans="2:16" ht="14.25" customHeight="1">
      <c r="B48" s="25" t="n">
        <v>166</v>
      </c>
      <c r="C48" s="62" t="str">
        <f>VLOOKUP($B48,T_Aop[],5,1)</f>
        <v>540</v>
      </c>
      <c r="D48" s="439" t="str">
        <f>VLOOKUP($B48,T_Aop[],6,1)</f>
        <v>      6.1 Troškovi amortizacije (229 do 232)</v>
      </c>
      <c r="E48" s="440"/>
      <c r="F48" s="440"/>
      <c r="G48" s="440"/>
      <c r="H48" s="441"/>
      <c r="I48" s="63">
        <f>VLOOKUP($B48,T_Aop[],4,1)</f>
        <v>228</v>
      </c>
      <c r="J48" s="120"/>
      <c r="K48" s="119">
        <f aca="1">IF(AND(Godina=2024,MID(Osnovni_podaci!D20,3,1)="p",Osnovni_podaci!L24=0,Osnovni_podaci!G24=0,MID(Osnovni_podaci!D20,3,1)="p",MID(Osnovni_podaci!D20,8,1)="k"),SUBTOTAL(9,K49:K52),A1)</f>
        <v>56582</v>
      </c>
      <c r="L48" s="347">
        <f aca="1">IF(AND(Godina=2024,MID(Osnovni_podaci!D20,3,1)="p",Osnovni_podaci!L24=0,Osnovni_podaci!G24=0,MID(Osnovni_podaci!D20,3,1)="p",MID(Osnovni_podaci!D20,8,1)="k"),SUBTOTAL(9,L49:L52),A1)</f>
        <v>54241</v>
      </c>
      <c r="N48" s="52"/>
      <c r="P48" s="143"/>
    </row>
    <row r="49" spans="2:16" ht="14.25" customHeight="1">
      <c r="B49" s="25" t="n">
        <v>167</v>
      </c>
      <c r="C49" s="64" t="str">
        <f>VLOOKUP($B49,T_Aop[],5,1)</f>
        <v>dio 540</v>
      </c>
      <c r="D49" s="436" t="str">
        <f>VLOOKUP($B49,T_Aop[],6,1)</f>
        <v>        a) Amortizacija nekretnina, postrojenja i opreme</v>
      </c>
      <c r="E49" s="437"/>
      <c r="F49" s="437"/>
      <c r="G49" s="437"/>
      <c r="H49" s="438"/>
      <c r="I49" s="65">
        <f>VLOOKUP($B49,T_Aop[],4,1)</f>
        <v>229</v>
      </c>
      <c r="J49" s="122"/>
      <c r="K49" s="122" t="n">
        <v>56582</v>
      </c>
      <c r="L49" s="123" t="n">
        <v>54241</v>
      </c>
      <c r="N49" s="52"/>
      <c r="P49" s="143"/>
    </row>
    <row r="50" spans="2:16" ht="14.25" customHeight="1">
      <c r="B50" s="25" t="n">
        <v>168</v>
      </c>
      <c r="C50" s="62" t="str">
        <f aca="1">IF(AND(Godina=2024,MID(Osnovni_podaci!D20,3,1)="p",Osnovni_podaci!L24=0,Osnovni_podaci!G24=0,MID(Osnovni_podaci!D20,3,1)="p",MID(Osnovni_podaci!D20,8,1)="k"),VLOOKUP($B50,T_Aop[],5,1),A1)</f>
        <v>dio 540</v>
      </c>
      <c r="D50" s="439" t="str">
        <f>VLOOKUP($B50,T_Aop[],6,1)</f>
        <v>        b) Amortizacija investicionih nekretnina</v>
      </c>
      <c r="E50" s="440"/>
      <c r="F50" s="440"/>
      <c r="G50" s="440"/>
      <c r="H50" s="441"/>
      <c r="I50" s="63">
        <f>VLOOKUP($B50,T_Aop[],4,1)</f>
        <v>230</v>
      </c>
      <c r="J50" s="120"/>
      <c r="K50" s="120"/>
      <c r="L50" s="121"/>
      <c r="N50" s="52"/>
      <c r="P50" s="143"/>
    </row>
    <row r="51" spans="2:16" ht="14.25" customHeight="1">
      <c r="B51" s="25" t="n">
        <v>169</v>
      </c>
      <c r="C51" s="64" t="str">
        <f aca="1">IF(AND(Godina=2024,MID(Osnovni_podaci!D20,3,1)="p",Osnovni_podaci!L24=0,Osnovni_podaci!G24=0,MID(Osnovni_podaci!D20,3,1)="p",MID(Osnovni_podaci!D20,8,1)="k"),VLOOKUP($B51,T_Aop[],5,1),A1)</f>
        <v>dio 540</v>
      </c>
      <c r="D51" s="436" t="str">
        <f>VLOOKUP($B51,T_Aop[],6,1)</f>
        <v>        c) Amortizacija sredstava uzetih u zakup</v>
      </c>
      <c r="E51" s="437"/>
      <c r="F51" s="437"/>
      <c r="G51" s="437"/>
      <c r="H51" s="438"/>
      <c r="I51" s="65">
        <f>VLOOKUP($B51,T_Aop[],4,1)</f>
        <v>231</v>
      </c>
      <c r="J51" s="122"/>
      <c r="K51" s="122"/>
      <c r="L51" s="123"/>
      <c r="N51" s="52"/>
      <c r="P51" s="143"/>
    </row>
    <row r="52" spans="2:16" ht="14.25" customHeight="1">
      <c r="B52" s="25" t="n">
        <v>170</v>
      </c>
      <c r="C52" s="62" t="str">
        <f aca="1">IF(AND(Godina=2024,MID(Osnovni_podaci!D20,3,1)="p",Osnovni_podaci!L24=0,Osnovni_podaci!G24=0,MID(Osnovni_podaci!D20,3,1)="p",MID(Osnovni_podaci!D20,8,1)="k"),VLOOKUP($B52,T_Aop[],5,1),A1)</f>
        <v>dio 540</v>
      </c>
      <c r="D52" s="439" t="str">
        <f>VLOOKUP($B52,T_Aop[],6,1)</f>
        <v>        d) Amortizacija ostalih sredstava</v>
      </c>
      <c r="E52" s="440"/>
      <c r="F52" s="440"/>
      <c r="G52" s="440"/>
      <c r="H52" s="441"/>
      <c r="I52" s="63">
        <f>VLOOKUP($B52,T_Aop[],4,1)</f>
        <v>232</v>
      </c>
      <c r="J52" s="120"/>
      <c r="K52" s="120"/>
      <c r="L52" s="121"/>
      <c r="N52" s="52"/>
      <c r="P52" s="143"/>
    </row>
    <row r="53" spans="2:16" ht="14.25" customHeight="1">
      <c r="B53" s="25" t="n">
        <v>171</v>
      </c>
      <c r="C53" s="64" t="str">
        <f aca="1">IF(AND(Godina=2024,MID(Osnovni_podaci!D20,3,1)="p",Osnovni_podaci!L24=0,Osnovni_podaci!G24=0,MID(Osnovni_podaci!D20,3,1)="p",MID(Osnovni_podaci!D20,8,1)="k"),VLOOKUP($B53,T_Aop[],5,1),A1)</f>
        <v>541</v>
      </c>
      <c r="D53" s="436" t="str">
        <f>VLOOKUP($B53,T_Aop[],6,1)</f>
        <v>      6.2 Troškovi rezervisanja</v>
      </c>
      <c r="E53" s="437"/>
      <c r="F53" s="437"/>
      <c r="G53" s="437"/>
      <c r="H53" s="438"/>
      <c r="I53" s="65">
        <f>VLOOKUP($B53,T_Aop[],4,1)</f>
        <v>233</v>
      </c>
      <c r="J53" s="122"/>
      <c r="K53" s="122"/>
      <c r="L53" s="123"/>
      <c r="N53" s="52"/>
      <c r="P53" s="143"/>
    </row>
    <row r="54" spans="2:16" ht="14.25" customHeight="1">
      <c r="B54" s="25" t="n">
        <v>172</v>
      </c>
      <c r="C54" s="62" t="str">
        <f aca="1">IF(AND(Godina=2024,MID(Osnovni_podaci!D20,3,1)="p",Osnovni_podaci!L24=0,Osnovni_podaci!G24=0,MID(Osnovni_podaci!D20,3,1)="p",MID(Osnovni_podaci!D20,8,1)="k"),VLOOKUP($B54,T_Aop[],5,1),A1)</f>
        <v>55 osim 555 i 556</v>
      </c>
      <c r="D54" s="439" t="str">
        <f>VLOOKUP($B54,T_Aop[],6,1)</f>
        <v>    7. Nematerijalni troškovi (bez poreza i doprinosa)</v>
      </c>
      <c r="E54" s="440"/>
      <c r="F54" s="440"/>
      <c r="G54" s="440"/>
      <c r="H54" s="441"/>
      <c r="I54" s="63">
        <f>VLOOKUP($B54,T_Aop[],4,1)</f>
        <v>234</v>
      </c>
      <c r="J54" s="120"/>
      <c r="K54" s="120"/>
      <c r="L54" s="121" t="n">
        <v>8212</v>
      </c>
      <c r="N54" s="52"/>
      <c r="P54" s="143"/>
    </row>
    <row r="55" spans="2:16" ht="14.25" customHeight="1">
      <c r="B55" s="25" t="n">
        <v>173</v>
      </c>
      <c r="C55" s="64" t="str">
        <f aca="1">IF(AND(Godina=2024,MID(Osnovni_podaci!D20,3,1)="p",Osnovni_podaci!L24=0,Osnovni_podaci!G24=0,MID(Osnovni_podaci!D20,3,1)="p",MID(Osnovni_podaci!D20,8,1)="k"),VLOOKUP($B55,T_Aop[],5,1),A1)</f>
        <v>555</v>
      </c>
      <c r="D55" s="436" t="str">
        <f>VLOOKUP($B55,T_Aop[],6,1)</f>
        <v>    8. Troškovi poreza</v>
      </c>
      <c r="E55" s="437"/>
      <c r="F55" s="437"/>
      <c r="G55" s="437"/>
      <c r="H55" s="438"/>
      <c r="I55" s="65">
        <f>VLOOKUP($B55,T_Aop[],4,1)</f>
        <v>235</v>
      </c>
      <c r="J55" s="122"/>
      <c r="K55" s="122" t="n">
        <v>22174</v>
      </c>
      <c r="L55" s="123" t="n">
        <v>15567</v>
      </c>
      <c r="N55" s="52"/>
      <c r="P55" s="143"/>
    </row>
    <row r="56" spans="2:16" ht="14.25" customHeight="1">
      <c r="B56" s="25" t="n">
        <v>174</v>
      </c>
      <c r="C56" s="62" t="str">
        <f aca="1">IF(AND(Godina=2024,MID(Osnovni_podaci!D20,3,1)="p",Osnovni_podaci!L24=0,Osnovni_podaci!G24=0,MID(Osnovni_podaci!D20,3,1)="p",MID(Osnovni_podaci!D20,8,1)="k"),VLOOKUP($B56,T_Aop[],5,1),A1)</f>
        <v>556</v>
      </c>
      <c r="D56" s="439" t="str">
        <f>VLOOKUP($B56,T_Aop[],6,1)</f>
        <v>    9. Troškovi doprinosa</v>
      </c>
      <c r="E56" s="440"/>
      <c r="F56" s="440"/>
      <c r="G56" s="440"/>
      <c r="H56" s="441"/>
      <c r="I56" s="63">
        <f>VLOOKUP($B56,T_Aop[],4,1)</f>
        <v>236</v>
      </c>
      <c r="J56" s="120"/>
      <c r="K56" s="120" t="n">
        <v>101</v>
      </c>
      <c r="L56" s="121" t="n">
        <v>89</v>
      </c>
      <c r="N56" s="52"/>
      <c r="P56" s="143"/>
    </row>
    <row r="57" spans="2:16" ht="12.75" customHeight="1">
      <c r="B57" s="25" t="n">
        <v>175</v>
      </c>
      <c r="C57" s="64">
        <f aca="1">IF(AND(Godina=2024,MID(Osnovni_podaci!D20,3,1)="p",Osnovni_podaci!L24=0,Osnovni_podaci!G24=0,MID(Osnovni_podaci!D20,3,1)="p",MID(Osnovni_podaci!D20,8,1)="k"),VLOOKUP($B57,T_Aop[],5,1),A1)</f>
        <v>0</v>
      </c>
      <c r="D57" s="443" t="str">
        <f>VLOOKUP($B57,T_Aop[],6,1)</f>
        <v>  B.  POSLOVNI DOBITAK (201 – 219)</v>
      </c>
      <c r="E57" s="444"/>
      <c r="F57" s="444"/>
      <c r="G57" s="444"/>
      <c r="H57" s="445"/>
      <c r="I57" s="133">
        <f>VLOOKUP($B57,T_Aop[],4,1)</f>
        <v>237</v>
      </c>
      <c r="J57" s="122"/>
      <c r="K57" s="40">
        <f aca="1">IF(AND(Godina=2024,MID(Osnovni_podaci!D20,3,1)="p",Osnovni_podaci!L24=0,Osnovni_podaci!G24=0,MID(Osnovni_podaci!D20,3,1)="p",MID(Osnovni_podaci!D20,8,1)="k"),IF(SUBTOTAL(9,K21:K34,K36,K38)-SUBTOTAL(9,K35,K37,K39:K56)&lt;=0,0,ABS(SUBTOTAL(9,K21:K34,K36,K38)-SUBTOTAL(9,K35,K37,K39:K56))),A1)</f>
        <v>0</v>
      </c>
      <c r="L57" s="41">
        <f aca="1">IF(AND(Godina=2024,MID(Osnovni_podaci!D20,3,1)="p",Osnovni_podaci!L24=0,Osnovni_podaci!G24=0,MID(Osnovni_podaci!D20,3,1)="p",MID(Osnovni_podaci!D20,8,1)="k"),IF(SUBTOTAL(9,L21:L34,L36,L38)-SUBTOTAL(9,L35,L37,L39:L56)&lt;=0,0,ABS(SUBTOTAL(9,L21:L34,L36,L38)-SUBTOTAL(9,L35,L37,L39:L56))),A1)</f>
        <v>14912</v>
      </c>
      <c r="N57" s="52"/>
      <c r="P57" s="143"/>
    </row>
    <row r="58" spans="2:16" ht="12.75" customHeight="1">
      <c r="B58" s="25" t="n">
        <v>176</v>
      </c>
      <c r="C58" s="62">
        <f aca="1">IF(AND(Godina=2024,MID(Osnovni_podaci!D20,3,1)="p",Osnovni_podaci!L24=0,Osnovni_podaci!G24=0,MID(Osnovni_podaci!D20,3,1)="p",MID(Osnovni_podaci!D20,8,1)="k"),VLOOKUP($B58,T_Aop[],5,1),A1)</f>
        <v>0</v>
      </c>
      <c r="D58" s="446" t="str">
        <f>VLOOKUP($B58,T_Aop[],6,1)</f>
        <v>  V.  POSLOVNI GUBITAK (219 – 201)</v>
      </c>
      <c r="E58" s="447"/>
      <c r="F58" s="447"/>
      <c r="G58" s="447"/>
      <c r="H58" s="448"/>
      <c r="I58" s="134">
        <f>VLOOKUP($B58,T_Aop[],4,1)</f>
        <v>238</v>
      </c>
      <c r="J58" s="120"/>
      <c r="K58" s="191">
        <f aca="1">IF(AND(Godina=2024,MID(Osnovni_podaci!D20,3,1)="p",Osnovni_podaci!L24=0,Osnovni_podaci!G24=0,MID(Osnovni_podaci!D20,3,1)="p",MID(Osnovni_podaci!D20,8,1)="k"),IF(SUBTOTAL(9,K21:K34,K36,K38)-SUBTOTAL(9,K35,K37,K39:K56)&gt;=0,0,ABS(SUBTOTAL(9,K21:K34,K36,K38)-SUBTOTAL(9,K35,K37,K39:K56))),A1)</f>
        <v>2805</v>
      </c>
      <c r="L58" s="300">
        <f aca="1">IF(AND(Godina=2024,MID(Osnovni_podaci!D20,3,1)="p",Osnovni_podaci!L24=0,Osnovni_podaci!G24=0,MID(Osnovni_podaci!D20,3,1)="p",MID(Osnovni_podaci!D20,8,1)="k"),IF(SUBTOTAL(9,L21:L34,L36,L38)-SUBTOTAL(9,L35,L37,L39:L56)&gt;=0,0,ABS(SUBTOTAL(9,L21:L34,L36,L38)-SUBTOTAL(9,L35,L37,L39:L56))),A1)</f>
        <v>0</v>
      </c>
      <c r="N58" s="52"/>
      <c r="P58" s="143"/>
    </row>
    <row r="59" spans="2:16" ht="22.50" customHeight="1">
      <c r="B59" s="25" t="n">
        <v>177</v>
      </c>
      <c r="C59" s="64" t="str">
        <f aca="1">IF(AND(Godina=2024,MID(Osnovni_podaci!D20,3,1)="p",Osnovni_podaci!L24=0,Osnovni_podaci!G24=0,MID(Osnovni_podaci!D20,3,1)="p",MID(Osnovni_podaci!D20,8,1)="k"),VLOOKUP($B59,T_Aop[],5,1),A1)</f>
        <v>66</v>
      </c>
      <c r="D59" s="443" t="str">
        <f>VLOOKUP($B59,T_Aop[],6,1)</f>
        <v>  G. FINANSIJSKI PRIHODI I RASHODI 
I  FINANSIJSKI PRIHODI (240 do 243)</v>
      </c>
      <c r="E59" s="444"/>
      <c r="F59" s="444"/>
      <c r="G59" s="444"/>
      <c r="H59" s="445"/>
      <c r="I59" s="133">
        <f>VLOOKUP($B59,T_Aop[],4,1)</f>
        <v>239</v>
      </c>
      <c r="J59" s="122"/>
      <c r="K59" s="40">
        <f aca="1">IF(AND(Godina=2024,MID(Osnovni_podaci!D20,3,1)="p",Osnovni_podaci!L24=0,Osnovni_podaci!G24=0,MID(Osnovni_podaci!D20,3,1)="p",MID(Osnovni_podaci!D20,8,1)="k"),SUBTOTAL(9,K60:K63),A1)</f>
        <v>0</v>
      </c>
      <c r="L59" s="41">
        <f aca="1">IF(AND(Godina=2024,MID(Osnovni_podaci!D20,3,1)="p",Osnovni_podaci!L24=0,Osnovni_podaci!G24=0,MID(Osnovni_podaci!D20,3,1)="p",MID(Osnovni_podaci!D20,8,1)="k"),SUBTOTAL(9,L60:L63),A1)</f>
        <v>0</v>
      </c>
      <c r="N59" s="52"/>
      <c r="P59" s="143"/>
    </row>
    <row r="60" spans="2:16" ht="13.50" customHeight="1">
      <c r="B60" s="25" t="n">
        <v>178</v>
      </c>
      <c r="C60" s="62" t="str">
        <f aca="1">IF(AND(Godina=2024,MID(Osnovni_podaci!D20,3,1)="p",Osnovni_podaci!L24=0,Osnovni_podaci!G24=0,MID(Osnovni_podaci!D20,3,1)="p",MID(Osnovni_podaci!D20,8,1)="k"),VLOOKUP($B60,T_Aop[],5,1),A1)</f>
        <v>660, 661</v>
      </c>
      <c r="D60" s="439" t="str">
        <f>VLOOKUP($B60,T_Aop[],6,1)</f>
        <v>    1.   Prihodi od kamata</v>
      </c>
      <c r="E60" s="440"/>
      <c r="F60" s="440"/>
      <c r="G60" s="440"/>
      <c r="H60" s="441"/>
      <c r="I60" s="63">
        <f>VLOOKUP($B60,T_Aop[],4,1)</f>
        <v>240</v>
      </c>
      <c r="J60" s="120"/>
      <c r="K60" s="120"/>
      <c r="L60" s="121"/>
      <c r="N60" s="52"/>
      <c r="P60" s="143"/>
    </row>
    <row r="61" spans="2:16" ht="13.50" customHeight="1">
      <c r="B61" s="25" t="n">
        <v>179</v>
      </c>
      <c r="C61" s="64" t="str">
        <f aca="1">IF(AND(Godina=2024,MID(Osnovni_podaci!D20,3,1)="p",Osnovni_podaci!L24=0,Osnovni_podaci!G24=0,MID(Osnovni_podaci!D20,3,1)="p",MID(Osnovni_podaci!D20,8,1)="k"),VLOOKUP($B61,T_Aop[],5,1),A1)</f>
        <v>662</v>
      </c>
      <c r="D61" s="436" t="str">
        <f>VLOOKUP($B61,T_Aop[],6,1)</f>
        <v>    2.   Pozitivne kursne razlike</v>
      </c>
      <c r="E61" s="437"/>
      <c r="F61" s="437"/>
      <c r="G61" s="437"/>
      <c r="H61" s="438"/>
      <c r="I61" s="65">
        <f>VLOOKUP($B61,T_Aop[],4,1)</f>
        <v>241</v>
      </c>
      <c r="J61" s="122"/>
      <c r="K61" s="122"/>
      <c r="L61" s="123"/>
      <c r="N61" s="52"/>
      <c r="P61" s="143"/>
    </row>
    <row r="62" spans="2:16" ht="13.50" customHeight="1">
      <c r="B62" s="25" t="n">
        <v>180</v>
      </c>
      <c r="C62" s="62" t="str">
        <f aca="1">IF(AND(Godina=2024,MID(Osnovni_podaci!D20,3,1)="p",Osnovni_podaci!L24=0,Osnovni_podaci!G24=0,MID(Osnovni_podaci!D20,3,1)="p",MID(Osnovni_podaci!D20,8,1)="k"),VLOOKUP($B62,T_Aop[],5,1),A1)</f>
        <v>663</v>
      </c>
      <c r="D62" s="439" t="str">
        <f>VLOOKUP($B62,T_Aop[],6,1)</f>
        <v>    3.   Prihodi od efekata valutne klauzule</v>
      </c>
      <c r="E62" s="440"/>
      <c r="F62" s="440"/>
      <c r="G62" s="440"/>
      <c r="H62" s="441"/>
      <c r="I62" s="63">
        <f>VLOOKUP($B62,T_Aop[],4,1)</f>
        <v>242</v>
      </c>
      <c r="J62" s="120"/>
      <c r="K62" s="120"/>
      <c r="L62" s="121"/>
      <c r="N62" s="52"/>
      <c r="P62" s="143"/>
    </row>
    <row r="63" spans="2:16" ht="13.50" customHeight="1">
      <c r="B63" s="25" t="n">
        <v>181</v>
      </c>
      <c r="C63" s="64" t="str">
        <f aca="1">IF(AND(Godina=2024,MID(Osnovni_podaci!D20,3,1)="p",Osnovni_podaci!L24=0,Osnovni_podaci!G24=0,MID(Osnovni_podaci!D20,3,1)="p",MID(Osnovni_podaci!D20,8,1)="k"),VLOOKUP($B63,T_Aop[],5,1),A1)</f>
        <v>669</v>
      </c>
      <c r="D63" s="436" t="str">
        <f>VLOOKUP($B63,T_Aop[],6,1)</f>
        <v>    4.   Ostali finansijski prihodi</v>
      </c>
      <c r="E63" s="437"/>
      <c r="F63" s="437"/>
      <c r="G63" s="437"/>
      <c r="H63" s="438"/>
      <c r="I63" s="65">
        <f>VLOOKUP($B63,T_Aop[],4,1)</f>
        <v>243</v>
      </c>
      <c r="J63" s="122"/>
      <c r="K63" s="122"/>
      <c r="L63" s="123"/>
      <c r="N63" s="52"/>
      <c r="P63" s="143"/>
    </row>
    <row r="64" spans="2:16" ht="15" customHeight="1">
      <c r="B64" s="25" t="n">
        <v>182</v>
      </c>
      <c r="C64" s="62" t="str">
        <f aca="1">IF(AND(Godina=2024,MID(Osnovni_podaci!D20,3,1)="p",Osnovni_podaci!L24=0,Osnovni_podaci!G24=0,MID(Osnovni_podaci!D20,3,1)="p",MID(Osnovni_podaci!D20,8,1)="k"),VLOOKUP($B64,T_Aop[],5,1),A1)</f>
        <v>56</v>
      </c>
      <c r="D64" s="446" t="str">
        <f>VLOOKUP($B64,T_Aop[],6,1)</f>
        <v>  II  FINANSIJSKI RASHODI (245 do 248)</v>
      </c>
      <c r="E64" s="447"/>
      <c r="F64" s="447"/>
      <c r="G64" s="447"/>
      <c r="H64" s="448"/>
      <c r="I64" s="134">
        <f>VLOOKUP($B64,T_Aop[],4,1)</f>
        <v>244</v>
      </c>
      <c r="J64" s="120"/>
      <c r="K64" s="39">
        <f aca="1">IF(AND(Godina=2024,MID(Osnovni_podaci!D20,3,1)="p",Osnovni_podaci!L24=0,Osnovni_podaci!G24=0,MID(Osnovni_podaci!D20,3,1)="p",MID(Osnovni_podaci!D20,8,1)="k"),SUBTOTAL(9,K65:K68),A1)</f>
        <v>13737</v>
      </c>
      <c r="L64" s="42">
        <f aca="1">IF(AND(Godina=2024,MID(Osnovni_podaci!D20,3,1)="p",Osnovni_podaci!L24=0,Osnovni_podaci!G24=0,MID(Osnovni_podaci!D20,3,1)="p",MID(Osnovni_podaci!D20,8,1)="k"),SUBTOTAL(9,L65:L68),A1)</f>
        <v>14255</v>
      </c>
      <c r="N64" s="52"/>
      <c r="P64" s="143"/>
    </row>
    <row r="65" spans="2:16" ht="13.50" customHeight="1">
      <c r="B65" s="25" t="n">
        <v>183</v>
      </c>
      <c r="C65" s="64" t="str">
        <f aca="1">IF(AND(Godina=2024,MID(Osnovni_podaci!D20,3,1)="p",Osnovni_podaci!L24=0,Osnovni_podaci!G24=0,MID(Osnovni_podaci!D20,3,1)="p",MID(Osnovni_podaci!D20,8,1)="k"),VLOOKUP($B65,T_Aop[],5,1),A1)</f>
        <v>560, 561</v>
      </c>
      <c r="D65" s="436" t="str">
        <f>VLOOKUP($B65,T_Aop[],6,1)</f>
        <v>    1. Rashodi kamata</v>
      </c>
      <c r="E65" s="437"/>
      <c r="F65" s="437"/>
      <c r="G65" s="437"/>
      <c r="H65" s="438"/>
      <c r="I65" s="65">
        <f>VLOOKUP($B65,T_Aop[],4,1)</f>
        <v>245</v>
      </c>
      <c r="J65" s="122"/>
      <c r="K65" s="122" t="n">
        <v>13737</v>
      </c>
      <c r="L65" s="123" t="n">
        <v>14255</v>
      </c>
      <c r="N65" s="52"/>
      <c r="P65" s="143"/>
    </row>
    <row r="66" spans="2:16" ht="13.50" customHeight="1">
      <c r="B66" s="25" t="n">
        <v>184</v>
      </c>
      <c r="C66" s="62" t="str">
        <f aca="1">IF(AND(Godina=2024,MID(Osnovni_podaci!D20,3,1)="p",Osnovni_podaci!L24=0,Osnovni_podaci!G24=0,MID(Osnovni_podaci!D20,3,1)="p",MID(Osnovni_podaci!D20,8,1)="k"),VLOOKUP($B66,T_Aop[],5,1),A1)</f>
        <v>562</v>
      </c>
      <c r="D66" s="439" t="str">
        <f>VLOOKUP($B66,T_Aop[],6,1)</f>
        <v>    2. Negativne kursne razlike</v>
      </c>
      <c r="E66" s="440"/>
      <c r="F66" s="440"/>
      <c r="G66" s="440"/>
      <c r="H66" s="441"/>
      <c r="I66" s="63">
        <f>VLOOKUP($B66,T_Aop[],4,1)</f>
        <v>246</v>
      </c>
      <c r="J66" s="120"/>
      <c r="K66" s="120"/>
      <c r="L66" s="121"/>
      <c r="N66" s="52"/>
      <c r="P66" s="143"/>
    </row>
    <row r="67" spans="2:16" ht="13.50" customHeight="1">
      <c r="B67" s="25" t="n">
        <v>185</v>
      </c>
      <c r="C67" s="64" t="str">
        <f aca="1">IF(AND(Godina=2024,MID(Osnovni_podaci!D20,3,1)="p",Osnovni_podaci!L24=0,Osnovni_podaci!G24=0,MID(Osnovni_podaci!D20,3,1)="p",MID(Osnovni_podaci!D20,8,1)="k"),VLOOKUP($B67,T_Aop[],5,1),A1)</f>
        <v>563</v>
      </c>
      <c r="D67" s="436" t="str">
        <f>VLOOKUP($B67,T_Aop[],6,1)</f>
        <v>    3. Rashodi po osnovu valutne klauzule</v>
      </c>
      <c r="E67" s="437"/>
      <c r="F67" s="437"/>
      <c r="G67" s="437"/>
      <c r="H67" s="438"/>
      <c r="I67" s="65">
        <f>VLOOKUP($B67,T_Aop[],4,1)</f>
        <v>247</v>
      </c>
      <c r="J67" s="122"/>
      <c r="K67" s="122"/>
      <c r="L67" s="123"/>
      <c r="N67" s="52"/>
      <c r="P67" s="143"/>
    </row>
    <row r="68" spans="2:16" ht="13.50" customHeight="1">
      <c r="B68" s="25" t="n">
        <v>186</v>
      </c>
      <c r="C68" s="62" t="str">
        <f aca="1">IF(AND(Godina=2024,MID(Osnovni_podaci!D20,3,1)="p",Osnovni_podaci!L24=0,Osnovni_podaci!G24=0,MID(Osnovni_podaci!D20,3,1)="p",MID(Osnovni_podaci!D20,8,1)="k"),VLOOKUP($B68,T_Aop[],5,1),A1)</f>
        <v>569</v>
      </c>
      <c r="D68" s="439" t="str">
        <f>VLOOKUP($B68,T_Aop[],6,1)</f>
        <v>    4. Ostali finansijski rashodi</v>
      </c>
      <c r="E68" s="440"/>
      <c r="F68" s="440"/>
      <c r="G68" s="440"/>
      <c r="H68" s="441"/>
      <c r="I68" s="63">
        <f>VLOOKUP($B68,T_Aop[],4,1)</f>
        <v>248</v>
      </c>
      <c r="J68" s="120"/>
      <c r="K68" s="120"/>
      <c r="L68" s="121"/>
      <c r="N68" s="52"/>
      <c r="P68" s="143"/>
    </row>
    <row r="69" spans="2:16" ht="21" customHeight="1">
      <c r="B69" s="25" t="n">
        <v>187</v>
      </c>
      <c r="C69" s="132">
        <f aca="1">IF(AND(Godina=2024,MID(Osnovni_podaci!D20,3,1)="p",Osnovni_podaci!L24=0,Osnovni_podaci!G24=0,MID(Osnovni_podaci!D20,3,1)="p",MID(Osnovni_podaci!D20,8,1)="k"),VLOOKUP($B69,T_Aop[],5,1),A1)</f>
        <v>0</v>
      </c>
      <c r="D69" s="443" t="str">
        <f>VLOOKUP($B69,T_Aop[],6,1)</f>
        <v>  D. DOBITAK REDOVNE AKTIVNOSTI  (237 + 239 – 244) ili (239-244-238)     </v>
      </c>
      <c r="E69" s="444"/>
      <c r="F69" s="444"/>
      <c r="G69" s="444"/>
      <c r="H69" s="445"/>
      <c r="I69" s="133">
        <f>VLOOKUP($B69,T_Aop[],4,1)</f>
        <v>249</v>
      </c>
      <c r="J69" s="122"/>
      <c r="K69" s="40">
        <f aca="1">IF(AND(Godina=2024,MID(Osnovni_podaci!D20,3,1)="p",Osnovni_podaci!L24=0,Osnovni_podaci!G24=0,MID(Osnovni_podaci!D20,3,1)="p",MID(Osnovni_podaci!D20,8,1)="k"),IF(SUBTOTAL(9,K21:K34,K36,K38,K59:K63)-SUBTOTAL(9,K35,K37,K39:K56,K64:K68)&lt;=0,0,ABS(SUBTOTAL(9,K21:K34,K36,K38,K59:K63)-SUBTOTAL(9,K35,K37,K39:K56,K64:K68))),A1)</f>
        <v>0</v>
      </c>
      <c r="L69" s="41">
        <f aca="1">IF(AND(Godina=2024,MID(Osnovni_podaci!D20,3,1)="p",Osnovni_podaci!L24=0,Osnovni_podaci!G24=0,MID(Osnovni_podaci!D20,3,1)="p",MID(Osnovni_podaci!D20,8,1)="k"),IF(SUBTOTAL(9,L21:L34,L36,L38,L59:L63)-SUBTOTAL(9,L35,L37,L39:L56,L64:L68)&lt;=0,0,ABS(SUBTOTAL(9,L21:L34,L36,L38,L59:L63)-SUBTOTAL(9,L35,L37,L39:L56,L64:L68))),A1)</f>
        <v>657</v>
      </c>
      <c r="N69" s="52"/>
      <c r="P69" s="143"/>
    </row>
    <row r="70" spans="2:16" ht="21" customHeight="1">
      <c r="B70" s="25" t="n">
        <v>188</v>
      </c>
      <c r="C70" s="62">
        <f aca="1">IF(AND(Godina=2024,MID(Osnovni_podaci!D20,3,1)="p",Osnovni_podaci!L24=0,Osnovni_podaci!G24=0,MID(Osnovni_podaci!D20,3,1)="p",MID(Osnovni_podaci!D20,8,1)="k"),VLOOKUP($B70,T_Aop[],5,1),A1)</f>
        <v>0</v>
      </c>
      <c r="D70" s="446" t="str">
        <f>VLOOKUP($B70,T_Aop[],6,1)</f>
        <v>  Đ. GUBITAK REDOVNE AKTIVNOSTI (238 + 244 -239) ili (244-239-237)</v>
      </c>
      <c r="E70" s="447"/>
      <c r="F70" s="447"/>
      <c r="G70" s="447"/>
      <c r="H70" s="448"/>
      <c r="I70" s="134">
        <f>VLOOKUP($B70,T_Aop[],4,1)</f>
        <v>250</v>
      </c>
      <c r="J70" s="120"/>
      <c r="K70" s="191">
        <f aca="1">IF(AND(Godina=2024,MID(Osnovni_podaci!D20,3,1)="p",Osnovni_podaci!L24=0,Osnovni_podaci!G24=0,MID(Osnovni_podaci!D20,3,1)="p",MID(Osnovni_podaci!D20,8,1)="k"),IF(SUBTOTAL(9,K21:K34,K36,K38,K59:K63)-SUBTOTAL(9,K35,K37,K39:K56,K64:K68)&gt;=0,0,ABS(SUBTOTAL(9,K21:K34,K36,K38,K59:K63)-SUBTOTAL(9,K35,K37,K39:K56,K64:K68))),A1)</f>
        <v>16542</v>
      </c>
      <c r="L70" s="300">
        <f aca="1">IF(AND(Godina=2024,MID(Osnovni_podaci!D20,3,1)="p",Osnovni_podaci!L24=0,Osnovni_podaci!G24=0,MID(Osnovni_podaci!D20,3,1)="p",MID(Osnovni_podaci!D20,8,1)="k"),IF(SUBTOTAL(9,L21:L34,L36,L38,L59:L63)-SUBTOTAL(9,L35,L37,L39:L56,L64:L68)&gt;=0,0,ABS(SUBTOTAL(9,L21:L34,L36,L38,L59:L63)-SUBTOTAL(9,L35,L37,L39:L56,L64:L68))),A1)</f>
        <v>0</v>
      </c>
      <c r="N70" s="52"/>
      <c r="P70" s="143"/>
    </row>
    <row r="71" spans="2:16" ht="23.25" customHeight="1">
      <c r="B71" s="25" t="n">
        <v>189</v>
      </c>
      <c r="C71" s="64" t="str">
        <f aca="1">IF(AND(Godina=2024,MID(Osnovni_podaci!D20,3,1)="p",Osnovni_podaci!L24=0,Osnovni_podaci!G24=0,MID(Osnovni_podaci!D20,3,1)="p",MID(Osnovni_podaci!D20,8,1)="k"),VLOOKUP($B71,T_Aop[],5,1),A1)</f>
        <v>67</v>
      </c>
      <c r="D71" s="443" t="str">
        <f>VLOOKUP($B71,T_Aop[],6,1)</f>
        <v>  E. OSTALI DOBICI I GUBICI 
I OSTALI PRIHODI I DOBICI (252 do 260)</v>
      </c>
      <c r="E71" s="444"/>
      <c r="F71" s="444"/>
      <c r="G71" s="444"/>
      <c r="H71" s="445"/>
      <c r="I71" s="133">
        <f>VLOOKUP($B71,T_Aop[],4,1)</f>
        <v>251</v>
      </c>
      <c r="J71" s="122"/>
      <c r="K71" s="40">
        <f aca="1">IF(AND(Godina=2024,MID(Osnovni_podaci!D20,3,1)="p",Osnovni_podaci!L24=0,Osnovni_podaci!G24=0,MID(Osnovni_podaci!D20,3,1)="p",MID(Osnovni_podaci!D20,8,1)="k"),SUBTOTAL(9,K72:K80),A1)</f>
        <v>17502</v>
      </c>
      <c r="L71" s="41">
        <f aca="1">IF(AND(Godina=2024,MID(Osnovni_podaci!D20,3,1)="p",Osnovni_podaci!L24=0,Osnovni_podaci!G24=0,MID(Osnovni_podaci!D20,3,1)="p",MID(Osnovni_podaci!D20,8,1)="k"),SUBTOTAL(9,L72:L80),A1)</f>
        <v>37</v>
      </c>
      <c r="N71" s="52"/>
      <c r="P71" s="143"/>
    </row>
    <row r="72" spans="2:16" ht="23.25" customHeight="1">
      <c r="B72" s="25" t="n">
        <v>190</v>
      </c>
      <c r="C72" s="62" t="str">
        <f aca="1">IF(AND(Godina=2024,MID(Osnovni_podaci!D20,3,1)="p",Osnovni_podaci!L24=0,Osnovni_podaci!G24=0,MID(Osnovni_podaci!D20,3,1)="p",MID(Osnovni_podaci!D20,8,1)="k"),VLOOKUP($B72,T_Aop[],5,1),A1)</f>
        <v>670, 570 neto prikaz</v>
      </c>
      <c r="D72" s="439" t="str">
        <f>VLOOKUP($B72,T_Aop[],6,1)</f>
        <v>    1. Neto dobici po osnovu prodaje nematerijalnih sredstava, nekretnina, postrojenja i opreme</v>
      </c>
      <c r="E72" s="440"/>
      <c r="F72" s="440"/>
      <c r="G72" s="440"/>
      <c r="H72" s="441"/>
      <c r="I72" s="63">
        <f>VLOOKUP($B72,T_Aop[],4,1)</f>
        <v>252</v>
      </c>
      <c r="J72" s="120"/>
      <c r="K72" s="120" t="n">
        <v>17502</v>
      </c>
      <c r="L72" s="121"/>
      <c r="N72" s="52"/>
      <c r="P72" s="143"/>
    </row>
    <row r="73" spans="2:16" ht="23.25" customHeight="1">
      <c r="B73" s="25" t="n">
        <v>191</v>
      </c>
      <c r="C73" s="64" t="str">
        <f aca="1">IF(AND(Godina=2024,MID(Osnovni_podaci!D20,3,1)="p",Osnovni_podaci!L24=0,Osnovni_podaci!G24=0,MID(Osnovni_podaci!D20,3,1)="p",MID(Osnovni_podaci!D20,8,1)="k"),VLOOKUP($B73,T_Aop[],5,1),A1)</f>
        <v>671, 571 neto prikaz</v>
      </c>
      <c r="D73" s="436" t="str">
        <f>VLOOKUP($B73,T_Aop[],6,1)</f>
        <v>    2. Neto dobici po osnovu prodaje investicionih nekretnina</v>
      </c>
      <c r="E73" s="437"/>
      <c r="F73" s="437"/>
      <c r="G73" s="437"/>
      <c r="H73" s="438"/>
      <c r="I73" s="65">
        <f>VLOOKUP($B73,T_Aop[],4,1)</f>
        <v>253</v>
      </c>
      <c r="J73" s="122"/>
      <c r="K73" s="122"/>
      <c r="L73" s="123"/>
      <c r="N73" s="52"/>
      <c r="P73" s="143"/>
    </row>
    <row r="74" spans="2:16" ht="23.25" customHeight="1">
      <c r="B74" s="25" t="n">
        <v>192</v>
      </c>
      <c r="C74" s="62" t="str">
        <f aca="1">IF(AND(Godina=2024,MID(Osnovni_podaci!D20,3,1)="p",Osnovni_podaci!L24=0,Osnovni_podaci!G24=0,MID(Osnovni_podaci!D20,3,1)="p",MID(Osnovni_podaci!D20,8,1)="k"),VLOOKUP($B74,T_Aop[],5,1),A1)</f>
        <v>672, 572 neto prikaz</v>
      </c>
      <c r="D74" s="439" t="str">
        <f>VLOOKUP($B74,T_Aop[],6,1)</f>
        <v>    3. Neto dobici po osnovu prodaje bioloških sredstava</v>
      </c>
      <c r="E74" s="440"/>
      <c r="F74" s="440"/>
      <c r="G74" s="440"/>
      <c r="H74" s="441"/>
      <c r="I74" s="63">
        <f>VLOOKUP($B74,T_Aop[],4,1)</f>
        <v>254</v>
      </c>
      <c r="J74" s="120"/>
      <c r="K74" s="120"/>
      <c r="L74" s="121"/>
      <c r="N74" s="52"/>
      <c r="P74" s="143"/>
    </row>
    <row r="75" spans="2:16" ht="23.25" customHeight="1">
      <c r="B75" s="25" t="n">
        <v>193</v>
      </c>
      <c r="C75" s="64" t="str">
        <f aca="1">IF(AND(Godina=2024,MID(Osnovni_podaci!D20,3,1)="p",Osnovni_podaci!L24=0,Osnovni_podaci!G24=0,MID(Osnovni_podaci!D20,3,1)="p",MID(Osnovni_podaci!D20,8,1)="k"),VLOOKUP($B75,T_Aop[],5,1),A1)</f>
        <v>673, 573, neto prikaz</v>
      </c>
      <c r="D75" s="436" t="str">
        <f>VLOOKUP($B75,T_Aop[],6,1)</f>
        <v>    4. Neto dobici po osnovu prodaje stalnih sredstava namijenjenih prodaji i sredstava poslovanja koje se obustavlja</v>
      </c>
      <c r="E75" s="437"/>
      <c r="F75" s="437"/>
      <c r="G75" s="437"/>
      <c r="H75" s="438"/>
      <c r="I75" s="65">
        <f>VLOOKUP($B75,T_Aop[],4,1)</f>
        <v>255</v>
      </c>
      <c r="J75" s="122"/>
      <c r="K75" s="122"/>
      <c r="L75" s="123"/>
      <c r="N75" s="52"/>
      <c r="P75" s="143"/>
    </row>
    <row r="76" spans="2:16" ht="23.25" customHeight="1">
      <c r="B76" s="25" t="n">
        <v>194</v>
      </c>
      <c r="C76" s="62" t="str">
        <f aca="1">IF(AND(Godina=2024,MID(Osnovni_podaci!D20,3,1)="p",Osnovni_podaci!L24=0,Osnovni_podaci!G24=0,MID(Osnovni_podaci!D20,3,1)="p",MID(Osnovni_podaci!D20,8,1)="k"),VLOOKUP($B76,T_Aop[],5,1),A1)</f>
        <v>674, 574 neto prikaz</v>
      </c>
      <c r="D76" s="439" t="str">
        <f>VLOOKUP($B76,T_Aop[],6,1)</f>
        <v>    5. Neto dobici po osnovu prodaje finansijskih sredstava i ulaganja u povezana lica</v>
      </c>
      <c r="E76" s="440"/>
      <c r="F76" s="440"/>
      <c r="G76" s="440"/>
      <c r="H76" s="441"/>
      <c r="I76" s="63">
        <f>VLOOKUP($B76,T_Aop[],4,1)</f>
        <v>256</v>
      </c>
      <c r="J76" s="120"/>
      <c r="K76" s="120"/>
      <c r="L76" s="121"/>
      <c r="N76" s="52"/>
      <c r="P76" s="143"/>
    </row>
    <row r="77" spans="2:16" ht="23.25" customHeight="1">
      <c r="B77" s="25" t="n">
        <v>195</v>
      </c>
      <c r="C77" s="64" t="str">
        <f aca="1">IF(AND(Godina=2024,MID(Osnovni_podaci!D20,3,1)="p",Osnovni_podaci!L24=0,Osnovni_podaci!G24=0,MID(Osnovni_podaci!D20,3,1)="p",MID(Osnovni_podaci!D20,8,1)="k"),VLOOKUP($B77,T_Aop[],5,1),A1)</f>
        <v>675, 575 neto prikaz</v>
      </c>
      <c r="D77" s="436" t="str">
        <f>VLOOKUP($B77,T_Aop[],6,1)</f>
        <v>    6. Neto dobici po osnovu prodaje materijala</v>
      </c>
      <c r="E77" s="437"/>
      <c r="F77" s="437"/>
      <c r="G77" s="437"/>
      <c r="H77" s="438"/>
      <c r="I77" s="65">
        <f>VLOOKUP($B77,T_Aop[],4,1)</f>
        <v>257</v>
      </c>
      <c r="J77" s="122"/>
      <c r="K77" s="122"/>
      <c r="L77" s="123"/>
      <c r="N77" s="52"/>
      <c r="P77" s="143"/>
    </row>
    <row r="78" spans="2:16" ht="13.50" customHeight="1">
      <c r="B78" s="25" t="n">
        <v>196</v>
      </c>
      <c r="C78" s="62" t="str">
        <f aca="1">IF(AND(Godina=2024,MID(Osnovni_podaci!D20,3,1)="p",Osnovni_podaci!L24=0,Osnovni_podaci!G24=0,MID(Osnovni_podaci!D20,3,1)="p",MID(Osnovni_podaci!D20,8,1)="k"),VLOOKUP($B78,T_Aop[],5,1),A1)</f>
        <v>676</v>
      </c>
      <c r="D78" s="439" t="str">
        <f>VLOOKUP($B78,T_Aop[],6,1)</f>
        <v>    7. Viškovi</v>
      </c>
      <c r="E78" s="440"/>
      <c r="F78" s="440"/>
      <c r="G78" s="440"/>
      <c r="H78" s="441"/>
      <c r="I78" s="63">
        <f>VLOOKUP($B78,T_Aop[],4,1)</f>
        <v>258</v>
      </c>
      <c r="J78" s="120"/>
      <c r="K78" s="120"/>
      <c r="L78" s="121"/>
      <c r="N78" s="52"/>
      <c r="P78" s="144" t="s">
        <v>69</v>
      </c>
    </row>
    <row r="79" spans="2:16" ht="13.50" customHeight="1">
      <c r="B79" s="25" t="n">
        <v>197</v>
      </c>
      <c r="C79" s="64" t="str">
        <f aca="1">IF(AND(Godina=2024,MID(Osnovni_podaci!D20,3,1)="p",Osnovni_podaci!L24=0,Osnovni_podaci!G24=0,MID(Osnovni_podaci!D20,3,1)="p",MID(Osnovni_podaci!D20,8,1)="k"),VLOOKUP($B79,T_Aop[],5,1),A1)</f>
        <v>677, 679</v>
      </c>
      <c r="D79" s="436" t="str">
        <f>VLOOKUP($B79,T_Aop[],6,1)</f>
        <v>    8. Ostali prihodi i dobici </v>
      </c>
      <c r="E79" s="437"/>
      <c r="F79" s="437"/>
      <c r="G79" s="437"/>
      <c r="H79" s="438"/>
      <c r="I79" s="65">
        <f>VLOOKUP($B79,T_Aop[],4,1)</f>
        <v>259</v>
      </c>
      <c r="J79" s="122"/>
      <c r="K79" s="122"/>
      <c r="L79" s="123" t="n">
        <v>37</v>
      </c>
      <c r="N79" s="52"/>
      <c r="P79" s="144" t="s">
        <v>69</v>
      </c>
    </row>
    <row r="80" spans="2:16" ht="13.50" customHeight="1">
      <c r="B80" s="25" t="n">
        <v>198</v>
      </c>
      <c r="C80" s="62" t="str">
        <f aca="1">IF(AND(Godina=2024,MID(Osnovni_podaci!D20,3,1)="p",Osnovni_podaci!L24=0,Osnovni_podaci!G24=0,MID(Osnovni_podaci!D20,3,1)="p",MID(Osnovni_podaci!D20,8,1)="k"),VLOOKUP($B80,T_Aop[],5,1),A1)</f>
        <v>678, 577</v>
      </c>
      <c r="D80" s="439" t="str">
        <f>VLOOKUP($B80,T_Aop[],6,1)</f>
        <v>    9.  Neto dobici od derivatnih finansijskih instrumenata </v>
      </c>
      <c r="E80" s="440"/>
      <c r="F80" s="440"/>
      <c r="G80" s="440"/>
      <c r="H80" s="441"/>
      <c r="I80" s="63">
        <f>VLOOKUP($B80,T_Aop[],4,1)</f>
        <v>260</v>
      </c>
      <c r="J80" s="120"/>
      <c r="K80" s="120"/>
      <c r="L80" s="121"/>
      <c r="N80" s="52"/>
      <c r="P80" s="143"/>
    </row>
    <row r="81" spans="2:16" ht="15.75" customHeight="1">
      <c r="B81" s="25" t="n">
        <v>199</v>
      </c>
      <c r="C81" s="64" t="str">
        <f aca="1">IF(AND(Godina=2024,MID(Osnovni_podaci!D20,3,1)="p",Osnovni_podaci!L24=0,Osnovni_podaci!G24=0,MID(Osnovni_podaci!D20,3,1)="p",MID(Osnovni_podaci!D20,8,1)="k"),VLOOKUP($B81,T_Aop[],5,1),A1)</f>
        <v>57</v>
      </c>
      <c r="D81" s="443" t="str">
        <f>VLOOKUP($B81,T_Aop[],6,1)</f>
        <v>  II  OSTALI RASHODI I GUBICI (262 do 270)</v>
      </c>
      <c r="E81" s="444"/>
      <c r="F81" s="444"/>
      <c r="G81" s="444"/>
      <c r="H81" s="445"/>
      <c r="I81" s="133">
        <f>VLOOKUP($B81,T_Aop[],4,1)</f>
        <v>261</v>
      </c>
      <c r="J81" s="122"/>
      <c r="K81" s="40">
        <f aca="1">IF(AND(Godina=2024,MID(Osnovni_podaci!D20,3,1)="p",Osnovni_podaci!L24=0,Osnovni_podaci!G24=0,MID(Osnovni_podaci!D20,3,1)="p",MID(Osnovni_podaci!D20,8,1)="k"),SUBTOTAL(9,K82:K90),A1)</f>
        <v>5</v>
      </c>
      <c r="L81" s="41">
        <f aca="1">IF(AND(Godina=2024,MID(Osnovni_podaci!D20,3,1)="p",Osnovni_podaci!L24=0,Osnovni_podaci!G24=0,MID(Osnovni_podaci!D20,3,1)="p",MID(Osnovni_podaci!D20,8,1)="k"),SUBTOTAL(9,L82:L90),A1)</f>
        <v>2</v>
      </c>
      <c r="N81" s="52"/>
      <c r="P81" s="143"/>
    </row>
    <row r="82" spans="2:16" ht="22.50" customHeight="1">
      <c r="B82" s="25" t="n">
        <v>200</v>
      </c>
      <c r="C82" s="62" t="str">
        <f aca="1">IF(AND(Godina=2024,MID(Osnovni_podaci!D20,3,1)="p",Osnovni_podaci!L24=0,Osnovni_podaci!G24=0,MID(Osnovni_podaci!D20,3,1)="p",MID(Osnovni_podaci!D20,8,1)="k"),VLOOKUP($B82,T_Aop[],5,1),A1)</f>
        <v>570, 670 neto prikaz</v>
      </c>
      <c r="D82" s="439" t="str">
        <f>VLOOKUP($B82,T_Aop[],6,1)</f>
        <v>    1. Neto gubici po osnovu otuđenja nematerijalnih sredstava, nekretnina, postrojenja i opreme</v>
      </c>
      <c r="E82" s="440"/>
      <c r="F82" s="440"/>
      <c r="G82" s="440"/>
      <c r="H82" s="441"/>
      <c r="I82" s="63">
        <f>VLOOKUP($B82,T_Aop[],4,1)</f>
        <v>262</v>
      </c>
      <c r="J82" s="120"/>
      <c r="K82" s="120"/>
      <c r="L82" s="121"/>
      <c r="N82" s="52"/>
      <c r="P82" s="143"/>
    </row>
    <row r="83" spans="2:16" ht="22.50" customHeight="1">
      <c r="B83" s="25" t="n">
        <v>201</v>
      </c>
      <c r="C83" s="64" t="str">
        <f aca="1">IF(AND(Godina=2024,MID(Osnovni_podaci!D20,3,1)="p",Osnovni_podaci!L24=0,Osnovni_podaci!G24=0,MID(Osnovni_podaci!D20,3,1)="p",MID(Osnovni_podaci!D20,8,1)="k"),VLOOKUP($B83,T_Aop[],5,1),A1)</f>
        <v>571, 671 neto prikaz</v>
      </c>
      <c r="D83" s="436" t="str">
        <f>VLOOKUP($B83,T_Aop[],6,1)</f>
        <v>    2. Neto gubici po osnovu otuđenja investicionih nekretnina</v>
      </c>
      <c r="E83" s="437"/>
      <c r="F83" s="437"/>
      <c r="G83" s="437"/>
      <c r="H83" s="438"/>
      <c r="I83" s="65">
        <f>VLOOKUP($B83,T_Aop[],4,1)</f>
        <v>263</v>
      </c>
      <c r="J83" s="122"/>
      <c r="K83" s="122"/>
      <c r="L83" s="123"/>
      <c r="N83" s="52"/>
      <c r="P83" s="143"/>
    </row>
    <row r="84" spans="2:16" ht="22.50" customHeight="1">
      <c r="B84" s="25" t="n">
        <v>202</v>
      </c>
      <c r="C84" s="62" t="str">
        <f aca="1">IF(AND(Godina=2024,MID(Osnovni_podaci!D20,3,1)="p",Osnovni_podaci!L24=0,Osnovni_podaci!G24=0,MID(Osnovni_podaci!D20,3,1)="p",MID(Osnovni_podaci!D20,8,1)="k"),VLOOKUP($B84,T_Aop[],5,1),A1)</f>
        <v>572, 672 neto prikaz</v>
      </c>
      <c r="D84" s="439" t="str">
        <f>VLOOKUP($B84,T_Aop[],6,1)</f>
        <v>    3. Neto gubici po osnovu otuđenja bioloških sredstava</v>
      </c>
      <c r="E84" s="440"/>
      <c r="F84" s="440"/>
      <c r="G84" s="440"/>
      <c r="H84" s="441"/>
      <c r="I84" s="63">
        <f>VLOOKUP($B84,T_Aop[],4,1)</f>
        <v>264</v>
      </c>
      <c r="J84" s="120"/>
      <c r="K84" s="120"/>
      <c r="L84" s="121"/>
      <c r="N84" s="52"/>
      <c r="P84" s="143"/>
    </row>
    <row r="85" spans="2:16" ht="22.50" customHeight="1">
      <c r="B85" s="25" t="n">
        <v>203</v>
      </c>
      <c r="C85" s="64" t="str">
        <f aca="1">IF(AND(Godina=2024,MID(Osnovni_podaci!D20,3,1)="p",Osnovni_podaci!L24=0,Osnovni_podaci!G24=0,MID(Osnovni_podaci!D20,3,1)="p",MID(Osnovni_podaci!D20,8,1)="k"),VLOOKUP($B85,T_Aop[],5,1),A1)</f>
        <v>573, 673, neto prikaz</v>
      </c>
      <c r="D85" s="436" t="str">
        <f>VLOOKUP($B85,T_Aop[],6,1)</f>
        <v>    4. Neto gubici po osnovu otuđenja stalnih sredstava namijenjenih prodaji i sredstava poslovanja koje se obustavlja</v>
      </c>
      <c r="E85" s="437"/>
      <c r="F85" s="437"/>
      <c r="G85" s="437"/>
      <c r="H85" s="438"/>
      <c r="I85" s="65">
        <f>VLOOKUP($B85,T_Aop[],4,1)</f>
        <v>265</v>
      </c>
      <c r="J85" s="122"/>
      <c r="K85" s="122"/>
      <c r="L85" s="123"/>
      <c r="N85" s="52"/>
      <c r="P85" s="143"/>
    </row>
    <row r="86" spans="2:16" ht="22.50" customHeight="1">
      <c r="B86" s="25" t="n">
        <v>204</v>
      </c>
      <c r="C86" s="62" t="str">
        <f aca="1">IF(AND(Godina=2024,MID(Osnovni_podaci!D20,3,1)="p",Osnovni_podaci!L24=0,Osnovni_podaci!G24=0,MID(Osnovni_podaci!D20,3,1)="p",MID(Osnovni_podaci!D20,8,1)="k"),VLOOKUP($B86,T_Aop[],5,1),A1)</f>
        <v>574, 674 neto prikaz</v>
      </c>
      <c r="D86" s="439" t="str">
        <f>VLOOKUP($B86,T_Aop[],6,1)</f>
        <v>    5. Neto gubici od otuđenja finansijskih sredstava i ulaganja u povezana lica</v>
      </c>
      <c r="E86" s="440"/>
      <c r="F86" s="440"/>
      <c r="G86" s="440"/>
      <c r="H86" s="441"/>
      <c r="I86" s="63">
        <f>VLOOKUP($B86,T_Aop[],4,1)</f>
        <v>266</v>
      </c>
      <c r="J86" s="120"/>
      <c r="K86" s="120"/>
      <c r="L86" s="121"/>
      <c r="N86" s="52"/>
      <c r="P86" s="143"/>
    </row>
    <row r="87" spans="2:16" ht="22.50" customHeight="1">
      <c r="B87" s="25" t="n">
        <v>205</v>
      </c>
      <c r="C87" s="64" t="str">
        <f aca="1">IF(AND(Godina=2024,MID(Osnovni_podaci!D20,3,1)="p",Osnovni_podaci!L24=0,Osnovni_podaci!G24=0,MID(Osnovni_podaci!D20,3,1)="p",MID(Osnovni_podaci!D20,8,1)="k"),VLOOKUP($B87,T_Aop[],5,1),A1)</f>
        <v>575, 675 neto prikaz </v>
      </c>
      <c r="D87" s="436" t="str">
        <f>VLOOKUP($B87,T_Aop[],6,1)</f>
        <v>    6. Neto gubici po osnovu prodaje materijala</v>
      </c>
      <c r="E87" s="437"/>
      <c r="F87" s="437"/>
      <c r="G87" s="437"/>
      <c r="H87" s="438"/>
      <c r="I87" s="65">
        <f>VLOOKUP($B87,T_Aop[],4,1)</f>
        <v>267</v>
      </c>
      <c r="J87" s="122"/>
      <c r="K87" s="122"/>
      <c r="L87" s="123"/>
      <c r="N87" s="52"/>
      <c r="P87" s="143"/>
    </row>
    <row r="88" spans="2:16" ht="14.25" customHeight="1">
      <c r="B88" s="25" t="n">
        <v>206</v>
      </c>
      <c r="C88" s="62" t="str">
        <f aca="1">IF(AND(Godina=2024,MID(Osnovni_podaci!D20,3,1)="p",Osnovni_podaci!L24=0,Osnovni_podaci!G24=0,MID(Osnovni_podaci!D20,3,1)="p",MID(Osnovni_podaci!D20,8,1)="k"),VLOOKUP($B88,T_Aop[],5,1),A1)</f>
        <v>576</v>
      </c>
      <c r="D88" s="439" t="str">
        <f>VLOOKUP($B88,T_Aop[],6,1)</f>
        <v>    7.  Manjkovi</v>
      </c>
      <c r="E88" s="440"/>
      <c r="F88" s="440"/>
      <c r="G88" s="440"/>
      <c r="H88" s="441"/>
      <c r="I88" s="63">
        <f>VLOOKUP($B88,T_Aop[],4,1)</f>
        <v>268</v>
      </c>
      <c r="J88" s="120"/>
      <c r="K88" s="120"/>
      <c r="L88" s="121"/>
      <c r="N88" s="52"/>
      <c r="P88" s="144" t="s">
        <v>69</v>
      </c>
    </row>
    <row r="89" spans="2:16" ht="22.50" customHeight="1">
      <c r="B89" s="25" t="n">
        <v>207</v>
      </c>
      <c r="C89" s="64" t="str">
        <f aca="1">IF(AND(Godina=2024,MID(Osnovni_podaci!D20,3,1)="p",Osnovni_podaci!L24=0,Osnovni_podaci!G24=0,MID(Osnovni_podaci!D20,3,1)="p",MID(Osnovni_podaci!D20,8,1)="k"),VLOOKUP($B89,T_Aop[],5,1),A1)</f>
        <v>577, 678 neto prikaz</v>
      </c>
      <c r="D89" s="436" t="str">
        <f aca="1">IF(AND(Godina=2024,MID(Osnovni_podaci!D20,3,1)="p",Osnovni_podaci!L24=0,Osnovni_podaci!G24=0,MID(Osnovni_podaci!D20,3,1)="p",MID(Osnovni_podaci!D20,8,1)="k"),VLOOKUP($B89,T_Aop[],6,1),A1)</f>
        <v>    8. Neto gubici od derivatnih finansijskih instrumenata</v>
      </c>
      <c r="E89" s="437"/>
      <c r="F89" s="437"/>
      <c r="G89" s="437"/>
      <c r="H89" s="438"/>
      <c r="I89" s="65">
        <f>VLOOKUP($B89,T_Aop[],4,1)</f>
        <v>269</v>
      </c>
      <c r="J89" s="122"/>
      <c r="K89" s="122"/>
      <c r="L89" s="123"/>
      <c r="N89" s="52"/>
      <c r="P89" s="143"/>
    </row>
    <row r="90" spans="2:16" ht="14.25" customHeight="1">
      <c r="B90" s="25" t="n">
        <v>208</v>
      </c>
      <c r="C90" s="62" t="str">
        <f aca="1">IF(AND(Godina=2024,MID(Osnovni_podaci!D20,3,1)="p",Osnovni_podaci!L24=0,Osnovni_podaci!G24=0,MID(Osnovni_podaci!D20,3,1)="p",MID(Osnovni_podaci!D20,8,1)="k"),VLOOKUP($B90,T_Aop[],5,1),A1)</f>
        <v>578, 579</v>
      </c>
      <c r="D90" s="439" t="str">
        <f aca="1">IF(AND(Godina=2024,MID(Osnovni_podaci!D20,3,1)="p",Osnovni_podaci!L24=0,Osnovni_podaci!G24=0,MID(Osnovni_podaci!D20,3,1)="p",MID(Osnovni_podaci!D20,8,1)="k"),VLOOKUP($B90,T_Aop[],6,1),A1)</f>
        <v>    9. Ostali rashodi i gubici</v>
      </c>
      <c r="E90" s="440"/>
      <c r="F90" s="440"/>
      <c r="G90" s="440"/>
      <c r="H90" s="441"/>
      <c r="I90" s="63">
        <f>VLOOKUP($B90,T_Aop[],4,1)</f>
        <v>270</v>
      </c>
      <c r="J90" s="120"/>
      <c r="K90" s="120" t="n">
        <v>5</v>
      </c>
      <c r="L90" s="121" t="n">
        <v>2</v>
      </c>
      <c r="N90" s="52"/>
      <c r="P90" s="143"/>
    </row>
    <row r="91" spans="2:16" ht="12.75" customHeight="1">
      <c r="B91" s="25" t="n">
        <v>209</v>
      </c>
      <c r="C91" s="132">
        <f aca="1">IF(AND(Godina=2024,MID(Osnovni_podaci!D20,3,1)="p",Osnovni_podaci!L24=0,Osnovni_podaci!G24=0,MID(Osnovni_podaci!D20,3,1)="p",MID(Osnovni_podaci!D20,8,1)="k"),VLOOKUP($B91,T_Aop[],5,1),A1)</f>
        <v>0</v>
      </c>
      <c r="D91" s="443" t="str">
        <f aca="1">IF(AND(Godina=2024,MID(Osnovni_podaci!D20,3,1)="p",Osnovni_podaci!L24=0,Osnovni_podaci!G24=0,MID(Osnovni_podaci!D20,3,1)="p",MID(Osnovni_podaci!D20,8,1)="k"),VLOOKUP($B91,T_Aop[],6,1),A1)</f>
        <v>  Ž. DOBITAK PO OSNOVU OSTALIH PRIHODA I RASHODA (251 – 261)</v>
      </c>
      <c r="E91" s="444"/>
      <c r="F91" s="444"/>
      <c r="G91" s="444"/>
      <c r="H91" s="445"/>
      <c r="I91" s="133">
        <f>VLOOKUP($B91,T_Aop[],4,1)</f>
        <v>271</v>
      </c>
      <c r="J91" s="122"/>
      <c r="K91" s="40">
        <f aca="1">IF(AND(Godina=2024,MID(Osnovni_podaci!D20,3,1)="p",Osnovni_podaci!L24=0,Osnovni_podaci!G24=0,MID(Osnovni_podaci!D20,3,1)="p",MID(Osnovni_podaci!D20,8,1)="k"),IF(SUBTOTAL(9,K71:K80)-SUBTOTAL(9,K81:K90)&lt;=0,0,ABS(SUBTOTAL(9,K71:K80)-SUBTOTAL(9,K81:K90))),A1)</f>
        <v>17497</v>
      </c>
      <c r="L91" s="352">
        <f aca="1">IF(AND(Godina=2024,MID(Osnovni_podaci!D20,3,1)="p",Osnovni_podaci!L24=0,Osnovni_podaci!G24=0,MID(Osnovni_podaci!D20,3,1)="p",MID(Osnovni_podaci!D20,8,1)="k"),IF(SUBTOTAL(9,L71:L80)-SUBTOTAL(9,L81:L90)&lt;=0,0,ABS(SUBTOTAL(9,L71:L80)-SUBTOTAL(9,L81:L90))),A1)</f>
        <v>35</v>
      </c>
      <c r="N91" s="52"/>
      <c r="P91" s="143"/>
    </row>
    <row r="92" spans="2:16">
      <c r="B92" s="25" t="n">
        <v>210</v>
      </c>
      <c r="C92" s="147">
        <f aca="1">IF(AND(Godina=2024,MID(Osnovni_podaci!D20,3,1)="p",Osnovni_podaci!L24=0,Osnovni_podaci!G24=0,MID(Osnovni_podaci!D20,3,1)="p",MID(Osnovni_podaci!D20,8,1)="k"),VLOOKUP($B92,T_Aop[],5,1),A1)</f>
        <v>0</v>
      </c>
      <c r="D92" s="446" t="str">
        <f aca="1">IF(AND(Godina=2024,MID(Osnovni_podaci!D20,3,1)="p",Osnovni_podaci!L24=0,Osnovni_podaci!G24=0,MID(Osnovni_podaci!D20,3,1)="p",MID(Osnovni_podaci!D20,8,1)="k"),VLOOKUP($B92,T_Aop[],6,1),A1)</f>
        <v>  Z. GUBITAK PO OSNOVU OSTALIH PRIHODA I RASHODA (261 – 251)</v>
      </c>
      <c r="E92" s="447"/>
      <c r="F92" s="447"/>
      <c r="G92" s="447"/>
      <c r="H92" s="448"/>
      <c r="I92" s="134">
        <f>VLOOKUP($B92,T_Aop[],4,1)</f>
        <v>272</v>
      </c>
      <c r="J92" s="120"/>
      <c r="K92" s="191">
        <f aca="1">IF(AND(Godina=2024,MID(Osnovni_podaci!D20,3,1)="p",Osnovni_podaci!L24=0,Osnovni_podaci!G24=0,MID(Osnovni_podaci!D20,3,1)="p",MID(Osnovni_podaci!D20,8,1)="k"),IF(SUBTOTAL(9,K71:K80)-SUBTOTAL(9,K81:K90)&gt;=0,0,ABS(SUBTOTAL(9,K71:K80)-SUBTOTAL(9,K81:K90))),A1)</f>
        <v>0</v>
      </c>
      <c r="L92" s="353">
        <f aca="1">IF(AND(Godina=2024,MID(Osnovni_podaci!D20,3,1)="p",Osnovni_podaci!L24=0,Osnovni_podaci!G24=0,MID(Osnovni_podaci!D20,3,1)="p",MID(Osnovni_podaci!D20,8,1)="k"),IF(SUBTOTAL(9,L71:L80)-SUBTOTAL(9,L81:L90)&gt;=0,0,ABS(SUBTOTAL(9,L71:L80)-SUBTOTAL(9,L81:L90))),A1)</f>
        <v>0</v>
      </c>
      <c r="N92" s="52"/>
      <c r="P92" s="143"/>
    </row>
    <row r="93" spans="2:16" ht="23.25" customHeight="1">
      <c r="B93" s="25" t="n">
        <v>211</v>
      </c>
      <c r="C93" s="132" t="str">
        <f aca="1">IF(AND(Godina=2024,MID(Osnovni_podaci!D20,3,1)="p",Osnovni_podaci!L24=0,Osnovni_podaci!G24=0,MID(Osnovni_podaci!D20,3,1)="p",MID(Osnovni_podaci!D20,8,1)="k"),VLOOKUP($B93,T_Aop[],5,1),A1)</f>
        <v>68</v>
      </c>
      <c r="D93" s="443" t="str">
        <f aca="1">IF(AND(Godina=2024,MID(Osnovni_podaci!D20,3,1)="p",Osnovni_podaci!L24=0,Osnovni_podaci!G24=0,MID(Osnovni_podaci!D20,3,1)="p",MID(Osnovni_podaci!D20,8,1)="k"),VLOOKUP($B93,T_Aop[],6,1),A1)</f>
        <v>  I. PRIHODI I RASHODI OD USKLAĐIVANJA VRIJEDNOSTI IMOVINE 
I   PRIHODI OD USKLAĐIVANJA VRIJEDNOSTI IMOVINE (274 + 281)</v>
      </c>
      <c r="E93" s="444"/>
      <c r="F93" s="444"/>
      <c r="G93" s="444"/>
      <c r="H93" s="445"/>
      <c r="I93" s="133">
        <f>VLOOKUP($B93,T_Aop[],4,1)</f>
        <v>273</v>
      </c>
      <c r="J93" s="122"/>
      <c r="K93" s="40">
        <f aca="1">IF(AND(Godina=2024,MID(Osnovni_podaci!D20,3,1)="p",Osnovni_podaci!L24=0,Osnovni_podaci!G24=0,MID(Osnovni_podaci!D20,3,1)="p",MID(Osnovni_podaci!D20,8,1)="k"),SUBTOTAL(9,K94:K105),A1)</f>
        <v>0</v>
      </c>
      <c r="L93" s="352">
        <f aca="1">IF(AND(Godina=2024,MID(Osnovni_podaci!D20,3,1)="p",Osnovni_podaci!L24=0,Osnovni_podaci!G24=0,MID(Osnovni_podaci!D20,3,1)="p",MID(Osnovni_podaci!D20,8,1)="k"),SUBTOTAL(9,L94:L105),A1)</f>
        <v>0</v>
      </c>
      <c r="N93" s="52"/>
      <c r="P93" s="143"/>
    </row>
    <row r="94" spans="2:16" ht="13.50" customHeight="1">
      <c r="B94" s="25" t="n">
        <v>212</v>
      </c>
      <c r="C94" s="62" t="str">
        <f aca="1">IF(AND(Godina=2024,MID(Osnovni_podaci!D20,3,1)="p",Osnovni_podaci!L24=0,Osnovni_podaci!G24=0,MID(Osnovni_podaci!D20,3,1)="p",MID(Osnovni_podaci!D20,8,1)="k"),VLOOKUP($B94,T_Aop[],5,1),A1)</f>
        <v>dio 68</v>
      </c>
      <c r="D94" s="439" t="str">
        <f aca="1">IF(AND(Godina=2024,MID(Osnovni_podaci!D20,3,1)="p",Osnovni_podaci!L24=0,Osnovni_podaci!G24=0,MID(Osnovni_podaci!D20,3,1)="p",MID(Osnovni_podaci!D20,8,1)="k"),VLOOKUP($B94,T_Aop[],6,1),A1)</f>
        <v>    1. Neto dobici od usklađivanja imovine (osim finansijske)  (275 do 280)</v>
      </c>
      <c r="E94" s="440"/>
      <c r="F94" s="440"/>
      <c r="G94" s="440"/>
      <c r="H94" s="441"/>
      <c r="I94" s="63">
        <f>VLOOKUP($B94,T_Aop[],4,1)</f>
        <v>274</v>
      </c>
      <c r="J94" s="120"/>
      <c r="K94" s="119">
        <f aca="1">IF(AND(Godina=2024,MID(Osnovni_podaci!D20,3,1)="p",Osnovni_podaci!L24=0,Osnovni_podaci!G24=0,MID(Osnovni_podaci!D20,3,1)="p",MID(Osnovni_podaci!D20,8,1)="k"),SUBTOTAL(9,K95:K100),A1)</f>
        <v>0</v>
      </c>
      <c r="L94" s="362">
        <f aca="1">IF(AND(Godina=2024,MID(Osnovni_podaci!D20,3,1)="p",Osnovni_podaci!L24=0,Osnovni_podaci!G24=0,MID(Osnovni_podaci!D20,3,1)="p",MID(Osnovni_podaci!D20,8,1)="k"),SUBTOTAL(9,L95:L100),A1)</f>
        <v>0</v>
      </c>
      <c r="N94" s="52"/>
      <c r="P94" s="143"/>
    </row>
    <row r="95" spans="2:16" s="334" customFormat="1" ht="22.50" customHeight="1">
      <c r="B95" s="333" t="n">
        <v>213</v>
      </c>
      <c r="C95" s="64" t="str">
        <f aca="1">IF(AND(Godina=2024,MID(Osnovni_podaci!D20,3,1)="p",Osnovni_podaci!L24=0,Osnovni_podaci!G24=0,MID(Osnovni_podaci!D20,3,1)="p",MID(Osnovni_podaci!D20,8,1)="k"),VLOOKUP($B95,T_Aop[],5,1),A1)</f>
        <v>680, 580 neto prikaz</v>
      </c>
      <c r="D95" s="436" t="str">
        <f aca="1">IF(AND(Godina=2024,MID(Osnovni_podaci!D20,3,1)="p",Osnovni_podaci!L24=0,Osnovni_podaci!G24=0,MID(Osnovni_podaci!D20,3,1)="p",MID(Osnovni_podaci!D20,8,1)="k"),VLOOKUP($B95,T_Aop[],6,1),A1)</f>
        <v>      1.1. Neto dobici od umanjenja ranije priznatih gubitaka usljed obezvređenja nematerijalnih sredstava</v>
      </c>
      <c r="E95" s="437"/>
      <c r="F95" s="437"/>
      <c r="G95" s="437"/>
      <c r="H95" s="438"/>
      <c r="I95" s="65">
        <f>VLOOKUP($B95,T_Aop[],4,1)</f>
        <v>275</v>
      </c>
      <c r="J95" s="122"/>
      <c r="K95" s="122"/>
      <c r="L95" s="123"/>
      <c r="N95" s="335"/>
      <c r="P95" s="336"/>
    </row>
    <row r="96" spans="2:16" s="334" customFormat="1" ht="22.50" customHeight="1">
      <c r="B96" s="333" t="n">
        <v>214</v>
      </c>
      <c r="C96" s="62" t="str">
        <f aca="1">IF(AND(Godina=2024,MID(Osnovni_podaci!D20,3,1)="p",Osnovni_podaci!L24=0,Osnovni_podaci!G24=0,MID(Osnovni_podaci!D20,3,1)="p",MID(Osnovni_podaci!D20,8,1)="k"),VLOOKUP($B96,T_Aop[],5,1),A1)</f>
        <v>681, 581 neto prikaz</v>
      </c>
      <c r="D96" s="439" t="str">
        <f aca="1">IF(AND(Godina=2024,MID(Osnovni_podaci!D20,3,1)="p",Osnovni_podaci!L24=0,Osnovni_podaci!G24=0,MID(Osnovni_podaci!D20,3,1)="p",MID(Osnovni_podaci!D20,8,1)="k"),VLOOKUP($B96,T_Aop[],6,1),A1)</f>
        <v>      1.2. Neto dobici od umanjenja ranije priznatih gubitaka usljed obezvređenja nekretnina, postrojenja i opreme</v>
      </c>
      <c r="E96" s="440"/>
      <c r="F96" s="440"/>
      <c r="G96" s="440"/>
      <c r="H96" s="441"/>
      <c r="I96" s="63">
        <f>VLOOKUP($B96,T_Aop[],4,1)</f>
        <v>276</v>
      </c>
      <c r="J96" s="120"/>
      <c r="K96" s="120"/>
      <c r="L96" s="121"/>
      <c r="N96" s="335"/>
      <c r="P96" s="336"/>
    </row>
    <row r="97" spans="2:16" s="334" customFormat="1" ht="22.50" customHeight="1">
      <c r="B97" s="333" t="n">
        <v>215</v>
      </c>
      <c r="C97" s="64" t="str">
        <f aca="1">IF(AND(Godina=2024,MID(Osnovni_podaci!D20,3,1)="p",Osnovni_podaci!L24=0,Osnovni_podaci!G24=0,MID(Osnovni_podaci!D20,3,1)="p",MID(Osnovni_podaci!D20,8,1)="k"),VLOOKUP($B97,T_Aop[],5,1),A1)</f>
        <v>682, 582 neto prikaz</v>
      </c>
      <c r="D97" s="436" t="str">
        <f aca="1">IF(AND(Godina=2024,MID(Osnovni_podaci!D20,3,1)="p",Osnovni_podaci!L24=0,Osnovni_podaci!G24=0,MID(Osnovni_podaci!D20,3,1)="p",MID(Osnovni_podaci!D20,8,1)="k"),VLOOKUP($B97,T_Aop[],6,1),A1)</f>
        <v>      1.3.  Neto dobici od umanjenja ranije priznatih gubitaka usljed obezvređenja investicionih nekretnina koje se vrednuju po nabavnoj vrijednosti</v>
      </c>
      <c r="E97" s="437"/>
      <c r="F97" s="437"/>
      <c r="G97" s="437"/>
      <c r="H97" s="438"/>
      <c r="I97" s="65">
        <f>VLOOKUP($B97,T_Aop[],4,1)</f>
        <v>277</v>
      </c>
      <c r="J97" s="122"/>
      <c r="K97" s="122"/>
      <c r="L97" s="123"/>
      <c r="N97" s="335"/>
      <c r="P97" s="336"/>
    </row>
    <row r="98" spans="2:16" ht="22.50" customHeight="1">
      <c r="B98" s="25" t="n">
        <v>216</v>
      </c>
      <c r="C98" s="62" t="str">
        <f aca="1">IF(AND(Godina=2024,MID(Osnovni_podaci!D20,3,1)="p",Osnovni_podaci!L24=0,Osnovni_podaci!G24=0,MID(Osnovni_podaci!D20,3,1)="p",MID(Osnovni_podaci!D20,8,1)="k"),VLOOKUP($B98,T_Aop[],5,1),A1)</f>
        <v>683, 583 neto prikaz</v>
      </c>
      <c r="D98" s="439" t="str">
        <f aca="1">IF(AND(Godina=2024,MID(Osnovni_podaci!D20,3,1)="p",Osnovni_podaci!L24=0,Osnovni_podaci!G24=0,MID(Osnovni_podaci!D20,3,1)="p",MID(Osnovni_podaci!D20,8,1)="k"),VLOOKUP($B98,T_Aop[],6,1),A1)</f>
        <v>      1.4.  Neto dobici od umanjenja ranije priznatih gubitaka usljed obezvređenja bioloških sredstva koja se vrednuju po nabavnoj vrijednosti</v>
      </c>
      <c r="E98" s="440"/>
      <c r="F98" s="440"/>
      <c r="G98" s="440"/>
      <c r="H98" s="441"/>
      <c r="I98" s="63">
        <f>VLOOKUP($B98,T_Aop[],4,1)</f>
        <v>278</v>
      </c>
      <c r="J98" s="120"/>
      <c r="K98" s="120"/>
      <c r="L98" s="121"/>
      <c r="N98" s="52"/>
      <c r="P98" s="143"/>
    </row>
    <row r="99" spans="2:16" ht="22.50" customHeight="1">
      <c r="B99" s="25" t="n">
        <v>217</v>
      </c>
      <c r="C99" s="64" t="str">
        <f aca="1">IF(AND(Godina=2024,MID(Osnovni_podaci!D20,3,1)="p",Osnovni_podaci!L24=0,Osnovni_podaci!G24=0,MID(Osnovni_podaci!D20,3,1)="p",MID(Osnovni_podaci!D20,8,1)="k"),VLOOKUP($B99,T_Aop[],5,1),A1)</f>
        <v>685, 585 neto prikaz</v>
      </c>
      <c r="D99" s="436" t="str">
        <f aca="1">IF(AND(Godina=2024,MID(Osnovni_podaci!D20,3,1)="p",Osnovni_podaci!L24=0,Osnovni_podaci!G24=0,MID(Osnovni_podaci!D20,3,1)="p",MID(Osnovni_podaci!D20,8,1)="k"),VLOOKUP($B99,T_Aop[],6,1),A1)</f>
        <v>      1.5.  Neto dobici od usklađivanja vrijednosti zaliha materijala i robe </v>
      </c>
      <c r="E99" s="437"/>
      <c r="F99" s="437"/>
      <c r="G99" s="437"/>
      <c r="H99" s="438"/>
      <c r="I99" s="65">
        <f>VLOOKUP($B99,T_Aop[],4,1)</f>
        <v>279</v>
      </c>
      <c r="J99" s="122"/>
      <c r="K99" s="122"/>
      <c r="L99" s="123"/>
      <c r="N99" s="52"/>
      <c r="P99" s="144" t="s">
        <v>69</v>
      </c>
    </row>
    <row r="100" spans="2:16" ht="22.50" customHeight="1">
      <c r="B100" s="25" t="n">
        <v>218</v>
      </c>
      <c r="C100" s="62" t="str">
        <f aca="1">IF(AND(Godina=2024,MID(Osnovni_podaci!D20,3,1)="p",Osnovni_podaci!L24=0,Osnovni_podaci!G24=0,MID(Osnovni_podaci!D20,3,1)="p",MID(Osnovni_podaci!D20,8,1)="k"),VLOOKUP($B100,T_Aop[],5,1),A1)</f>
        <v>688, dio 689, 588, dio 589neto prikaz</v>
      </c>
      <c r="D100" s="439" t="str">
        <f aca="1">IF(AND(Godina=2024,MID(Osnovni_podaci!D20,3,1)="p",Osnovni_podaci!L24=0,Osnovni_podaci!G24=0,MID(Osnovni_podaci!D20,3,1)="p",MID(Osnovni_podaci!D20,8,1)="k"),VLOOKUP($B100,T_Aop[],6,1),A1)</f>
        <v>      1.6.  Neto dobici od usklađivanja vrijednost stalnih sredstava namijenjenih prodaji, sredstava poslovanja koje se obustavlja i ostalih nefinansijskih sredstava</v>
      </c>
      <c r="E100" s="440"/>
      <c r="F100" s="440"/>
      <c r="G100" s="440"/>
      <c r="H100" s="441"/>
      <c r="I100" s="63">
        <f>VLOOKUP($B100,T_Aop[],4,1)</f>
        <v>280</v>
      </c>
      <c r="J100" s="120"/>
      <c r="K100" s="120"/>
      <c r="L100" s="121"/>
      <c r="N100" s="52"/>
      <c r="P100" s="143"/>
    </row>
    <row r="101" spans="2:16" ht="13.50" customHeight="1">
      <c r="B101" s="25" t="n">
        <v>219</v>
      </c>
      <c r="C101" s="64" t="str">
        <f aca="1">IF(AND(Godina=2024,MID(Osnovni_podaci!D20,3,1)="p",Osnovni_podaci!L24=0,Osnovni_podaci!G24=0,MID(Osnovni_podaci!D20,3,1)="p",MID(Osnovni_podaci!D20,8,1)="k"),VLOOKUP($B101,T_Aop[],5,1),A1)</f>
        <v>dio 68</v>
      </c>
      <c r="D101" s="436" t="str">
        <f aca="1">IF(AND(Godina=2024,MID(Osnovni_podaci!D20,3,1)="p",Osnovni_podaci!L24=0,Osnovni_podaci!G24=0,MID(Osnovni_podaci!D20,3,1)="p",MID(Osnovni_podaci!D20,8,1)="k"),VLOOKUP($B101,T_Aop[],6,1),A1)</f>
        <v>    2. Neto dobici od usklađivanja vrijednosti finansijskih sredstava (282 do 285)</v>
      </c>
      <c r="E101" s="437"/>
      <c r="F101" s="437"/>
      <c r="G101" s="437"/>
      <c r="H101" s="438"/>
      <c r="I101" s="65">
        <f>VLOOKUP($B101,T_Aop[],4,1)</f>
        <v>281</v>
      </c>
      <c r="J101" s="122"/>
      <c r="K101" s="118">
        <f aca="1">IF(AND(Godina=2024,MID(Osnovni_podaci!D20,3,1)="p",Osnovni_podaci!L24=0,Osnovni_podaci!G24=0,MID(Osnovni_podaci!D20,3,1)="p",MID(Osnovni_podaci!D20,8,1)="k"),SUBTOTAL(9,K102:K105),A1)</f>
        <v>0</v>
      </c>
      <c r="L101" s="363">
        <f aca="1">IF(AND(Godina=2024,MID(Osnovni_podaci!D20,3,1)="p",Osnovni_podaci!L24=0,Osnovni_podaci!G24=0,MID(Osnovni_podaci!D20,3,1)="p",MID(Osnovni_podaci!D20,8,1)="k"),SUBTOTAL(9,L102:L105),A1)</f>
        <v>0</v>
      </c>
      <c r="N101" s="52"/>
      <c r="P101" s="143"/>
    </row>
    <row r="102" spans="2:16" ht="22.50" customHeight="1">
      <c r="B102" s="25" t="n">
        <v>220</v>
      </c>
      <c r="C102" s="62" t="str">
        <f aca="1">IF(AND(Godina=2024,MID(Osnovni_podaci!D20,3,1)="p",Osnovni_podaci!L24=0,Osnovni_podaci!G24=0,MID(Osnovni_podaci!D20,3,1)="p",MID(Osnovni_podaci!D20,8,1)="k"),VLOOKUP($B102,T_Aop[],5,1),A1)</f>
        <v>684, 584 neto prikaz</v>
      </c>
      <c r="D102" s="439" t="str">
        <f aca="1">IF(AND(Godina=2024,MID(Osnovni_podaci!D20,3,1)="p",Osnovni_podaci!L24=0,Osnovni_podaci!G24=0,MID(Osnovni_podaci!D20,3,1)="p",MID(Osnovni_podaci!D20,8,1)="k"),VLOOKUP($B102,T_Aop[],6,1),A1)</f>
        <v>      2.1  Neto dobici od usklađivanja vrijednosti dugoročnih finansijskih sredstava </v>
      </c>
      <c r="E102" s="440"/>
      <c r="F102" s="440"/>
      <c r="G102" s="440"/>
      <c r="H102" s="441"/>
      <c r="I102" s="63">
        <f>VLOOKUP($B102,T_Aop[],4,1)</f>
        <v>282</v>
      </c>
      <c r="J102" s="120"/>
      <c r="K102" s="120"/>
      <c r="L102" s="121"/>
      <c r="N102" s="52"/>
      <c r="P102" s="143"/>
    </row>
    <row r="103" spans="2:16" ht="22.50" customHeight="1">
      <c r="B103" s="25" t="n">
        <v>221</v>
      </c>
      <c r="C103" s="64" t="str">
        <f aca="1">IF(AND(Godina=2024,MID(Osnovni_podaci!D20,3,1)="p",Osnovni_podaci!L24=0,Osnovni_podaci!G24=0,MID(Osnovni_podaci!D20,3,1)="p",MID(Osnovni_podaci!D20,8,1)="k"),VLOOKUP($B103,T_Aop[],5,1),A1)</f>
        <v>686, 585 neto prikaz</v>
      </c>
      <c r="D103" s="436" t="str">
        <f aca="1">IF(AND(Godina=2024,MID(Osnovni_podaci!D20,3,1)="p",Osnovni_podaci!L24=0,Osnovni_podaci!G24=0,MID(Osnovni_podaci!D20,3,1)="p",MID(Osnovni_podaci!D20,8,1)="k"),VLOOKUP($B103,T_Aop[],6,1),A1)</f>
        <v>      2.2  Neto dobici od usklađivanja vrijednosti kratkoročnih finansijskih sredstava (osim potraživanja od kupaca)</v>
      </c>
      <c r="E103" s="437"/>
      <c r="F103" s="437"/>
      <c r="G103" s="437"/>
      <c r="H103" s="438"/>
      <c r="I103" s="65">
        <f>VLOOKUP($B103,T_Aop[],4,1)</f>
        <v>283</v>
      </c>
      <c r="J103" s="122"/>
      <c r="K103" s="122"/>
      <c r="L103" s="123"/>
      <c r="N103" s="52"/>
      <c r="P103" s="143"/>
    </row>
    <row r="104" spans="2:16" ht="22.50" customHeight="1">
      <c r="B104" s="25" t="n">
        <v>222</v>
      </c>
      <c r="C104" s="62" t="str">
        <f aca="1">IF(AND(Godina=2024,MID(Osnovni_podaci!D20,3,1)="p",Osnovni_podaci!L24=0,Osnovni_podaci!G24=0,MID(Osnovni_podaci!D20,3,1)="p",MID(Osnovni_podaci!D20,8,1)="k"),VLOOKUP($B104,T_Aop[],5,1),A1)</f>
        <v>687, 587 neto prikaz</v>
      </c>
      <c r="D104" s="439" t="str">
        <f aca="1">IF(AND(Godina=2024,MID(Osnovni_podaci!D20,3,1)="p",Osnovni_podaci!L24=0,Osnovni_podaci!G24=0,MID(Osnovni_podaci!D20,3,1)="p",MID(Osnovni_podaci!D20,8,1)="k"),VLOOKUP($B104,T_Aop[],6,1),A1)</f>
        <v>      2.3  Neto dobici od umanjenja ranije priznatih kreditnih gubitaka usljed obezvređenja potraživanja od kupaca </v>
      </c>
      <c r="E104" s="440"/>
      <c r="F104" s="440"/>
      <c r="G104" s="440"/>
      <c r="H104" s="441"/>
      <c r="I104" s="63">
        <f>VLOOKUP($B104,T_Aop[],4,1)</f>
        <v>284</v>
      </c>
      <c r="J104" s="120"/>
      <c r="K104" s="120"/>
      <c r="L104" s="121"/>
      <c r="N104" s="52"/>
      <c r="P104" s="143"/>
    </row>
    <row r="105" spans="2:16" ht="27.75" customHeight="1">
      <c r="B105" s="25" t="n">
        <v>223</v>
      </c>
      <c r="C105" s="64" t="str">
        <f aca="1">IF(AND(Godina=2024,MID(Osnovni_podaci!D20,3,1)="p",Osnovni_podaci!L24=0,Osnovni_podaci!G24=0,MID(Osnovni_podaci!D20,3,1)="p",MID(Osnovni_podaci!D20,8,1)="k"),VLOOKUP($B105,T_Aop[],5,1),A1)</f>
        <v>dio 689, dio 589 neto prikaz</v>
      </c>
      <c r="D105" s="436" t="str">
        <f aca="1">IF(AND(Godina=2024,MID(Osnovni_podaci!D20,3,1)="p",Osnovni_podaci!L24=0,Osnovni_podaci!G24=0,MID(Osnovni_podaci!D20,3,1)="p",MID(Osnovni_podaci!D20,8,1)="k"),VLOOKUP($B105,T_Aop[],6,1),A1)</f>
        <v>      2.4  Neto dobici od usklađivanja vrijednosti ostalih finansijskih sredstava</v>
      </c>
      <c r="E105" s="437"/>
      <c r="F105" s="437"/>
      <c r="G105" s="437"/>
      <c r="H105" s="438"/>
      <c r="I105" s="65">
        <f>VLOOKUP($B105,T_Aop[],4,1)</f>
        <v>285</v>
      </c>
      <c r="J105" s="122"/>
      <c r="K105" s="122"/>
      <c r="L105" s="123"/>
      <c r="N105" s="52"/>
      <c r="P105" s="143"/>
    </row>
    <row r="106" spans="2:16" ht="15" customHeight="1">
      <c r="B106" s="25" t="n">
        <v>224</v>
      </c>
      <c r="C106" s="147" t="str">
        <f aca="1">IF(AND(Godina=2024,MID(Osnovni_podaci!D20,3,1)="p",Osnovni_podaci!L24=0,Osnovni_podaci!G24=0,MID(Osnovni_podaci!D20,3,1)="p",MID(Osnovni_podaci!D20,8,1)="k"),VLOOKUP($B106,T_Aop[],5,1),A1)</f>
        <v>58</v>
      </c>
      <c r="D106" s="446" t="str">
        <f aca="1">IF(AND(Godina=2024,MID(Osnovni_podaci!D20,3,1)="p",Osnovni_podaci!L24=0,Osnovni_podaci!G24=0,MID(Osnovni_podaci!D20,3,1)="p",MID(Osnovni_podaci!D20,8,1)="k"),VLOOKUP($B106,T_Aop[],6,1),A1)</f>
        <v>  II  RASHODI OD USKLAĐIVANJA VRIJEDNOSTI IMOVINE (287 + 294)</v>
      </c>
      <c r="E106" s="447"/>
      <c r="F106" s="447"/>
      <c r="G106" s="447"/>
      <c r="H106" s="448"/>
      <c r="I106" s="134">
        <f>VLOOKUP($B106,T_Aop[],4,1)</f>
        <v>286</v>
      </c>
      <c r="J106" s="120"/>
      <c r="K106" s="39">
        <f aca="1">IF(AND(Godina=2024,MID(Osnovni_podaci!D20,3,1)="p",Osnovni_podaci!L24=0,Osnovni_podaci!G24=0,MID(Osnovni_podaci!D20,3,1)="p",MID(Osnovni_podaci!D20,8,1)="k"),SUBTOTAL(9,K107:K118),A1)</f>
        <v>0</v>
      </c>
      <c r="L106" s="42">
        <f aca="1">IF(AND(Godina=2024,MID(Osnovni_podaci!D20,3,1)="p",Osnovni_podaci!L24=0,Osnovni_podaci!G24=0,MID(Osnovni_podaci!D20,3,1)="p",MID(Osnovni_podaci!D20,8,1)="k"),SUBTOTAL(9,L107:L118),A1)</f>
        <v>0</v>
      </c>
      <c r="N106" s="52"/>
      <c r="P106" s="143"/>
    </row>
    <row r="107" spans="2:16" ht="13.50" customHeight="1">
      <c r="B107" s="25" t="n">
        <v>225</v>
      </c>
      <c r="C107" s="64">
        <f aca="1">IF(AND(Godina=2024,MID(Osnovni_podaci!D20,3,1)="p",Osnovni_podaci!L24=0,Osnovni_podaci!G24=0,MID(Osnovni_podaci!D20,3,1)="p",MID(Osnovni_podaci!D20,8,1)="k"),VLOOKUP($B107,T_Aop[],5,1),A1)</f>
        <v>0</v>
      </c>
      <c r="D107" s="436" t="str">
        <f aca="1">IF(AND(Godina=2024,MID(Osnovni_podaci!D20,3,1)="p",Osnovni_podaci!L24=0,Osnovni_podaci!G24=0,MID(Osnovni_podaci!D20,3,1)="p",MID(Osnovni_podaci!D20,8,1)="k"),VLOOKUP($B107,T_Aop[],6,1),A1)</f>
        <v>    1.  Rashodi od usklađivanja vrijednosti imovine (osim finansijske) (288 do 293)</v>
      </c>
      <c r="E107" s="437"/>
      <c r="F107" s="437"/>
      <c r="G107" s="437"/>
      <c r="H107" s="438"/>
      <c r="I107" s="65">
        <f>VLOOKUP($B107,T_Aop[],4,1)</f>
        <v>287</v>
      </c>
      <c r="J107" s="122"/>
      <c r="K107" s="118">
        <f aca="1">IF(AND(Godina=2024,MID(Osnovni_podaci!D20,3,1)="p",Osnovni_podaci!L24=0,Osnovni_podaci!G24=0,MID(Osnovni_podaci!D20,3,1)="p",MID(Osnovni_podaci!D20,8,1)="k"),SUBTOTAL(9,K108:K113),A1)</f>
        <v>0</v>
      </c>
      <c r="L107" s="348">
        <f aca="1">IF(AND(Godina=2024,MID(Osnovni_podaci!D20,3,1)="p",Osnovni_podaci!L24=0,Osnovni_podaci!G24=0,MID(Osnovni_podaci!D20,3,1)="p",MID(Osnovni_podaci!D20,8,1)="k"),SUBTOTAL(9,L108:L113),A1)</f>
        <v>0</v>
      </c>
      <c r="N107" s="52"/>
      <c r="P107" s="143"/>
    </row>
    <row r="108" spans="2:16" ht="22.50" customHeight="1">
      <c r="B108" s="25" t="n">
        <v>226</v>
      </c>
      <c r="C108" s="62" t="str">
        <f aca="1">IF(AND(Godina=2024,MID(Osnovni_podaci!D20,3,1)="p",Osnovni_podaci!L24=0,Osnovni_podaci!G24=0,MID(Osnovni_podaci!D20,3,1)="p",MID(Osnovni_podaci!D20,8,1)="k"),VLOOKUP($B108,T_Aop[],5,1),A1)</f>
        <v>580, 680 neto prikaz</v>
      </c>
      <c r="D108" s="439" t="str">
        <f aca="1">IF(AND(Godina=2024,MID(Osnovni_podaci!D20,3,1)="p",Osnovni_podaci!L24=0,Osnovni_podaci!G24=0,MID(Osnovni_podaci!D20,3,1)="p",MID(Osnovni_podaci!D20,8,1)="k"),VLOOKUP($B108,T_Aop[],6,1),A1)</f>
        <v>      1.1. Neto gubici po osnovu obezvređenja nematerijalnih sredstava</v>
      </c>
      <c r="E108" s="440"/>
      <c r="F108" s="440"/>
      <c r="G108" s="440"/>
      <c r="H108" s="441"/>
      <c r="I108" s="63">
        <f>VLOOKUP($B108,T_Aop[],4,1)</f>
        <v>288</v>
      </c>
      <c r="J108" s="120"/>
      <c r="K108" s="120"/>
      <c r="L108" s="121"/>
      <c r="N108" s="52"/>
      <c r="P108" s="143"/>
    </row>
    <row r="109" spans="2:16" ht="22.50" customHeight="1">
      <c r="B109" s="25" t="n">
        <v>227</v>
      </c>
      <c r="C109" s="64" t="str">
        <f aca="1">IF(AND(Godina=2024,MID(Osnovni_podaci!D20,3,1)="p",Osnovni_podaci!L24=0,Osnovni_podaci!G24=0,MID(Osnovni_podaci!D20,3,1)="p",MID(Osnovni_podaci!D20,8,1)="k"),VLOOKUP($B109,T_Aop[],5,1),A1)</f>
        <v>581, 681 neto prikaz</v>
      </c>
      <c r="D109" s="436" t="str">
        <f aca="1">IF(AND(Godina=2024,MID(Osnovni_podaci!D20,3,1)="p",Osnovni_podaci!L24=0,Osnovni_podaci!G24=0,MID(Osnovni_podaci!D20,3,1)="p",MID(Osnovni_podaci!D20,8,1)="k"),VLOOKUP($B109,T_Aop[],6,1),A1)</f>
        <v>      1.2. Neto gubici po osnovu obezvređenja nekretnina, postrojenja i opreme</v>
      </c>
      <c r="E109" s="437"/>
      <c r="F109" s="437"/>
      <c r="G109" s="437"/>
      <c r="H109" s="438"/>
      <c r="I109" s="65">
        <f>VLOOKUP($B109,T_Aop[],4,1)</f>
        <v>289</v>
      </c>
      <c r="J109" s="122"/>
      <c r="K109" s="122"/>
      <c r="L109" s="123"/>
      <c r="N109" s="52"/>
      <c r="P109" s="143"/>
    </row>
    <row r="110" spans="2:16" ht="22.50" customHeight="1">
      <c r="B110" s="25" t="n">
        <v>228</v>
      </c>
      <c r="C110" s="62" t="str">
        <f aca="1">IF(AND(Godina=2024,MID(Osnovni_podaci!D20,3,1)="p",Osnovni_podaci!L24=0,Osnovni_podaci!G24=0,MID(Osnovni_podaci!D20,3,1)="p",MID(Osnovni_podaci!D20,8,1)="k"),VLOOKUP($B110,T_Aop[],5,1),A1)</f>
        <v>582, 682 neto prikaz</v>
      </c>
      <c r="D110" s="439" t="str">
        <f aca="1">IF(AND(Godina=2024,MID(Osnovni_podaci!D20,3,1)="p",Osnovni_podaci!L24=0,Osnovni_podaci!G24=0,MID(Osnovni_podaci!D20,3,1)="p",MID(Osnovni_podaci!D20,8,1)="k"),VLOOKUP($B110,T_Aop[],6,1),A1)</f>
        <v>      1.3. Neto gubici po osnovu obezvređenja investicionih nekretnina koje se vrednuju po nabavnoj vrijednosti</v>
      </c>
      <c r="E110" s="440"/>
      <c r="F110" s="440"/>
      <c r="G110" s="440"/>
      <c r="H110" s="441"/>
      <c r="I110" s="63">
        <f>VLOOKUP($B110,T_Aop[],4,1)</f>
        <v>290</v>
      </c>
      <c r="J110" s="120"/>
      <c r="K110" s="120"/>
      <c r="L110" s="121"/>
      <c r="N110" s="52"/>
      <c r="P110" s="143"/>
    </row>
    <row r="111" spans="2:16" ht="22.50" customHeight="1">
      <c r="B111" s="25" t="n">
        <v>229</v>
      </c>
      <c r="C111" s="64" t="str">
        <f aca="1">IF(AND(Godina=2024,MID(Osnovni_podaci!D20,3,1)="p",Osnovni_podaci!L24=0,Osnovni_podaci!G24=0,MID(Osnovni_podaci!D20,3,1)="p",MID(Osnovni_podaci!D20,8,1)="k"),VLOOKUP($B111,T_Aop[],5,1),A1)</f>
        <v>583, 683 neto prikaz</v>
      </c>
      <c r="D111" s="436" t="str">
        <f aca="1">IF(AND(Godina=2024,MID(Osnovni_podaci!D20,3,1)="p",Osnovni_podaci!L24=0,Osnovni_podaci!G24=0,MID(Osnovni_podaci!D20,3,1)="p",MID(Osnovni_podaci!D20,8,1)="k"),VLOOKUP($B111,T_Aop[],6,1),A1)</f>
        <v>      1.4. Neto gubici po osnovu obezvređenja bioloških sredstva koje se vrednuju po nabavnoj vrijednosti</v>
      </c>
      <c r="E111" s="437"/>
      <c r="F111" s="437"/>
      <c r="G111" s="437"/>
      <c r="H111" s="438"/>
      <c r="I111" s="65">
        <f>VLOOKUP($B111,T_Aop[],4,1)</f>
        <v>291</v>
      </c>
      <c r="J111" s="122"/>
      <c r="K111" s="122"/>
      <c r="L111" s="123"/>
      <c r="N111" s="52"/>
      <c r="P111" s="143"/>
    </row>
    <row r="112" spans="2:16" ht="22.50" customHeight="1">
      <c r="B112" s="25" t="n">
        <v>230</v>
      </c>
      <c r="C112" s="62" t="str">
        <f aca="1">IF(AND(Godina=2024,MID(Osnovni_podaci!D20,3,1)="p",Osnovni_podaci!L24=0,Osnovni_podaci!G24=0,MID(Osnovni_podaci!D20,3,1)="p",MID(Osnovni_podaci!D20,8,1)="k"),VLOOKUP($B112,T_Aop[],5,1),A1)</f>
        <v>585, 685 neto prikaz</v>
      </c>
      <c r="D112" s="439" t="str">
        <f aca="1">IF(AND(Godina=2024,MID(Osnovni_podaci!D20,3,1)="p",Osnovni_podaci!L24=0,Osnovni_podaci!G24=0,MID(Osnovni_podaci!D20,3,1)="p",MID(Osnovni_podaci!D20,8,1)="k"),VLOOKUP($B112,T_Aop[],6,1),A1)</f>
        <v>      1.5. Neto gubici od usklađivanja vrijednosti zaliha materijala i robe </v>
      </c>
      <c r="E112" s="440"/>
      <c r="F112" s="440"/>
      <c r="G112" s="440"/>
      <c r="H112" s="441"/>
      <c r="I112" s="63">
        <f>VLOOKUP($B112,T_Aop[],4,1)</f>
        <v>292</v>
      </c>
      <c r="J112" s="120"/>
      <c r="K112" s="120"/>
      <c r="L112" s="121"/>
      <c r="N112" s="52"/>
      <c r="P112" s="143"/>
    </row>
    <row r="113" spans="2:16" ht="22.50" customHeight="1">
      <c r="B113" s="25" t="n">
        <v>231</v>
      </c>
      <c r="C113" s="64" t="str">
        <f aca="1">IF(AND(Godina=2024,MID(Osnovni_podaci!D20,3,1)="p",Osnovni_podaci!L24=0,Osnovni_podaci!G24=0,MID(Osnovni_podaci!D20,3,1)="p",MID(Osnovni_podaci!D20,8,1)="k"),VLOOKUP($B113,T_Aop[],5,1),A1)</f>
        <v>588, dio 589, 688, dio 689 neto prikaz</v>
      </c>
      <c r="D113" s="436" t="str">
        <f aca="1">IF(AND(Godina=2024,MID(Osnovni_podaci!D20,3,1)="p",Osnovni_podaci!L24=0,Osnovni_podaci!G24=0,MID(Osnovni_podaci!D20,3,1)="p",MID(Osnovni_podaci!D20,8,1)="k"),VLOOKUP($B113,T_Aop[],6,1),A1)</f>
        <v>      1.6. Neto gubici od usklađivanja vrijednosti stalnih sredstava namijenjenih prodaji, sredstava poslovanja koje se obustavlja i ostalih nefinansijskih sredstava</v>
      </c>
      <c r="E113" s="437"/>
      <c r="F113" s="437"/>
      <c r="G113" s="437"/>
      <c r="H113" s="438"/>
      <c r="I113" s="65">
        <f>VLOOKUP($B113,T_Aop[],4,1)</f>
        <v>293</v>
      </c>
      <c r="J113" s="122"/>
      <c r="K113" s="122"/>
      <c r="L113" s="123"/>
      <c r="N113" s="52"/>
      <c r="P113" s="143"/>
    </row>
    <row r="114" spans="2:16" ht="15" customHeight="1">
      <c r="B114" s="25" t="n">
        <v>232</v>
      </c>
      <c r="C114" s="62">
        <f aca="1">IF(AND(Godina=2024,MID(Osnovni_podaci!D20,3,1)="p",Osnovni_podaci!L24=0,Osnovni_podaci!G24=0,MID(Osnovni_podaci!D20,3,1)="p",MID(Osnovni_podaci!D20,8,1)="k"),VLOOKUP($B114,T_Aop[],5,1),A1)</f>
        <v>0</v>
      </c>
      <c r="D114" s="439" t="str">
        <f aca="1">IF(AND(Godina=2024,MID(Osnovni_podaci!D20,3,1)="p",Osnovni_podaci!L24=0,Osnovni_podaci!G24=0,MID(Osnovni_podaci!D20,3,1)="p",MID(Osnovni_podaci!D20,8,1)="k"),VLOOKUP($B114,T_Aop[],6,1),A1)</f>
        <v>    2.  Gubici od usklađivanja vrijednosti finansijskih sredstava (295 do 298)</v>
      </c>
      <c r="E114" s="440"/>
      <c r="F114" s="440"/>
      <c r="G114" s="440"/>
      <c r="H114" s="441"/>
      <c r="I114" s="63">
        <f>VLOOKUP($B114,T_Aop[],4,1)</f>
        <v>294</v>
      </c>
      <c r="J114" s="120"/>
      <c r="K114" s="119">
        <f aca="1">IF(AND(Godina=2024,MID(Osnovni_podaci!D20,3,1)="p",Osnovni_podaci!L24=0,Osnovni_podaci!G24=0,MID(Osnovni_podaci!D20,3,1)="p",MID(Osnovni_podaci!D20,8,1)="k"),SUBTOTAL(9,K115:K118),A1)</f>
        <v>0</v>
      </c>
      <c r="L114" s="347">
        <f aca="1">IF(AND(Godina=2024,MID(Osnovni_podaci!D20,3,1)="p",Osnovni_podaci!L24=0,Osnovni_podaci!G24=0,MID(Osnovni_podaci!D20,3,1)="p",MID(Osnovni_podaci!D20,8,1)="k"),SUBTOTAL(9,L115:L118),A1)</f>
        <v>0</v>
      </c>
      <c r="N114" s="52"/>
      <c r="P114" s="143"/>
    </row>
    <row r="115" spans="2:16" ht="22.50" customHeight="1">
      <c r="B115" s="25" t="n">
        <v>233</v>
      </c>
      <c r="C115" s="64" t="str">
        <f aca="1">IF(AND(Godina=2024,MID(Osnovni_podaci!D20,3,1)="p",Osnovni_podaci!L24=0,Osnovni_podaci!G24=0,MID(Osnovni_podaci!D20,3,1)="p",MID(Osnovni_podaci!D20,8,1)="k"),VLOOKUP($B115,T_Aop[],5,1),A1)</f>
        <v>584, 684 neto prikaz</v>
      </c>
      <c r="D115" s="436" t="str">
        <f aca="1">IF(AND(Godina=2024,MID(Osnovni_podaci!D20,3,1)="p",Osnovni_podaci!L24=0,Osnovni_podaci!G24=0,MID(Osnovni_podaci!D20,3,1)="p",MID(Osnovni_podaci!D20,8,1)="k"),VLOOKUP($B115,T_Aop[],6,1),A1)</f>
        <v>      2.1 Neto gubici od usklađivanja vrijednosti dugoročnih finansijskih sredstava</v>
      </c>
      <c r="E115" s="437"/>
      <c r="F115" s="437"/>
      <c r="G115" s="437"/>
      <c r="H115" s="438"/>
      <c r="I115" s="65">
        <f>VLOOKUP($B115,T_Aop[],4,1)</f>
        <v>295</v>
      </c>
      <c r="J115" s="122"/>
      <c r="K115" s="122"/>
      <c r="L115" s="123"/>
      <c r="N115" s="52"/>
      <c r="P115" s="143"/>
    </row>
    <row r="116" spans="2:16" ht="22.50" customHeight="1">
      <c r="B116" s="25" t="n">
        <v>234</v>
      </c>
      <c r="C116" s="62" t="str">
        <f aca="1">IF(AND(Godina=2024,MID(Osnovni_podaci!D20,3,1)="p",Osnovni_podaci!L24=0,Osnovni_podaci!G24=0,MID(Osnovni_podaci!D20,3,1)="p",MID(Osnovni_podaci!D20,8,1)="k"),VLOOKUP($B116,T_Aop[],5,1),A1)</f>
        <v>586, 686 neto prikaz</v>
      </c>
      <c r="D116" s="439" t="str">
        <f aca="1">IF(AND(Godina=2024,MID(Osnovni_podaci!D20,3,1)="p",Osnovni_podaci!L24=0,Osnovni_podaci!G24=0,MID(Osnovni_podaci!D20,3,1)="p",MID(Osnovni_podaci!D20,8,1)="k"),VLOOKUP($B116,T_Aop[],6,1),A1)</f>
        <v>      2.2  Neto gubici od usklađivanja vrijednosti kratkoročnih finansijskih sredstava (osim potraživanja od kupaca)</v>
      </c>
      <c r="E116" s="440"/>
      <c r="F116" s="440"/>
      <c r="G116" s="440"/>
      <c r="H116" s="441"/>
      <c r="I116" s="63">
        <f>VLOOKUP($B116,T_Aop[],4,1)</f>
        <v>296</v>
      </c>
      <c r="J116" s="120"/>
      <c r="K116" s="120"/>
      <c r="L116" s="121"/>
      <c r="N116" s="52"/>
      <c r="P116" s="144" t="s">
        <v>69</v>
      </c>
    </row>
    <row r="117" spans="2:16" ht="22.50" customHeight="1">
      <c r="B117" s="25" t="n">
        <v>235</v>
      </c>
      <c r="C117" s="64" t="str">
        <f aca="1">IF(AND(Godina=2024,MID(Osnovni_podaci!D20,3,1)="p",Osnovni_podaci!L24=0,Osnovni_podaci!G24=0,MID(Osnovni_podaci!D20,3,1)="p",MID(Osnovni_podaci!D20,8,1)="k"),VLOOKUP($B117,T_Aop[],5,1),A1)</f>
        <v>587, 687 neto prikaz</v>
      </c>
      <c r="D117" s="436" t="str">
        <f aca="1">IF(AND(Godina=2024,MID(Osnovni_podaci!D20,3,1)="p",Osnovni_podaci!L24=0,Osnovni_podaci!G24=0,MID(Osnovni_podaci!D20,3,1)="p",MID(Osnovni_podaci!D20,8,1)="k"),VLOOKUP($B117,T_Aop[],6,1),A1)</f>
        <v>      2.3 Neto gubici od usklađivanja vrijednosti potraživanja od kupaca</v>
      </c>
      <c r="E117" s="437"/>
      <c r="F117" s="437"/>
      <c r="G117" s="437"/>
      <c r="H117" s="438"/>
      <c r="I117" s="65">
        <f>VLOOKUP($B117,T_Aop[],4,1)</f>
        <v>297</v>
      </c>
      <c r="J117" s="122"/>
      <c r="K117" s="122"/>
      <c r="L117" s="123"/>
      <c r="N117" s="52"/>
      <c r="P117" s="144" t="s">
        <v>69</v>
      </c>
    </row>
    <row r="118" spans="2:16" ht="22.50" customHeight="1">
      <c r="B118" s="25" t="n">
        <v>236</v>
      </c>
      <c r="C118" s="62" t="str">
        <f aca="1">IF(AND(Godina=2024,MID(Osnovni_podaci!D20,3,1)="p",Osnovni_podaci!L24=0,Osnovni_podaci!G24=0,MID(Osnovni_podaci!D20,3,1)="p",MID(Osnovni_podaci!D20,8,1)="k"),VLOOKUP($B118,T_Aop[],5,1),A1)</f>
        <v>dio 589, dio 689neto prikaz</v>
      </c>
      <c r="D118" s="439" t="str">
        <f aca="1">IF(AND(Godina=2024,MID(Osnovni_podaci!D20,3,1)="p",Osnovni_podaci!L24=0,Osnovni_podaci!G24=0,MID(Osnovni_podaci!D20,3,1)="p",MID(Osnovni_podaci!D20,8,1)="k"),VLOOKUP($B118,T_Aop[],6,1),A1)</f>
        <v>      2.4  Neto gubici od usklađivanja vrijednosti ostalih finansijskih sredstava</v>
      </c>
      <c r="E118" s="440"/>
      <c r="F118" s="440"/>
      <c r="G118" s="440"/>
      <c r="H118" s="441"/>
      <c r="I118" s="63">
        <f>VLOOKUP($B118,T_Aop[],4,1)</f>
        <v>298</v>
      </c>
      <c r="J118" s="120"/>
      <c r="K118" s="120"/>
      <c r="L118" s="121"/>
      <c r="N118" s="52"/>
      <c r="P118" s="143"/>
    </row>
    <row r="119" spans="2:16" ht="15" customHeight="1">
      <c r="B119" s="25" t="n">
        <v>237</v>
      </c>
      <c r="C119" s="64">
        <f aca="1">IF(AND(Godina=2024,MID(Osnovni_podaci!D20,3,1)="p",Osnovni_podaci!L24=0,Osnovni_podaci!G24=0,MID(Osnovni_podaci!D20,3,1)="p",MID(Osnovni_podaci!D20,8,1)="k"),VLOOKUP($B119,T_Aop[],5,1),A1)</f>
        <v>0</v>
      </c>
      <c r="D119" s="443" t="str">
        <f aca="1">IF(AND(Godina=2024,MID(Osnovni_podaci!D20,3,1)="p",Osnovni_podaci!L24=0,Osnovni_podaci!G24=0,MID(Osnovni_podaci!D20,3,1)="p",MID(Osnovni_podaci!D20,8,1)="k"),VLOOKUP($B119,T_Aop[],6,1),A1)</f>
        <v>  J. DOBITAK PO OSNOVU USKLAĐIVANJA VRIJEDNOSTI IMOVINE (273 – 286) </v>
      </c>
      <c r="E119" s="444"/>
      <c r="F119" s="444"/>
      <c r="G119" s="444"/>
      <c r="H119" s="445"/>
      <c r="I119" s="133">
        <f>VLOOKUP($B119,T_Aop[],4,1)</f>
        <v>299</v>
      </c>
      <c r="J119" s="122"/>
      <c r="K119" s="40">
        <f aca="1">IF(AND(Godina=2024,MID(Osnovni_podaci!D20,3,1)="p",Osnovni_podaci!L24=0,Osnovni_podaci!G24=0,MID(Osnovni_podaci!D20,3,1)="p",MID(Osnovni_podaci!D20,8,1)="k"),IF(SUBTOTAL(9,K94:K105)-SUBTOTAL(9,K106:K118)&lt;=0,0,ABS(SUBTOTAL(9,K94:K105)-SUBTOTAL(9,K106:K118))),A1)</f>
        <v>0</v>
      </c>
      <c r="L119" s="41">
        <f aca="1">IF(AND(Godina=2024,MID(Osnovni_podaci!D20,3,1)="p",Osnovni_podaci!L24=0,Osnovni_podaci!G24=0,MID(Osnovni_podaci!D20,3,1)="p",MID(Osnovni_podaci!D20,8,1)="k"),IF(SUBTOTAL(9,L94:L105)-SUBTOTAL(9,L106:L118)&lt;=0,0,ABS(SUBTOTAL(9,L94:L105)-SUBTOTAL(9,L106:L118))),A1)</f>
        <v>0</v>
      </c>
      <c r="N119" s="52"/>
      <c r="P119" s="143"/>
    </row>
    <row r="120" spans="2:16" ht="15" customHeight="1">
      <c r="B120" s="25" t="n">
        <v>238</v>
      </c>
      <c r="C120" s="62">
        <f aca="1">IF(AND(Godina=2024,MID(Osnovni_podaci!D20,3,1)="p",Osnovni_podaci!L24=0,Osnovni_podaci!G24=0,MID(Osnovni_podaci!D20,3,1)="p",MID(Osnovni_podaci!D20,8,1)="k"),VLOOKUP($B120,T_Aop[],5,1),A1)</f>
        <v>0</v>
      </c>
      <c r="D120" s="446" t="str">
        <f aca="1">IF(AND(Godina=2024,MID(Osnovni_podaci!D20,3,1)="p",Osnovni_podaci!L24=0,Osnovni_podaci!G24=0,MID(Osnovni_podaci!D20,3,1)="p",MID(Osnovni_podaci!D20,8,1)="k"),VLOOKUP($B120,T_Aop[],6,1),A1)</f>
        <v>  K. GUBITAK PO OSNOVU USKLAĐIVANJA VRIJEDNOSTI IMOVINE (286 – 273)</v>
      </c>
      <c r="E120" s="447"/>
      <c r="F120" s="447"/>
      <c r="G120" s="447"/>
      <c r="H120" s="448"/>
      <c r="I120" s="134">
        <f>VLOOKUP($B120,T_Aop[],4,1)</f>
        <v>300</v>
      </c>
      <c r="J120" s="120"/>
      <c r="K120" s="191">
        <f aca="1">IF(AND(Godina=2024,MID(Osnovni_podaci!D20,3,1)="p",Osnovni_podaci!L24=0,Osnovni_podaci!G24=0,MID(Osnovni_podaci!D20,3,1)="p",MID(Osnovni_podaci!D20,8,1)="k"),IF(SUBTOTAL(9,K94:K105)-SUBTOTAL(9,K106:K118)&gt;=0,0,ABS(SUBTOTAL(9,K94:K105)-SUBTOTAL(9,K106:K118))),A1)</f>
        <v>0</v>
      </c>
      <c r="L120" s="327">
        <f aca="1">IF(AND(Godina=2024,MID(Osnovni_podaci!D20,3,1)="p",Osnovni_podaci!L24=0,Osnovni_podaci!G24=0,MID(Osnovni_podaci!D20,3,1)="p",MID(Osnovni_podaci!D20,8,1)="k"),IF(SUBTOTAL(9,L94:L105)-SUBTOTAL(9,L106:L118)&gt;=0,0,ABS(SUBTOTAL(9,L94:L105)-SUBTOTAL(9,L106:L118))),A1)</f>
        <v>0</v>
      </c>
      <c r="N120" s="52"/>
      <c r="P120" s="143"/>
    </row>
    <row r="121" spans="2:16" ht="22.50" customHeight="1">
      <c r="B121" s="25" t="n">
        <v>239</v>
      </c>
      <c r="C121" s="64" t="str">
        <f aca="1">IF(AND(Godina=2024,MID(Osnovni_podaci!D20,3,1)="p",Osnovni_podaci!L24=0,Osnovni_podaci!G24=0,MID(Osnovni_podaci!D20,3,1)="p",MID(Osnovni_podaci!D20,8,1)="k"),VLOOKUP($B121,T_Aop[],5,1),A1)</f>
        <v>690 i 691</v>
      </c>
      <c r="D121" s="443" t="str">
        <f aca="1">IF(AND(Godina=2024,MID(Osnovni_podaci!D20,3,1)="p",Osnovni_podaci!L24=0,Osnovni_podaci!G24=0,MID(Osnovni_podaci!D20,3,1)="p",MID(Osnovni_podaci!D20,8,1)="k"),VLOOKUP($B121,T_Aop[],6,1),A1)</f>
        <v>  L. Prihodi po osnovu promjene računovodstvenih politika i ispravke grešaka iz ranijih godina </v>
      </c>
      <c r="E121" s="444"/>
      <c r="F121" s="444"/>
      <c r="G121" s="444"/>
      <c r="H121" s="445"/>
      <c r="I121" s="133">
        <f>VLOOKUP($B121,T_Aop[],4,1)</f>
        <v>301</v>
      </c>
      <c r="J121" s="122"/>
      <c r="K121" s="124"/>
      <c r="L121" s="125"/>
      <c r="N121" s="52"/>
      <c r="P121" s="143"/>
    </row>
    <row r="122" spans="2:16" ht="13.50" customHeight="1">
      <c r="B122" s="25" t="n">
        <v>240</v>
      </c>
      <c r="C122" s="62" t="str">
        <f aca="1">IF(AND(Godina=2024,MID(Osnovni_podaci!D20,3,1)="p",Osnovni_podaci!L24=0,Osnovni_podaci!G24=0,MID(Osnovni_podaci!D20,3,1)="p",MID(Osnovni_podaci!D20,8,1)="k"),VLOOKUP($B122,T_Aop[],5,1),A1)</f>
        <v>590 i 591</v>
      </c>
      <c r="D122" s="446" t="str">
        <f aca="1">IF(AND(Godina=2024,MID(Osnovni_podaci!D20,3,1)="p",Osnovni_podaci!L24=0,Osnovni_podaci!G24=0,MID(Osnovni_podaci!D20,3,1)="p",MID(Osnovni_podaci!D20,8,1)="k"),VLOOKUP($B122,T_Aop[],6,1),A1)</f>
        <v>  LJ. Rashodi po osnovu promjene računovodstvenih politika i ispravke grešaka iz ranijih godina</v>
      </c>
      <c r="E122" s="447"/>
      <c r="F122" s="447"/>
      <c r="G122" s="447"/>
      <c r="H122" s="448"/>
      <c r="I122" s="134">
        <f>VLOOKUP($B122,T_Aop[],4,1)</f>
        <v>302</v>
      </c>
      <c r="J122" s="120"/>
      <c r="K122" s="73"/>
      <c r="L122" s="74"/>
      <c r="N122" s="52"/>
      <c r="P122" s="143"/>
    </row>
    <row r="123" spans="2:16" ht="13.50" customHeight="1">
      <c r="B123" s="25" t="n">
        <v>241</v>
      </c>
      <c r="C123" s="64">
        <f aca="1">IF(AND(Godina=2024,MID(Osnovni_podaci!D20,3,1)="p",Osnovni_podaci!L24=0,Osnovni_podaci!G24=0,MID(Osnovni_podaci!D20,3,1)="p",MID(Osnovni_podaci!D20,8,1)="k"),VLOOKUP($B123,T_Aop[],5,1),A1)</f>
        <v>0</v>
      </c>
      <c r="D123" s="436" t="str">
        <f aca="1">IF(AND(Godina=2024,MID(Osnovni_podaci!D20,3,1)="p",Osnovni_podaci!L24=0,Osnovni_podaci!G24=0,MID(Osnovni_podaci!D20,3,1)="p",MID(Osnovni_podaci!D20,8,1)="k"),VLOOKUP($B123,T_Aop[],6,1),A1)</f>
        <v>Udio u dobiti pridruženog društva i zajedničkog poduhvata primjenom metode udjela</v>
      </c>
      <c r="E123" s="437"/>
      <c r="F123" s="437"/>
      <c r="G123" s="437"/>
      <c r="H123" s="438"/>
      <c r="I123" s="65">
        <f>VLOOKUP($B123,T_Aop[],4,1)</f>
        <v>303</v>
      </c>
      <c r="J123" s="122"/>
      <c r="K123" s="122"/>
      <c r="L123" s="123"/>
      <c r="N123" s="52"/>
      <c r="P123" s="143"/>
    </row>
    <row r="124" spans="2:16" ht="13.50" customHeight="1">
      <c r="B124" s="25" t="n">
        <v>242</v>
      </c>
      <c r="C124" s="62">
        <f aca="1">IF(AND(Godina=2024,MID(Osnovni_podaci!D20,3,1)="p",Osnovni_podaci!L24=0,Osnovni_podaci!G24=0,MID(Osnovni_podaci!D20,3,1)="p",MID(Osnovni_podaci!D20,8,1)="k"),VLOOKUP($B124,T_Aop[],5,1),A1)</f>
        <v>0</v>
      </c>
      <c r="D124" s="439" t="str">
        <f aca="1">IF(AND(Godina=2024,MID(Osnovni_podaci!D20,3,1)="p",Osnovni_podaci!L24=0,Osnovni_podaci!G24=0,MID(Osnovni_podaci!D20,3,1)="p",MID(Osnovni_podaci!D20,8,1)="k"),VLOOKUP($B124,T_Aop[],6,1),A1)</f>
        <v>Udio u gubitku pridruženog društva i zajedničkog poduhvata primjenom metode udjela</v>
      </c>
      <c r="E124" s="440"/>
      <c r="F124" s="440"/>
      <c r="G124" s="440"/>
      <c r="H124" s="441"/>
      <c r="I124" s="63">
        <f>VLOOKUP($B124,T_Aop[],4,1)</f>
        <v>304</v>
      </c>
      <c r="J124" s="120"/>
      <c r="K124" s="120"/>
      <c r="L124" s="121"/>
      <c r="N124" s="52"/>
      <c r="P124" s="143"/>
    </row>
    <row r="125" spans="2:16" ht="15" customHeight="1">
      <c r="B125" s="25" t="n">
        <v>243</v>
      </c>
      <c r="C125" s="132">
        <f aca="1">IF(AND(Godina=2024,MID(Osnovni_podaci!D20,3,1)="p",Osnovni_podaci!L24=0,Osnovni_podaci!G24=0,MID(Osnovni_podaci!D20,3,1)="p",MID(Osnovni_podaci!D20,8,1)="k"),VLOOKUP($B125,T_Aop[],5,1),A1)</f>
        <v>0</v>
      </c>
      <c r="D125" s="443" t="str">
        <f aca="1">IF(AND(Godina=2024,MID(Osnovni_podaci!D20,3,1)="p",Osnovni_podaci!L24=0,Osnovni_podaci!G24=0,MID(Osnovni_podaci!D20,3,1)="p",MID(Osnovni_podaci!D20,8,1)="k"),VLOOKUP($B125,T_Aop[],6,1),A1)</f>
        <v>  UKUPNI PRIHODI (201+239+251+273+301+303)</v>
      </c>
      <c r="E125" s="444"/>
      <c r="F125" s="444"/>
      <c r="G125" s="444"/>
      <c r="H125" s="445"/>
      <c r="I125" s="133">
        <f>VLOOKUP($B125,T_Aop[],4,1)</f>
        <v>305</v>
      </c>
      <c r="J125" s="122"/>
      <c r="K125" s="40">
        <f aca="1">IF(AND(Godina=2024,MID(Osnovni_podaci!D20,3,1)="p",Osnovni_podaci!L24=0,Osnovni_podaci!G24=0,MID(Osnovni_podaci!D20,3,1)="p",MID(Osnovni_podaci!D20,8,1)="k"),SUBTOTAL(9,K22:K33,K34,K36,K38,K59:K63,K71:K80,K93:K105,K121,K123)-SUBTOTAL(9,K35,K37),A1)</f>
        <v>329081</v>
      </c>
      <c r="L125" s="41">
        <f aca="1">IF(AND(Godina=2024,MID(Osnovni_podaci!D20,3,1)="p",Osnovni_podaci!L24=0,Osnovni_podaci!G24=0,MID(Osnovni_podaci!D20,3,1)="p",MID(Osnovni_podaci!D20,8,1)="k"),SUBTOTAL(9,L22:L33,L34,L36,L38,L59:L63,L71:L80,L93:L105,L121,L123)-SUBTOTAL(9,L35,L37),A1)</f>
        <v>373976</v>
      </c>
      <c r="N125" s="52"/>
      <c r="P125" s="143"/>
    </row>
    <row r="126" spans="2:16" ht="17.25" customHeight="1">
      <c r="B126" s="25" t="n">
        <v>244</v>
      </c>
      <c r="C126" s="62">
        <f aca="1">IF(AND(Godina=2024,MID(Osnovni_podaci!D20,3,1)="p",Osnovni_podaci!L24=0,Osnovni_podaci!G24=0,MID(Osnovni_podaci!D20,3,1)="p",MID(Osnovni_podaci!D20,8,1)="k"),VLOOKUP($B126,T_Aop[],5,1),A1)</f>
        <v>0</v>
      </c>
      <c r="D126" s="446" t="str">
        <f aca="1">IF(AND(Godina=2024,MID(Osnovni_podaci!D20,3,1)="p",Osnovni_podaci!L24=0,Osnovni_podaci!G24=0,MID(Osnovni_podaci!D20,3,1)="p",MID(Osnovni_podaci!D20,8,1)="k"),VLOOKUP($B126,T_Aop[],6,1),A1)</f>
        <v>  UKUPNI RASHODI (219+244+261+286+302+304)</v>
      </c>
      <c r="E126" s="447"/>
      <c r="F126" s="447"/>
      <c r="G126" s="447"/>
      <c r="H126" s="448"/>
      <c r="I126" s="134">
        <f>VLOOKUP($B126,T_Aop[],4,1)</f>
        <v>306</v>
      </c>
      <c r="J126" s="120"/>
      <c r="K126" s="191">
        <f aca="1">IF(AND(Godina=2024,MID(Osnovni_podaci!D20,3,1)="p",Osnovni_podaci!L24=0,Osnovni_podaci!G24=0,MID(Osnovni_podaci!D20,3,1)="p",MID(Osnovni_podaci!D20,8,1)="k"),SUBTOTAL(9,K39:K56,K64:K68,K81:K90,K106:K118,K122,K124),A1)</f>
        <v>328126</v>
      </c>
      <c r="L126" s="327">
        <f aca="1">IF(AND(Godina=2024,MID(Osnovni_podaci!D20,3,1)="p",Osnovni_podaci!L24=0,Osnovni_podaci!G24=0,MID(Osnovni_podaci!D20,3,1)="p",MID(Osnovni_podaci!D20,8,1)="k"),SUBTOTAL(9,L39:L56,L64:L68,L81:L90,L106:L118,L122,L124),A1)</f>
        <v>373284</v>
      </c>
      <c r="N126" s="52"/>
      <c r="P126" s="143"/>
    </row>
    <row r="127" spans="2:16" ht="23.25" customHeight="1">
      <c r="B127" s="25" t="n">
        <v>245</v>
      </c>
      <c r="C127" s="64">
        <f aca="1">IF(AND(Godina=2024,MID(Osnovni_podaci!D20,3,1)="p",Osnovni_podaci!L24=0,Osnovni_podaci!G24=0,MID(Osnovni_podaci!D20,3,1)="p",MID(Osnovni_podaci!D20,8,1)="k"),VLOOKUP($B127,T_Aop[],5,1),A1)</f>
        <v>0</v>
      </c>
      <c r="D127" s="443" t="str">
        <f aca="1">IF(AND(Godina=2024,MID(Osnovni_podaci!D20,3,1)="p",Osnovni_podaci!L24=0,Osnovni_podaci!G24=0,MID(Osnovni_podaci!D20,3,1)="p",MID(Osnovni_podaci!D20,8,1)="k"),VLOOKUP($B127,T_Aop[],6,1),A1)</f>
        <v>  M. DOBIT I GUBITAK PRIJE OPOREZIVANJA
1. Dobit prije oporezivanja (305 – 306)</v>
      </c>
      <c r="E127" s="444"/>
      <c r="F127" s="444"/>
      <c r="G127" s="444"/>
      <c r="H127" s="445"/>
      <c r="I127" s="133">
        <f>VLOOKUP($B127,T_Aop[],4,1)</f>
        <v>307</v>
      </c>
      <c r="J127" s="122"/>
      <c r="K127" s="40">
        <f aca="1">IF(AND(Godina=2024,MID(Osnovni_podaci!D20,3,1)="p",Osnovni_podaci!L24=0,Osnovni_podaci!G24=0,MID(Osnovni_podaci!D20,3,1)="p",MID(Osnovni_podaci!D20,8,1)="k"),IF(SUBTOTAL(9,K22:K33,K34,K36,K38,K59:K63,K71:K80,K93:K105,K121,K123)-SUBTOTAL(9,K35,K37,K39:K56,K64:K68,K81:K90,K106:K118,K122,K124)&lt;=0,0,ABS(SUBTOTAL(9,K22:K33,K34,K36,K38,K59:K63,K71:K80,K93:K105,K121,K123)-SUBTOTAL(9,K35,K37,K39:K56,K64:K68,K81:K90,K106:K118,K122,K124))),A1)</f>
        <v>955</v>
      </c>
      <c r="L127" s="41">
        <f aca="1">IF(AND(Godina=2024,MID(Osnovni_podaci!D20,3,1)="p",Osnovni_podaci!L24=0,Osnovni_podaci!G24=0,MID(Osnovni_podaci!D20,3,1)="p",MID(Osnovni_podaci!D20,8,1)="k"),IF(SUBTOTAL(9,L22:L33,L34,L36,L38,L59:L63,L71:L80,L93:L105,L121,L123)-SUBTOTAL(9,L35,L37,L39:L56,L64:L68,L81:L90,L106:L118,L122,L124)&lt;=0,0,ABS(SUBTOTAL(9,L22:L33,L34,L36,L38,L59:L63,L71:L80,L93:L105,L121,L123)-SUBTOTAL(9,L35,L37,L39:L56,L64:L68,L81:L90,L106:L118,L122,L124))),A1)</f>
        <v>692</v>
      </c>
      <c r="N127" s="52"/>
      <c r="P127" s="143"/>
    </row>
    <row r="128" spans="2:16" ht="17.25" customHeight="1">
      <c r="B128" s="25" t="n">
        <v>246</v>
      </c>
      <c r="C128" s="147">
        <f aca="1">IF(AND(Godina=2024,MID(Osnovni_podaci!D20,3,1)="p",Osnovni_podaci!L24=0,Osnovni_podaci!G24=0,MID(Osnovni_podaci!D20,3,1)="p",MID(Osnovni_podaci!D20,8,1)="k"),VLOOKUP($B128,T_Aop[],5,1),A1)</f>
        <v>0</v>
      </c>
      <c r="D128" s="446" t="str">
        <f aca="1">IF(AND(Godina=2024,MID(Osnovni_podaci!D20,3,1)="p",Osnovni_podaci!L24=0,Osnovni_podaci!G24=0,MID(Osnovni_podaci!D20,3,1)="p",MID(Osnovni_podaci!D20,8,1)="k"),VLOOKUP($B128,T_Aop[],6,1),A1)</f>
        <v>  2. Gubitak prije oporezivanja (306 – 305)</v>
      </c>
      <c r="E128" s="447"/>
      <c r="F128" s="447"/>
      <c r="G128" s="447"/>
      <c r="H128" s="448"/>
      <c r="I128" s="134">
        <f>VLOOKUP($B128,T_Aop[],4,1)</f>
        <v>308</v>
      </c>
      <c r="J128" s="120"/>
      <c r="K128" s="191">
        <f aca="1">IF(AND(Godina=2024,MID(Osnovni_podaci!D20,3,1)="p",Osnovni_podaci!L24=0,Osnovni_podaci!G24=0,MID(Osnovni_podaci!D20,3,1)="p",MID(Osnovni_podaci!D20,8,1)="k"),IF(SUBTOTAL(9,K22:K33,K34,K36,K38,K59:K63,K71:K80,K93:K105,K121,K123)-SUBTOTAL(9,K35,K37,K39:K56,K64:K68,K81:K90,K106:K118,K122,K124)&gt;=0,0,ABS(SUBTOTAL(9,K22:K33,K34,K36,K38,K59:K63,K71:K80,K93:K105,K121,K123)-SUBTOTAL(9,K35,K37,K39:K56,K64:K68,K81:K90,K106:K118,K122,K124))),A1)</f>
        <v>0</v>
      </c>
      <c r="L128" s="300">
        <f aca="1">IF(AND(Godina=2024,MID(Osnovni_podaci!D20,3,1)="p",Osnovni_podaci!L24=0,Osnovni_podaci!G24=0,MID(Osnovni_podaci!D20,3,1)="p",MID(Osnovni_podaci!D20,8,1)="k"),IF(SUBTOTAL(9,L22:L33,L34,L36,L38,L59:L63,L71:L80,L93:L105,L121,L123)-SUBTOTAL(9,L35,L37,L39:L56,L64:L68,L81:L90,L106:L118,L122,L124)&gt;=0,0,ABS(SUBTOTAL(9,L22:L33,L34,L36,L38,L59:L63,L71:L80,L93:L105,L121,L123)-SUBTOTAL(9,L35,L37,L39:L56,L64:L68,L81:L90,L106:L118,L122,L124))),A1)</f>
        <v>0</v>
      </c>
      <c r="N128" s="52"/>
      <c r="P128" s="143"/>
    </row>
    <row r="129" spans="2:16" ht="27.75" customHeight="1">
      <c r="B129" s="25" t="n">
        <v>247</v>
      </c>
      <c r="C129" s="132" t="str">
        <f aca="1">IF(AND(Godina=2024,MID(Osnovni_podaci!D20,3,1)="p",Osnovni_podaci!L24=0,Osnovni_podaci!G24=0,MID(Osnovni_podaci!D20,3,1)="p",MID(Osnovni_podaci!D20,8,1)="k"),VLOOKUP($B129,T_Aop[],5,1),A1)</f>
        <v>721</v>
      </c>
      <c r="D129" s="443" t="str">
        <f aca="1">IF(AND(Godina=2024,MID(Osnovni_podaci!D20,3,1)="p",Osnovni_podaci!L24=0,Osnovni_podaci!G24=0,MID(Osnovni_podaci!D20,3,1)="p",MID(Osnovni_podaci!D20,8,1)="k"),VLOOKUP($B129,T_Aop[],6,1),A1)</f>
        <v>  N. TEKUĆI I ODLOŽENI POREZ NA DOBIT
1. Poreski rashodi perioda </v>
      </c>
      <c r="E129" s="444"/>
      <c r="F129" s="444"/>
      <c r="G129" s="444"/>
      <c r="H129" s="445"/>
      <c r="I129" s="133">
        <f>VLOOKUP($B129,T_Aop[],4,1)</f>
        <v>309</v>
      </c>
      <c r="J129" s="122"/>
      <c r="K129" s="361" t="n">
        <v>150</v>
      </c>
      <c r="L129" s="125" t="n">
        <v>300</v>
      </c>
      <c r="N129" s="52"/>
      <c r="P129" s="143"/>
    </row>
    <row r="130" spans="2:16" ht="17.25" customHeight="1">
      <c r="B130" s="25" t="n">
        <v>248</v>
      </c>
      <c r="C130" s="147">
        <f aca="1">IF(AND(Godina=2024,MID(Osnovni_podaci!D20,3,1)="p",Osnovni_podaci!L24=0,Osnovni_podaci!G24=0,MID(Osnovni_podaci!D20,3,1)="p",MID(Osnovni_podaci!D20,8,1)="k"),VLOOKUP($B130,T_Aop[],5,1),A1)</f>
        <v>0</v>
      </c>
      <c r="D130" s="439" t="str">
        <f aca="1">IF(AND(Godina=2024,MID(Osnovni_podaci!D20,3,1)="p",Osnovni_podaci!L24=0,Osnovni_podaci!G24=0,MID(Osnovni_podaci!D20,3,1)="p",MID(Osnovni_podaci!D20,8,1)="k"),VLOOKUP($B130,T_Aop[],6,1),A1)</f>
        <v>    2. Odloženi poreski rashodi (311 + 312)</v>
      </c>
      <c r="E130" s="440"/>
      <c r="F130" s="440"/>
      <c r="G130" s="440"/>
      <c r="H130" s="441"/>
      <c r="I130" s="63">
        <f>VLOOKUP($B130,T_Aop[],4,1)</f>
        <v>310</v>
      </c>
      <c r="J130" s="120"/>
      <c r="K130" s="364">
        <f aca="1">IF(AND(Godina=2024,MID(Osnovni_podaci!D20,3,1)="p",Osnovni_podaci!L24=0,Osnovni_podaci!G24=0,MID(Osnovni_podaci!D20,3,1)="p",MID(Osnovni_podaci!D20,8,1)="k"),SUBTOTAL(9,K131:K132),A1)</f>
        <v>0</v>
      </c>
      <c r="L130" s="347">
        <f aca="1">IF(AND(Godina=2024,MID(Osnovni_podaci!D20,3,1)="p",Osnovni_podaci!L24=0,Osnovni_podaci!G24=0,MID(Osnovni_podaci!D20,3,1)="p",MID(Osnovni_podaci!D20,8,1)="k"),SUBTOTAL(9,L131:L132),A1)</f>
        <v>0</v>
      </c>
      <c r="N130" s="52"/>
      <c r="P130" s="143"/>
    </row>
    <row r="131" spans="2:16" ht="17.25" customHeight="1">
      <c r="B131" s="25" t="n">
        <v>249</v>
      </c>
      <c r="C131" s="64" t="str">
        <f aca="1">IF(AND(Godina=2024,MID(Osnovni_podaci!D20,3,1)="p",Osnovni_podaci!L24=0,Osnovni_podaci!G24=0,MID(Osnovni_podaci!D20,3,1)="p",MID(Osnovni_podaci!D20,8,1)="k"),VLOOKUP($B131,T_Aop[],5,1),A1)</f>
        <v>722</v>
      </c>
      <c r="D131" s="436" t="str">
        <f aca="1">IF(AND(Godina=2024,MID(Osnovni_podaci!D20,3,1)="p",Osnovni_podaci!L24=0,Osnovni_podaci!G24=0,MID(Osnovni_podaci!D20,3,1)="p",MID(Osnovni_podaci!D20,8,1)="k"),VLOOKUP($B131,T_Aop[],6,1),A1)</f>
        <v>      2.1   Efekat smanjenja odloženih poreskih sredstava</v>
      </c>
      <c r="E131" s="437"/>
      <c r="F131" s="437"/>
      <c r="G131" s="437"/>
      <c r="H131" s="438"/>
      <c r="I131" s="65">
        <f>VLOOKUP($B131,T_Aop[],4,1)</f>
        <v>311</v>
      </c>
      <c r="J131" s="122"/>
      <c r="K131" s="324"/>
      <c r="L131" s="123"/>
      <c r="N131" s="52"/>
      <c r="P131" s="143"/>
    </row>
    <row r="132" spans="2:16" ht="17.25" customHeight="1">
      <c r="B132" s="25" t="n">
        <v>250</v>
      </c>
      <c r="C132" s="62" t="str">
        <f aca="1">IF(AND(Godina=2024,MID(Osnovni_podaci!D20,3,1)="p",Osnovni_podaci!L24=0,Osnovni_podaci!G24=0,MID(Osnovni_podaci!D20,3,1)="p",MID(Osnovni_podaci!D20,8,1)="k"),VLOOKUP($B132,T_Aop[],5,1),A1)</f>
        <v>724</v>
      </c>
      <c r="D132" s="439" t="str">
        <f aca="1">IF(AND(Godina=2024,MID(Osnovni_podaci!D20,3,1)="p",Osnovni_podaci!L24=0,Osnovni_podaci!G24=0,MID(Osnovni_podaci!D20,3,1)="p",MID(Osnovni_podaci!D20,8,1)="k"),VLOOKUP($B132,T_Aop[],6,1),A1)</f>
        <v>      2.2   Efekat povećanja odloženih poreskih obaveza</v>
      </c>
      <c r="E132" s="440"/>
      <c r="F132" s="440"/>
      <c r="G132" s="440"/>
      <c r="H132" s="441"/>
      <c r="I132" s="63">
        <f>VLOOKUP($B132,T_Aop[],4,1)</f>
        <v>312</v>
      </c>
      <c r="J132" s="120"/>
      <c r="K132" s="365"/>
      <c r="L132" s="121"/>
      <c r="N132" s="52"/>
      <c r="P132" s="143"/>
    </row>
    <row r="133" spans="2:16" ht="17.25" customHeight="1">
      <c r="B133" s="25" t="n">
        <v>251</v>
      </c>
      <c r="C133" s="64">
        <f aca="1">IF(AND(Godina=2024,MID(Osnovni_podaci!D20,3,1)="p",Osnovni_podaci!L24=0,Osnovni_podaci!G24=0,MID(Osnovni_podaci!D20,3,1)="p",MID(Osnovni_podaci!D20,8,1)="k"),VLOOKUP($B133,T_Aop[],5,1),A1)</f>
        <v>0</v>
      </c>
      <c r="D133" s="436" t="str">
        <f aca="1">IF(AND(Godina=2024,MID(Osnovni_podaci!D20,3,1)="p",Osnovni_podaci!L24=0,Osnovni_podaci!G24=0,MID(Osnovni_podaci!D20,3,1)="p",MID(Osnovni_podaci!D20,8,1)="k"),VLOOKUP($B133,T_Aop[],6,1),A1)</f>
        <v>    3. Odloženi poreski prihodi (314 + 315)</v>
      </c>
      <c r="E133" s="437"/>
      <c r="F133" s="437"/>
      <c r="G133" s="437"/>
      <c r="H133" s="438"/>
      <c r="I133" s="65">
        <f>VLOOKUP($B133,T_Aop[],4,1)</f>
        <v>313</v>
      </c>
      <c r="J133" s="122"/>
      <c r="K133" s="118">
        <f aca="1">IF(AND(Godina=2024,MID(Osnovni_podaci!D20,3,1)="p",Osnovni_podaci!L24=0,Osnovni_podaci!G24=0,MID(Osnovni_podaci!D20,3,1)="p",MID(Osnovni_podaci!D20,8,1)="k"),SUBTOTAL(9,K134:K135),A1)</f>
        <v>0</v>
      </c>
      <c r="L133" s="348">
        <f aca="1">IF(AND(Godina=2024,MID(Osnovni_podaci!D20,3,1)="p",Osnovni_podaci!L24=0,Osnovni_podaci!G24=0,MID(Osnovni_podaci!D20,3,1)="p",MID(Osnovni_podaci!D20,8,1)="k"),SUBTOTAL(9,L134:L135),A1)</f>
        <v>0</v>
      </c>
      <c r="N133" s="52"/>
      <c r="P133" s="143"/>
    </row>
    <row r="134" spans="2:16" ht="13.50" customHeight="1">
      <c r="B134" s="25" t="n">
        <v>252</v>
      </c>
      <c r="C134" s="62" t="str">
        <f aca="1">IF(AND(Godina=2024,MID(Osnovni_podaci!D20,3,1)="p",Osnovni_podaci!L24=0,Osnovni_podaci!G24=0,MID(Osnovni_podaci!D20,3,1)="p",MID(Osnovni_podaci!D20,8,1)="k"),VLOOKUP($B134,T_Aop[],5,1),A1)</f>
        <v>723</v>
      </c>
      <c r="D134" s="439" t="str">
        <f aca="1">IF(AND(Godina=2024,MID(Osnovni_podaci!D20,3,1)="p",Osnovni_podaci!L24=0,Osnovni_podaci!G24=0,MID(Osnovni_podaci!D20,3,1)="p",MID(Osnovni_podaci!D20,8,1)="k"),VLOOKUP($B134,T_Aop[],6,1),A1)</f>
        <v>      3.1 Efekat povećanja odloženih poreskih sredstava</v>
      </c>
      <c r="E134" s="440"/>
      <c r="F134" s="440"/>
      <c r="G134" s="440"/>
      <c r="H134" s="441"/>
      <c r="I134" s="63">
        <f>VLOOKUP($B134,T_Aop[],4,1)</f>
        <v>314</v>
      </c>
      <c r="J134" s="120"/>
      <c r="K134" s="321"/>
      <c r="L134" s="121"/>
      <c r="N134" s="52"/>
      <c r="P134" s="143"/>
    </row>
    <row r="135" spans="2:16" ht="13.50" customHeight="1">
      <c r="B135" s="25" t="n">
        <v>253</v>
      </c>
      <c r="C135" s="64" t="str">
        <f aca="1">IF(AND(Godina=2024,MID(Osnovni_podaci!D20,3,1)="p",Osnovni_podaci!L24=0,Osnovni_podaci!G24=0,MID(Osnovni_podaci!D20,3,1)="p",MID(Osnovni_podaci!D20,8,1)="k"),VLOOKUP($B135,T_Aop[],5,1),A1)</f>
        <v>725</v>
      </c>
      <c r="D135" s="436" t="str">
        <f aca="1">IF(AND(Godina=2024,MID(Osnovni_podaci!D20,3,1)="p",Osnovni_podaci!L24=0,Osnovni_podaci!G24=0,MID(Osnovni_podaci!D20,3,1)="p",MID(Osnovni_podaci!D20,8,1)="k"),VLOOKUP($B135,T_Aop[],6,1),A1)</f>
        <v>      3.2 Efekat smanjenja odloženih poreskih obaveza</v>
      </c>
      <c r="E135" s="437"/>
      <c r="F135" s="437"/>
      <c r="G135" s="437"/>
      <c r="H135" s="438"/>
      <c r="I135" s="65">
        <f>VLOOKUP($B135,T_Aop[],4,1)</f>
        <v>315</v>
      </c>
      <c r="J135" s="122"/>
      <c r="K135" s="122"/>
      <c r="L135" s="123"/>
      <c r="N135" s="52"/>
      <c r="P135" s="143"/>
    </row>
    <row r="136" spans="2:16" ht="24" customHeight="1">
      <c r="B136" s="25" t="n">
        <v>254</v>
      </c>
      <c r="C136" s="62">
        <f aca="1">IF(AND(Godina=2024,MID(Osnovni_podaci!D20,3,1)="p",Osnovni_podaci!L24=0,Osnovni_podaci!G24=0,MID(Osnovni_podaci!D20,3,1)="p",MID(Osnovni_podaci!D20,8,1)="k"),VLOOKUP($B136,T_Aop[],5,1),A1)</f>
        <v>0</v>
      </c>
      <c r="D136" s="446" t="str">
        <f aca="1">IF(AND(Godina=2024,MID(Osnovni_podaci!D20,3,1)="p",Osnovni_podaci!L24=0,Osnovni_podaci!G24=0,MID(Osnovni_podaci!D20,3,1)="p",MID(Osnovni_podaci!D20,8,1)="k"),VLOOKUP($B136,T_Aop[],6,1),A1)</f>
        <v>  NJ. NETO DOBIT I NETO GUBITAK PERIODA
 1. Neto dobit tekuće godine (307-309-310+313)&gt;0 i 307&gt;0 ili (313-308-309-310)&gt;0 i 308&gt;0</v>
      </c>
      <c r="E136" s="447"/>
      <c r="F136" s="447"/>
      <c r="G136" s="447"/>
      <c r="H136" s="448"/>
      <c r="I136" s="134">
        <f>VLOOKUP($B136,T_Aop[],4,1)</f>
        <v>316</v>
      </c>
      <c r="J136" s="120"/>
      <c r="K136" s="191">
        <f aca="1">IF(AND(Godina=2024,MID(Osnovni_podaci!D20,3,1)="p",Osnovni_podaci!L24=0,Osnovni_podaci!G24=0,MID(Osnovni_podaci!D20,3,1)="p",MID(Osnovni_podaci!D20,8,1)="k"),IF(SUBTOTAL(9,K22:K33,K34,K36,K38,K59:K63,K71:K80,K93:K105,K121,K123,K133:K135)-SUBTOTAL(9,K35,K37,K39:K56,K64:K68,K81:K90,K106:K118,K122,K124,K129,K130:K132)&lt;=0,0,ABS(SUBTOTAL(9,K22:K33,K34,K36,K38,K59:K63,K71:K80,K93:K105,K121,K123,K133:K135)-SUBTOTAL(9,K35,K37,K39:K56,K64:K68,K81:K90,K106:K118,K122,K124,K129,K130:K132))),A1)</f>
        <v>805</v>
      </c>
      <c r="L136" s="300">
        <f aca="1">IF(AND(Godina=2024,MID(Osnovni_podaci!D20,3,1)="p",Osnovni_podaci!L24=0,Osnovni_podaci!G24=0,MID(Osnovni_podaci!D20,3,1)="p",MID(Osnovni_podaci!D20,8,1)="k"),IF(SUBTOTAL(9,L22:L33,L34,L36,L38,L59:L63,L71:L80,L93:L105,L121,L123,L133:L135)-SUBTOTAL(9,L35,L37,L39:L56,L64:L68,L81:L90,L106:L118,L122,L124,L129,L130:L132)&lt;=0,0,ABS(SUBTOTAL(9,L22:L33,L34,L36,L38,L59:L63,L71:L80,L93:L105,L121,L123,L133:L135)-SUBTOTAL(9,L35,L37,L39:L56,L64:L68,L81:L90,L106:L118,L122,L124,L129,L130:L132))),A1)</f>
        <v>392</v>
      </c>
      <c r="N136" s="52"/>
      <c r="P136" s="143"/>
    </row>
    <row r="137" spans="2:16" ht="15" customHeight="1">
      <c r="B137" s="25" t="n">
        <v>255</v>
      </c>
      <c r="C137" s="64" t="str">
        <f aca="1">IF(AND(Godina=2024,MID(Osnovni_podaci!D20,3,1)="p",Osnovni_podaci!L24=0,Osnovni_podaci!G24=0,MID(Osnovni_podaci!D20,3,1)="p",MID(Osnovni_podaci!D20,8,1)="k"),VLOOKUP($B137,T_Aop[],5,1),A1)</f>
        <v> </v>
      </c>
      <c r="D137" s="443" t="str">
        <f aca="1">IF(AND(Godina=2024,MID(Osnovni_podaci!D20,3,1)="p",Osnovni_podaci!L24=0,Osnovni_podaci!G24=0,MID(Osnovni_podaci!D20,3,1)="p",MID(Osnovni_podaci!D20,8,1)="k"),VLOOKUP($B137,T_Aop[],6,1),A1)</f>
        <v>2. Neto gubitak tekuće godine (308+309+310-313)&gt;0 i 308&gt;0 ili (309+310-307-313)&gt;0 i 307&gt;0</v>
      </c>
      <c r="E137" s="444"/>
      <c r="F137" s="444"/>
      <c r="G137" s="444"/>
      <c r="H137" s="445"/>
      <c r="I137" s="133">
        <f>VLOOKUP($B137,T_Aop[],4,1)</f>
        <v>317</v>
      </c>
      <c r="J137" s="122"/>
      <c r="K137" s="40">
        <f aca="1">IF(AND(Godina=2024,MID(Osnovni_podaci!D20,3,1)="p",Osnovni_podaci!L24=0,Osnovni_podaci!G24=0,MID(Osnovni_podaci!D20,3,1)="p",MID(Osnovni_podaci!D20,8,1)="k"),IF(SUBTOTAL(9,K22:K33,K34,K36,K38,K59:K63,K71:K80,K93:K105,K121,K123,K133:K135)-SUBTOTAL(9,K35,K37,K39:K56,K64:K68,K81:K90,K106:K118,K122,K124,K129,K130:K132)&gt;=0,0,ABS(SUBTOTAL(9,K22:K33,K34,K36,K38,K59:K63,K71:K80,K93:K105,K121,K123,K133:K135)-SUBTOTAL(9,K35,K37,K39:K56,K64:K68,K81:K90,K106:K118,K122,K124,K129,K130:K132))),A1)</f>
        <v>0</v>
      </c>
      <c r="L137" s="41">
        <f aca="1">IF(AND(Godina=2024,MID(Osnovni_podaci!D20,3,1)="p",Osnovni_podaci!L24=0,Osnovni_podaci!G24=0,MID(Osnovni_podaci!D20,3,1)="p",MID(Osnovni_podaci!D20,8,1)="k"),IF(SUBTOTAL(9,L22:L33,L34,L36,L38,L59:L63,L71:L80,L93:L105,L121,L123,L133:L135)-SUBTOTAL(9,L35,L37,L39:L56,L64:L68,L81:L90,L106:L118,L122,L124,L129,L130:L132)&gt;=0,0,ABS(SUBTOTAL(9,L22:L33,L34,L36,L38,L59:L63,L71:L80,L93:L105,L121,L123,L133:L135)-SUBTOTAL(9,L35,L37,L39:L56,L64:L68,L81:L90,L106:L118,L122,L124,L129,L130:L132))),A1)</f>
        <v>0</v>
      </c>
      <c r="N137" s="52"/>
      <c r="P137" s="143"/>
    </row>
    <row r="138" spans="2:16" ht="20.25" customHeight="1">
      <c r="B138" s="25" t="n">
        <v>256</v>
      </c>
      <c r="C138" s="62" t="str">
        <f aca="1">IF(AND(Godina=2024,MID(Osnovni_podaci!D20,3,1)="p",Osnovni_podaci!L24=0,Osnovni_podaci!G24=0,MID(Osnovni_podaci!D20,3,1)="p",MID(Osnovni_podaci!D20,8,1)="k"),VLOOKUP($B138,T_Aop[],5,1),A1)</f>
        <v>726</v>
      </c>
      <c r="D138" s="439" t="str">
        <f aca="1">IF(AND(Godina=2024,MID(Osnovni_podaci!D20,3,1)="p",Osnovni_podaci!L24=0,Osnovni_podaci!G24=0,MID(Osnovni_podaci!D20,3,1)="p",MID(Osnovni_podaci!D20,8,1)="k"),VLOOKUP($B138,T_Aop[],6,1),A1)</f>
        <v>  O. Međudividende i drugi vidovi raspodjele dobitka u toku perioda</v>
      </c>
      <c r="E138" s="440"/>
      <c r="F138" s="440"/>
      <c r="G138" s="440"/>
      <c r="H138" s="441"/>
      <c r="I138" s="63">
        <f>VLOOKUP($B138,T_Aop[],4,1)</f>
        <v>318</v>
      </c>
      <c r="J138" s="120"/>
      <c r="K138" s="120"/>
      <c r="L138" s="121"/>
      <c r="N138" s="52"/>
      <c r="P138" s="143"/>
    </row>
    <row r="139" spans="2:16" ht="15" customHeight="1">
      <c r="B139" s="25" t="n">
        <v>257</v>
      </c>
      <c r="C139" s="64">
        <f aca="1">IF(AND(Godina=2024,MID(Osnovni_podaci!D20,3,1)="p",Osnovni_podaci!L24=0,Osnovni_podaci!G24=0,MID(Osnovni_podaci!D20,3,1)="p",MID(Osnovni_podaci!D20,8,1)="k"),VLOOKUP($B139,T_Aop[],5,1),A1)</f>
        <v>0</v>
      </c>
      <c r="D139" s="436" t="str">
        <f aca="1">IF(AND(Godina=2024,MID(Osnovni_podaci!D20,3,1)="p",Osnovni_podaci!L24=0,Osnovni_podaci!G24=0,MID(Osnovni_podaci!D20,3,1)="p",MID(Osnovni_podaci!D20,8,1)="k"),VLOOKUP($B139,T_Aop[],6,1),A1)</f>
        <v>Dio neto dobiti/gubitka koji pripada većinskim vlasnicima</v>
      </c>
      <c r="E139" s="437"/>
      <c r="F139" s="437"/>
      <c r="G139" s="437"/>
      <c r="H139" s="438"/>
      <c r="I139" s="65">
        <f>VLOOKUP($B139,T_Aop[],4,1)</f>
        <v>319</v>
      </c>
      <c r="J139" s="122"/>
      <c r="K139" s="122"/>
      <c r="L139" s="123"/>
      <c r="N139" s="52"/>
      <c r="P139" s="143"/>
    </row>
    <row r="140" spans="2:16" ht="15" customHeight="1">
      <c r="B140" s="25" t="n">
        <v>258</v>
      </c>
      <c r="C140" s="62">
        <f aca="1">IF(AND(Godina=2024,MID(Osnovni_podaci!D20,3,1)="p",Osnovni_podaci!L24=0,Osnovni_podaci!G24=0,MID(Osnovni_podaci!D20,3,1)="p",MID(Osnovni_podaci!D20,8,1)="k"),VLOOKUP($B140,T_Aop[],5,1),A1)</f>
        <v>0</v>
      </c>
      <c r="D140" s="439" t="str">
        <f aca="1">IF(AND(Godina=2024,MID(Osnovni_podaci!D20,3,1)="p",Osnovni_podaci!L24=0,Osnovni_podaci!G24=0,MID(Osnovni_podaci!D20,3,1)="p",MID(Osnovni_podaci!D20,8,1)="k"),VLOOKUP($B140,T_Aop[],6,1),A1)</f>
        <v>Dio neto dobiti/gubitka koji pripada manjinskim vlasnicima</v>
      </c>
      <c r="E140" s="440"/>
      <c r="F140" s="440"/>
      <c r="G140" s="440"/>
      <c r="H140" s="441"/>
      <c r="I140" s="63">
        <f>VLOOKUP($B140,T_Aop[],4,1)</f>
        <v>320</v>
      </c>
      <c r="J140" s="120"/>
      <c r="K140" s="120"/>
      <c r="L140" s="121"/>
      <c r="N140" s="52"/>
      <c r="P140" s="143"/>
    </row>
    <row r="141" spans="2:16" ht="15" customHeight="1">
      <c r="B141" s="25" t="n">
        <v>259</v>
      </c>
      <c r="C141" s="64">
        <f aca="1">IF(AND(Godina=2024,MID(Osnovni_podaci!D20,3,1)="p",Osnovni_podaci!L24=0,Osnovni_podaci!G24=0,MID(Osnovni_podaci!D20,3,1)="p",MID(Osnovni_podaci!D20,8,1)="k"),VLOOKUP($B141,T_Aop[],5,1),A1)</f>
        <v>0</v>
      </c>
      <c r="D141" s="436" t="str">
        <f aca="1">IF(AND(Godina=2024,MID(Osnovni_podaci!D20,3,1)="p",Osnovni_podaci!L24=0,Osnovni_podaci!G24=0,MID(Osnovni_podaci!D20,3,1)="p",MID(Osnovni_podaci!D20,8,1)="k"),VLOOKUP($B141,T_Aop[],6,1),A1)</f>
        <v>Obična zarada po akciji</v>
      </c>
      <c r="E141" s="437"/>
      <c r="F141" s="437"/>
      <c r="G141" s="437"/>
      <c r="H141" s="438"/>
      <c r="I141" s="65">
        <f>VLOOKUP($B141,T_Aop[],4,1)</f>
        <v>321</v>
      </c>
      <c r="J141" s="122"/>
      <c r="K141" s="358" t="n">
        <v>0.0001</v>
      </c>
      <c r="L141" s="359" t="n">
        <v>0.0001</v>
      </c>
      <c r="N141" s="52"/>
      <c r="P141" s="143"/>
    </row>
    <row r="142" spans="2:16" ht="15" customHeight="1">
      <c r="B142" s="25" t="n">
        <v>260</v>
      </c>
      <c r="C142" s="337">
        <f aca="1">IF(AND(Godina=2024,MID(Osnovni_podaci!D20,3,1)="p",Osnovni_podaci!L24=0,Osnovni_podaci!G24=0,MID(Osnovni_podaci!D20,3,1)="p",MID(Osnovni_podaci!D20,8,1)="k"),VLOOKUP($B142,T_Aop[],5,1),A1)</f>
        <v>0</v>
      </c>
      <c r="D142" s="458" t="str">
        <f aca="1">IF(AND(Godina=2024,MID(Osnovni_podaci!D20,3,1)="p",Osnovni_podaci!L24=0,Osnovni_podaci!G24=0,MID(Osnovni_podaci!D20,3,1)="p",MID(Osnovni_podaci!D20,8,1)="k"),VLOOKUP($B142,T_Aop[],6,1),A1)</f>
        <v>Razrijeđena zarada po akciji</v>
      </c>
      <c r="E142" s="459"/>
      <c r="F142" s="459"/>
      <c r="G142" s="459"/>
      <c r="H142" s="460"/>
      <c r="I142" s="63">
        <f>VLOOKUP($B142,T_Aop[],4,1)</f>
        <v>322</v>
      </c>
      <c r="J142" s="120"/>
      <c r="K142" s="387"/>
      <c r="L142" s="388"/>
      <c r="N142" s="52"/>
      <c r="P142" s="143"/>
    </row>
    <row r="143" spans="2:16" ht="15" customHeight="1">
      <c r="B143" s="25" t="n">
        <v>261</v>
      </c>
      <c r="C143" s="339">
        <f aca="1">IF(AND(Godina=2024,MID(Osnovni_podaci!D20,3,1)="p",Osnovni_podaci!L24=0,Osnovni_podaci!G24=0,MID(Osnovni_podaci!D20,3,1)="p",MID(Osnovni_podaci!D20,8,1)="k"),VLOOKUP($B143,T_Aop[],5,1),A1)</f>
        <v>0</v>
      </c>
      <c r="D143" s="455" t="str">
        <f aca="1">IF(AND(Godina=2024,MID(Osnovni_podaci!D20,3,1)="p",Osnovni_podaci!L24=0,Osnovni_podaci!G24=0,MID(Osnovni_podaci!D20,3,1)="p",MID(Osnovni_podaci!D20,8,1)="k"),VLOOKUP($B143,T_Aop[],6,1),A1)</f>
        <v>Prosječan broj zaposlenih po osnovu časova rada</v>
      </c>
      <c r="E143" s="456"/>
      <c r="F143" s="456"/>
      <c r="G143" s="456"/>
      <c r="H143" s="457"/>
      <c r="I143" s="65">
        <f>VLOOKUP($B143,T_Aop[],4,1)</f>
        <v>323</v>
      </c>
      <c r="J143" s="122"/>
      <c r="K143" s="354" t="n">
        <v>23</v>
      </c>
      <c r="L143" s="355" t="n">
        <v>25</v>
      </c>
      <c r="N143" s="52"/>
      <c r="P143" s="143"/>
    </row>
    <row r="144" spans="2:16" ht="15" customHeight="1">
      <c r="B144" s="25" t="n">
        <v>262</v>
      </c>
      <c r="C144" s="341">
        <f aca="1">IF(AND(Godina=2024,MID(Osnovni_podaci!D20,3,1)="p",Osnovni_podaci!L24=0,Osnovni_podaci!G24=0,MID(Osnovni_podaci!D20,3,1)="p",MID(Osnovni_podaci!D20,8,1)="k"),VLOOKUP($B144,T_Aop[],5,1),A1)</f>
        <v>0</v>
      </c>
      <c r="D144" s="511" t="str">
        <f aca="1">IF(AND(Godina=2024,MID(Osnovni_podaci!D20,3,1)="p",Osnovni_podaci!L24=0,Osnovni_podaci!G24=0,MID(Osnovni_podaci!D20,3,1)="p",MID(Osnovni_podaci!D20,8,1)="k"),VLOOKUP($B144,T_Aop[],6,1),A1)</f>
        <v>Prosječan broj zaposlenih po osnovu stanja na kraju mjeseca</v>
      </c>
      <c r="E144" s="512"/>
      <c r="F144" s="512"/>
      <c r="G144" s="512"/>
      <c r="H144" s="513"/>
      <c r="I144" s="146">
        <f>VLOOKUP($B144,T_Aop[],4,1)</f>
        <v>324</v>
      </c>
      <c r="J144" s="366"/>
      <c r="K144" s="356" t="n">
        <v>23</v>
      </c>
      <c r="L144" s="357" t="n">
        <v>25</v>
      </c>
      <c r="N144" s="52"/>
      <c r="P144" s="143"/>
    </row>
    <row r="145" spans="2:9" ht="15" customHeight="1">
      <c r="B145" s="25"/>
      <c r="C145" s="45"/>
      <c r="D145" s="48"/>
      <c r="E145" s="48"/>
      <c r="F145" s="48"/>
      <c r="G145" s="48"/>
      <c r="H145" s="48"/>
      <c r="I145" s="52"/>
    </row>
    <row r="146" spans="2:9" ht="15" customHeight="1">
      <c r="B146" s="25"/>
      <c r="C146" s="140" t="str">
        <f aca="1">Podnozje_U</f>
        <v>U:</v>
      </c>
      <c r="D146" s="317" t="str">
        <f aca="1">Podatak_U</f>
        <v>Pelagićevu</v>
      </c>
      <c r="E146"/>
      <c r="F146" s="60" t="str">
        <f aca="1">Podnozje_Lice_sa_licencom</f>
        <v>Lice sa licencom:</v>
      </c>
      <c r="G146" s="22" t="str">
        <f aca="1">Podatak_Lice_sa_licencom</f>
        <v>Jokica Gavrić</v>
      </c>
      <c r="I146" s="45" t="str">
        <f aca="1">Podnozje_MP</f>
        <v>(M.P.)</v>
      </c>
    </row>
    <row r="147" spans="2:12" ht="15" customHeight="1">
      <c r="B147" s="25"/>
      <c r="C147" s="36"/>
      <c r="D147" s="25"/>
      <c r="E147" t="s">
        <v>50</v>
      </c>
      <c r="F147"/>
      <c r="G147"/>
      <c r="I147"/>
      <c r="J147" s="492" t="str">
        <f aca="1">Podnozje_Direktor</f>
        <v>Lice ovlašćeno za zastupanje:</v>
      </c>
      <c r="K147" s="492"/>
      <c r="L147" s="492"/>
    </row>
    <row r="148" spans="2:12" ht="15" customHeight="1">
      <c r="B148" s="25"/>
      <c r="C148" s="140" t="str">
        <f aca="1">Podnozje_Dana</f>
        <v>Dana:</v>
      </c>
      <c r="D148" s="317" t="str">
        <f aca="1">Podatak_Dana</f>
        <v>30.03.2024.</v>
      </c>
      <c r="E148"/>
      <c r="F148" s="48" t="str">
        <f aca="1">Podnozje_Broj_licence</f>
        <v>Broj licence:</v>
      </c>
      <c r="G148" t="str">
        <f aca="1">Podatak_Broj_Licence</f>
        <v>srt-0336/24</v>
      </c>
      <c r="K148" s="23" t="str">
        <f aca="1">Podatak_Direktor</f>
        <v>Obavezan unos podataka u formi!</v>
      </c>
      <c r="L148" s="23"/>
    </row>
    <row r="149" spans="2:8" hidden="1" ht="12.75" customHeight="1">
      <c r="B149" s="25"/>
      <c r="E149" s="48"/>
      <c r="G149" s="47"/>
      <c r="H149"/>
      <extLst>
        <ext uri="smNativeData">
          <pm:rowDef xmlns:pm="smNativeData" id="1714042646" r="149" hidden="1" collapsedDB="0" collapsedOL="0"/>
        </ext>
      </extLst>
    </row>
    <row r="150" spans="2:11" ht="12.75" customHeight="1">
      <c r="B150" s="25"/>
      <c r="C150" s="45"/>
      <c r="D150" s="48"/>
      <c r="E150" s="48"/>
      <c r="F150" s="48"/>
      <c r="G150" s="48"/>
      <c r="J150" s="45"/>
      <c r="K150" s="45"/>
    </row>
    <row r="151" spans="8:9" hidden="1" ht="12.75" customHeight="1">
      <c r="H151" s="48"/>
      <c r="I151" s="53"/>
      <extLst>
        <ext uri="smNativeData">
          <pm:rowDef xmlns:pm="smNativeData" id="1714042646" r="151" hidden="1" collapsedDB="0" collapsedOL="0"/>
        </ext>
      </extLst>
    </row>
    <row r="152" spans="7:12" ht="12.75" customHeight="1">
      <c r="G152" s="493"/>
      <c r="H152" s="493"/>
      <c r="I152" s="52"/>
      <c r="K152" s="49"/>
      <c r="L152" s="49"/>
    </row>
    <row r="153" spans="1:1" ht="27.75" customHeight="1"/>
    <row r="161" spans="1:1"/>
  </sheetData>
  <sheetProtection algorithmName="SHA-512" hashValue="VSDgJb8fSqcilDEQ9Dxqpgg/jR5M4wKW6Sy0mXrEVf6ToG9llF7lVNCWSaq8kIAP9ighC/LEgWsPfY5bQgLmDw==" saltValue="5GGOYqHlLGPYElZElsq29A==" spinCount="100000" sheet="1" autoFilter="0"/>
  <mergeCells count="146">
    <mergeCell ref="C5:E6"/>
    <mergeCell ref="C7:E7"/>
    <mergeCell ref="D8:E8"/>
    <mergeCell ref="C9:E9"/>
    <mergeCell ref="C10:E10"/>
    <mergeCell ref="K10:L10"/>
    <mergeCell ref="C11:E11"/>
    <mergeCell ref="C12:E12"/>
    <mergeCell ref="C13:E13"/>
    <mergeCell ref="C14:L14"/>
    <mergeCell ref="C15:L15"/>
    <mergeCell ref="C16:L16"/>
    <mergeCell ref="K18:L18"/>
    <mergeCell ref="C18:C19"/>
    <mergeCell ref="D18:H19"/>
    <mergeCell ref="I18:I19"/>
    <mergeCell ref="J18:J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D88:H88"/>
    <mergeCell ref="D89:H89"/>
    <mergeCell ref="D90:H90"/>
    <mergeCell ref="D91:H91"/>
    <mergeCell ref="D92:H92"/>
    <mergeCell ref="D93:H93"/>
    <mergeCell ref="D94:H94"/>
    <mergeCell ref="D95:H95"/>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110:H110"/>
    <mergeCell ref="D111:H111"/>
    <mergeCell ref="D112:H112"/>
    <mergeCell ref="D113:H113"/>
    <mergeCell ref="D114:H114"/>
    <mergeCell ref="D115:H115"/>
    <mergeCell ref="D116:H116"/>
    <mergeCell ref="D117:H117"/>
    <mergeCell ref="D118:H118"/>
    <mergeCell ref="D119:H119"/>
    <mergeCell ref="D120:H120"/>
    <mergeCell ref="D121:H121"/>
    <mergeCell ref="D122:H122"/>
    <mergeCell ref="D123:H123"/>
    <mergeCell ref="D124:H124"/>
    <mergeCell ref="D125:H125"/>
    <mergeCell ref="D126:H126"/>
    <mergeCell ref="D127:H127"/>
    <mergeCell ref="D128:H128"/>
    <mergeCell ref="D129:H129"/>
    <mergeCell ref="D130:H130"/>
    <mergeCell ref="D131:H131"/>
    <mergeCell ref="D132:H132"/>
    <mergeCell ref="D133:H133"/>
    <mergeCell ref="D134:H134"/>
    <mergeCell ref="D135:H135"/>
    <mergeCell ref="D136:H136"/>
    <mergeCell ref="D137:H137"/>
    <mergeCell ref="D138:H138"/>
    <mergeCell ref="D139:H139"/>
    <mergeCell ref="D140:H140"/>
    <mergeCell ref="D141:H141"/>
    <mergeCell ref="D142:H142"/>
    <mergeCell ref="D143:H143"/>
    <mergeCell ref="D144:H144"/>
    <mergeCell ref="F147:G147"/>
    <mergeCell ref="J147:L147"/>
    <mergeCell ref="K148:L148"/>
    <mergeCell ref="G152:H152"/>
  </mergeCells>
  <dataValidations count="6">
    <dataValidation sqref="K21:L22 K26:L26 K30:L30 K39:L39 K43:L43 K47:L48 K57:L59 K64:L64 K69:L71 K81:L81 K91:L94 K101:L101 K106:L107 K114:L114 K119:L120 K125:L128 K130:L130 K133:L133 K136:L137" type="whole" operator="greaterThanOrEqual" errorStyle="stop" allowBlank="1" showInputMessage="1" showErrorMessage="1" prompt="U ovo polje se ne unosi iznos._x000a_Polje se automatski računa u skladu sa formulom." errorTitle="Greška" error="Unose se vrijednosti u konvertibilnim markama, bez decimalnih mjesta. Nije dozvoljen unos negativnih brojeva." view="0">
      <formula1>0</formula1>
      <formula2/>
    </dataValidation>
    <dataValidation sqref="J21:J144" type="whole" operator="greaterThanOrEqual" errorStyle="stop" allowBlank="1" showInputMessage="1" showErrorMessage="1" error="Unesite broj napomene!" view="0">
      <formula1>0</formula1>
      <formula2/>
    </dataValidation>
    <dataValidation sqref="K23:L25 K27:L29 K31:L38 K40:L42 K44:L46 K49:L49 K52:L52 K54:L56 K60:L63 K65:L66 K68:L68 K72:L80 K82:L90 K95:L100 K102:L105 K108:L113 K115:L118 K121:L124 K129:L129 K131:L132 K135:L135 K138:L140"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134:L134 K141:L141" type="decimal" operator="greaterThanOrEqual" errorStyle="stop" allowBlank="1" showInputMessage="1" showErrorMessage="1" errorTitle="Greška" error="Unose se vrijednosti u konvertibilnim markama. Nije dozvoljen unos negativnih brojeva." view="0">
      <formula1>0</formula1>
      <formula2/>
    </dataValidation>
    <dataValidation sqref="K142:L142" type="decimal"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143:L144" type="decimal" operator="greaterThanOrEqual" errorStyle="stop" allowBlank="1" showInputMessage="1" showErrorMessage="1" prompt="Potrebno je unijeti izračunati broj zaposlenih._x000a_Broj ne treba množiti sa 100!" errorTitle="Greška" error="Nije dozvoljen unos negativnih brojeva." view="0">
      <formula1>0</formula1>
      <formula2/>
    </dataValidation>
  </dataValidations>
  <printOptions>
    <extLst>
      <ext uri="smNativeData">
        <pm:pageFlags xmlns:pm="smNativeData" id="1714042646" printRowHead="0" printColHead="0" printHeadLine="0" printFootLine="1" autoHeightHeader="0" autoHeightFooter="0" fitToPageBoth="0"/>
      </ext>
    </extLst>
  </printOptions>
  <pageMargins left="0.250000" right="0.250000" top="0.750000" bottom="0.750000" header="0.300000" footer="0.300000"/>
  <pageSetup paperSize="9" scale="70" fitToWidth="0" fitToHeight="1"/>
  <headerFooter>
    <oddFooter>&amp;R&amp;"Tahoma"Strana &amp;P od &amp;N</odd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rowBreaks count="1" manualBreakCount="1">
    <brk id="71" man="1"/>
  </rowBreaks>
  <drawing r:id="rId1"/>
  <legacyDrawing r:id="rId2"/>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B2B2B2"/>
  </sheetPr>
  <dimension ref="A1:P61"/>
  <sheetViews>
    <sheetView showGridLines="0" showRowColHeaders="0" view="normal" workbookViewId="0">
      <pane xSplit="12" ySplit="4" topLeftCell="M31" activePane="bottomRight" state="frozen"/>
      <selection pane="bottomRight" activeCell="K39" sqref="K39"/>
    </sheetView>
  </sheetViews>
  <sheetFormatPr defaultRowHeight="14.20" zeroHeight="1"/>
  <cols>
    <col min="1" max="1" width="5.564356" customWidth="1" style="22"/>
    <col min="2" max="2" width="0.287129" hidden="1" customWidth="1" style="22">
      <extLst>
        <ext uri="smNativeData">
          <pm:columnDef xmlns:pm="smNativeData" id="1714042646" min="2" max="2" hidden="1" collapsedDB="0" collapsedOL="0"/>
        </ext>
      </extLst>
    </col>
    <col min="3" max="3" width="12.425743" customWidth="1" style="22"/>
    <col min="4" max="8" width="15.851485" customWidth="1" style="22"/>
    <col min="9" max="9" width="7.138614" customWidth="1" style="22"/>
    <col min="10" max="10" width="14.287129" customWidth="1" style="22"/>
    <col min="11" max="12" width="15.564356" customWidth="1" style="22"/>
    <col min="13" max="13" width="0.425743" customWidth="1" style="22"/>
    <col min="14" max="14" width="5.712871" hidden="1" customWidth="1" style="22">
      <extLst>
        <ext uri="smNativeData">
          <pm:columnDef xmlns:pm="smNativeData" id="1714042646" min="14" max="14" hidden="1" collapsedDB="0" collapsedOL="0"/>
        </ext>
      </extLst>
    </col>
    <col min="15" max="15" width="11.425743" hidden="1" customWidth="1" style="22">
      <extLst>
        <ext uri="smNativeData">
          <pm:columnDef xmlns:pm="smNativeData" id="1714042646" min="15" max="15" hidden="1" collapsedDB="0" collapsedOL="0"/>
        </ext>
      </extLst>
    </col>
    <col min="16" max="16383" width="8.742574" hidden="1" style="22">
      <extLst>
        <ext uri="smNativeData">
          <pm:columnDef xmlns:pm="smNativeData" id="1714042646" min="16" max="16383" hidden="1" collapsedDB="0" collapsedOL="0"/>
        </ext>
      </extLst>
    </col>
    <col min="16384" max="16384" width="9.000000" hidden="1" customWidth="1" style="22">
      <extLst>
        <ext uri="smNativeData">
          <pm:columnDef xmlns:pm="smNativeData" id="1714042646" min="16384" max="16384" hidden="1" collapsedDB="0" collapsedOL="0"/>
        </ext>
      </extLst>
    </col>
  </cols>
  <sheetData>
    <row r="1" spans="1:1" ht="12.75" customHeight="1"/>
    <row r="2" spans="1:1" ht="12.75" customHeight="1"/>
    <row r="3" spans="1:1" ht="12.75" customHeight="1"/>
    <row r="4" spans="1:1" ht="12.75" customHeight="1"/>
    <row r="5" spans="2:12" ht="12.75" customHeight="1">
      <c r="B5" s="25"/>
      <c r="C5" s="464" t="str">
        <f aca="1">Zaglavlje_Naziv_preduzeca</f>
        <v>Naziv privrednog društva, zadruge, drugog pravnog lica ili preduzetnika: </v>
      </c>
      <c r="D5" s="464"/>
      <c r="E5" s="464"/>
      <c r="L5" s="298" t="str">
        <f aca="1">Podatak_MB</f>
        <v>1062280</v>
      </c>
    </row>
    <row r="6" spans="2:12" ht="12.75" customHeight="1">
      <c r="B6" s="25"/>
      <c r="C6" s="464"/>
      <c r="D6" s="464"/>
      <c r="E6" s="464"/>
      <c r="L6" s="54" t="str">
        <f aca="1">Zaglavlje_MB</f>
        <v>Matični broj</v>
      </c>
    </row>
    <row r="7" spans="2:12" ht="12.75" customHeight="1">
      <c r="B7" s="25"/>
      <c r="C7" s="479" t="str">
        <f aca="1">Podatak_Naziv_preduzeca</f>
        <v>Napredak a.d. Pelagićevo</v>
      </c>
      <c r="D7" s="479"/>
      <c r="E7" s="479"/>
      <c r="F7" s="479"/>
      <c r="L7" s="298" t="str">
        <f aca="1">Podatak_Sifra_djelatnosti</f>
        <v>01.11</v>
      </c>
    </row>
    <row r="8" spans="2:12" ht="12.75" customHeight="1">
      <c r="B8" s="25"/>
      <c r="C8" s="24" t="str">
        <f aca="1">Zaglavlje_Sjediste</f>
        <v>Sjedište:</v>
      </c>
      <c r="D8" s="526" t="str">
        <f aca="1">Podatak_Sjediste</f>
        <v>Pelagićevo</v>
      </c>
      <c r="E8" s="526"/>
      <c r="F8" s="526"/>
      <c r="L8" s="54" t="str">
        <f aca="1">Zaglavlje_Sifra_djelatnosti</f>
        <v>Šifra djelatnosti</v>
      </c>
    </row>
    <row r="9" spans="2:12" ht="12.75" customHeight="1">
      <c r="B9" s="25"/>
      <c r="C9" s="407" t="str">
        <f aca="1">Zaglavlje_Ziro_racun</f>
        <v>Račun kod ovlašćene organizacije za platni promet:</v>
      </c>
      <c r="D9" s="407"/>
      <c r="E9" s="407"/>
      <c r="F9" s="181"/>
      <c r="L9" s="298" t="str">
        <f aca="1">Podatak_JIB</f>
        <v>4400471400001</v>
      </c>
    </row>
    <row r="10" spans="2:12" ht="12.75" customHeight="1">
      <c r="B10" s="25"/>
      <c r="C10" s="482" t="str">
        <f aca="1">Podatak_Ziro_racun_1</f>
        <v>554-005-00000031-83</v>
      </c>
      <c r="D10" s="482"/>
      <c r="E10" s="482"/>
      <c r="F10" s="482"/>
      <c r="K10" s="54" t="str">
        <f aca="1">Zaglavlje_JIB</f>
        <v>JIB</v>
      </c>
      <c r="L10" s="54"/>
    </row>
    <row r="11" spans="2:6" ht="12.75" customHeight="1">
      <c r="B11" s="25"/>
      <c r="C11" s="482" t="str">
        <f aca="1">Podatak_Ziro_racun_2</f>
        <v>562-011-00000477-77</v>
      </c>
      <c r="D11" s="482"/>
      <c r="E11" s="482"/>
      <c r="F11" s="482"/>
    </row>
    <row r="12" spans="2:6" ht="12.75" customHeight="1">
      <c r="B12" s="25"/>
      <c r="C12" s="508" t="str">
        <f aca="1">Podatak_Ziro_racun_3</f>
        <v/>
      </c>
      <c r="D12" s="508"/>
      <c r="E12" s="508"/>
      <c r="F12" s="508"/>
    </row>
    <row r="13" spans="2:11" ht="12.75" customHeight="1">
      <c r="B13" s="25"/>
      <c r="C13" s="508" t="str">
        <f aca="1">Podatak_Ziro_racun_4</f>
        <v/>
      </c>
      <c r="D13" s="508"/>
      <c r="E13" s="508"/>
      <c r="F13" s="508"/>
      <c r="J13"/>
      <c r="K13"/>
    </row>
    <row r="14" spans="2:12" ht="15.75" customHeight="1">
      <c r="B14" s="25"/>
      <c r="C14" s="442" t="str">
        <f aca="1">IF(Id_Konsolidovani,Nazivi_bilansa_Konsolidovani_naziv&amp;LOWER(Nazivi_bilansa_BUb),Nazivi_bilansa_BUb)</f>
        <v>Izvještaj</v>
      </c>
      <c r="D14" s="442"/>
      <c r="E14" s="442"/>
      <c r="F14" s="442"/>
      <c r="G14" s="442"/>
      <c r="H14" s="442"/>
      <c r="I14" s="442"/>
      <c r="J14" s="442"/>
      <c r="K14" s="442"/>
      <c r="L14" s="442"/>
    </row>
    <row r="15" spans="2:12">
      <c r="B15" s="25"/>
      <c r="C15" s="518" t="str">
        <f aca="1">Nazivi_bilansa_BUb1</f>
        <v>o ostalom rezultatu u periodu</v>
      </c>
      <c r="D15" s="518"/>
      <c r="E15" s="518"/>
      <c r="F15" s="518"/>
      <c r="G15" s="518"/>
      <c r="H15" s="518"/>
      <c r="I15" s="518"/>
      <c r="J15" s="518"/>
      <c r="K15" s="518"/>
      <c r="L15" s="518"/>
    </row>
    <row r="16" spans="2:12" ht="12.75" customHeight="1">
      <c r="B16" s="25"/>
      <c r="C16" s="52" t="str">
        <f aca="1">Datumi_Datum_BU</f>
        <v>za period od 01.01. do 31.03.2024. godine</v>
      </c>
      <c r="D16" s="52"/>
      <c r="E16" s="52"/>
      <c r="F16" s="52"/>
      <c r="G16" s="52"/>
      <c r="H16" s="52"/>
      <c r="I16" s="52"/>
      <c r="J16" s="52"/>
      <c r="K16" s="52"/>
      <c r="L16" s="52"/>
    </row>
    <row r="17" spans="2:12" ht="12.75" customHeight="1">
      <c r="B17" s="25"/>
      <c r="C17" s="49"/>
      <c r="D17" s="49"/>
      <c r="E17" s="49"/>
      <c r="F17" s="49"/>
      <c r="G17" s="49"/>
      <c r="H17" s="49"/>
      <c r="I17" s="49"/>
      <c r="J17" s="49"/>
      <c r="L17" s="29" t="str">
        <f aca="1">Tabele_zaglavlje_Valuta</f>
        <v>- u konvertibilnim markama -</v>
      </c>
    </row>
    <row r="18" spans="2:12" ht="12.75" customHeight="1">
      <c r="B18" s="25"/>
      <c r="C18" s="521" t="str">
        <f aca="1">Tabele_zaglavlje_Grupa_racuna</f>
        <v>Grupa računa, račun</v>
      </c>
      <c r="D18" s="523" t="str">
        <f aca="1">Tabele_zaglavlje_Pozicija</f>
        <v>POZICIJA</v>
      </c>
      <c r="E18" s="523"/>
      <c r="F18" s="523"/>
      <c r="G18" s="523"/>
      <c r="H18" s="523"/>
      <c r="I18" s="519" t="str">
        <f aca="1">Tabele_zaglavlje_Oznaka_aop</f>
        <v>Oznaka za AOP</v>
      </c>
      <c r="J18" s="519" t="str">
        <f aca="1">Tabele_zaglavlje_Napomena_aop</f>
        <v>Napomena</v>
      </c>
      <c r="K18" s="514" t="str">
        <f aca="1">Tabele_zaglavlje_Iznos</f>
        <v>Iznos</v>
      </c>
      <c r="L18" s="520"/>
    </row>
    <row r="19" spans="2:16" ht="25.50" customHeight="1">
      <c r="B19" s="25"/>
      <c r="C19" s="522"/>
      <c r="D19" s="524"/>
      <c r="E19" s="524"/>
      <c r="F19" s="524"/>
      <c r="G19" s="524"/>
      <c r="H19" s="524"/>
      <c r="I19" s="50"/>
      <c r="J19" s="50"/>
      <c r="K19" s="50" t="str">
        <f aca="1">Tabele_zaglavlje_Tekuca_godina</f>
        <v>Tekuća godina</v>
      </c>
      <c r="L19" s="51" t="str">
        <f aca="1">Tabele_zaglavlje_Prethodna_godina</f>
        <v>Prethodna godina</v>
      </c>
      <c r="P19" s="107" t="s">
        <v>65</v>
      </c>
    </row>
    <row r="20" spans="2:12" ht="12.75" customHeight="1">
      <c r="B20" s="23" t="s">
        <v>66</v>
      </c>
      <c r="C20" s="66" t="n">
        <v>1</v>
      </c>
      <c r="D20" s="67" t="n">
        <v>2</v>
      </c>
      <c r="E20" s="67"/>
      <c r="F20" s="67"/>
      <c r="G20" s="67"/>
      <c r="H20" s="67"/>
      <c r="I20" s="67" t="n">
        <v>3</v>
      </c>
      <c r="J20" s="67" t="n">
        <v>4</v>
      </c>
      <c r="K20" s="67" t="n">
        <v>5</v>
      </c>
      <c r="L20" s="308" t="n">
        <v>6</v>
      </c>
    </row>
    <row r="21" spans="2:16" ht="12.75" customHeight="1">
      <c r="B21" s="25" t="n">
        <v>263</v>
      </c>
      <c r="C21" s="69">
        <f>VLOOKUP($B21,T_Aop[],5,1)</f>
        <v>0</v>
      </c>
      <c r="D21" s="525" t="str">
        <f>VLOOKUP($B21,T_Aop[],6,1)</f>
        <v>A  NETO DOBIT ILI NETO GUBITAK PERIODA</v>
      </c>
      <c r="E21" s="525"/>
      <c r="F21" s="525"/>
      <c r="G21" s="525"/>
      <c r="H21" s="525"/>
      <c r="I21" s="371">
        <f>VLOOKUP($B21,T_Aop[],4,1)</f>
        <v>400</v>
      </c>
      <c r="J21" s="376"/>
      <c r="K21" s="381">
        <f>'02a'!K136-'02a'!K137</f>
        <v>805</v>
      </c>
      <c r="L21" s="382">
        <f>'02a'!L136-'02a'!L137</f>
        <v>392</v>
      </c>
      <c r="P21" s="35"/>
    </row>
    <row r="22" spans="2:16" ht="27" customHeight="1">
      <c r="B22" s="25" t="n">
        <v>264</v>
      </c>
      <c r="C22" s="64">
        <f>VLOOKUP($B22,T_Aop[],5,1)</f>
        <v>0</v>
      </c>
      <c r="D22" s="516" t="str">
        <f>VLOOKUP($B22,T_Aop[],6,1)</f>
        <v>    1. Stavke koje mogu biti reklasifikovane u bilans uspjeha (±402+403±404±405±406±407)</v>
      </c>
      <c r="E22" s="516"/>
      <c r="F22" s="516"/>
      <c r="G22" s="516"/>
      <c r="H22" s="516"/>
      <c r="I22" s="65">
        <f>VLOOKUP($B22,T_Aop[],4,1)</f>
        <v>401</v>
      </c>
      <c r="J22" s="377"/>
      <c r="K22" s="369">
        <f>SUBTOTAL(9,K23:K26,K28)-SUBTOTAL(9,K27)</f>
        <v>0</v>
      </c>
      <c r="L22" s="367">
        <f>SUBTOTAL(9,L23:L26,L28)-SUBTOTAL(9,L27)</f>
        <v>0</v>
      </c>
      <c r="P22" s="35"/>
    </row>
    <row r="23" spans="2:16" ht="29.25" customHeight="1">
      <c r="B23" s="25" t="n">
        <v>265</v>
      </c>
      <c r="C23" s="62" t="str">
        <f>VLOOKUP($B23,T_Aop[],5,1)</f>
        <v>Promjena na 332 i 333</v>
      </c>
      <c r="D23" s="517" t="str">
        <f>VLOOKUP($B23,T_Aop[],6,1)</f>
        <v>      1.1 Povećanje/(smanjenje) fer vrijednosti dužničkih instrumenata po fer vrijednosti kroz ostali ukupan rezultat</v>
      </c>
      <c r="E23" s="517"/>
      <c r="F23" s="517"/>
      <c r="G23" s="517"/>
      <c r="H23" s="517"/>
      <c r="I23" s="63">
        <f>VLOOKUP($B23,T_Aop[],4,1)</f>
        <v>402</v>
      </c>
      <c r="J23" s="368"/>
      <c r="K23" s="379"/>
      <c r="L23" s="310"/>
      <c r="P23" s="106" t="s">
        <v>69</v>
      </c>
    </row>
    <row r="24" spans="2:16">
      <c r="B24" s="25" t="n">
        <v>266</v>
      </c>
      <c r="C24" s="64" t="str">
        <f>VLOOKUP($B24,T_Aop[],5,1)</f>
        <v>Promjena na 331</v>
      </c>
      <c r="D24" s="516" t="str">
        <f>VLOOKUP($B24,T_Aop[],6,1)</f>
        <v>      1.2 Efekti proistekli iz transakcija zaštite ("hedging")</v>
      </c>
      <c r="E24" s="516"/>
      <c r="F24" s="516"/>
      <c r="G24" s="516"/>
      <c r="H24" s="516"/>
      <c r="I24" s="65">
        <f>VLOOKUP($B24,T_Aop[],4,1)</f>
        <v>403</v>
      </c>
      <c r="J24" s="377"/>
      <c r="K24" s="128"/>
      <c r="L24" s="129"/>
      <c r="P24"/>
    </row>
    <row r="25" spans="2:16" ht="23.25" customHeight="1">
      <c r="B25" s="25" t="n">
        <v>267</v>
      </c>
      <c r="C25" s="62">
        <f>VLOOKUP($B25,T_Aop[],5,1)</f>
        <v>0</v>
      </c>
      <c r="D25" s="517" t="str">
        <f>VLOOKUP($B25,T_Aop[],6,1)</f>
        <v>      1.3 Udio u ostalom ukupnom rezultatu pridruženog društva i zajedničkog poduhvata primjenom metode udjela</v>
      </c>
      <c r="E25" s="517"/>
      <c r="F25" s="517"/>
      <c r="G25" s="517"/>
      <c r="H25" s="517"/>
      <c r="I25" s="63">
        <f>VLOOKUP($B25,T_Aop[],4,1)</f>
        <v>404</v>
      </c>
      <c r="J25" s="368"/>
      <c r="K25" s="126"/>
      <c r="L25" s="127"/>
      <c r="P25"/>
    </row>
    <row r="26" spans="2:16" ht="25.50" customHeight="1">
      <c r="B26" s="25" t="n">
        <v>268</v>
      </c>
      <c r="C26" s="64">
        <f>VLOOKUP($B26,T_Aop[],5,1)</f>
        <v>0</v>
      </c>
      <c r="D26" s="516" t="str">
        <f>VLOOKUP($B26,T_Aop[],6,1)</f>
        <v>      1.4 Dobici ili gubici po osnovu konverzije finansijskih izvještaja inostranog poslovanja</v>
      </c>
      <c r="E26" s="516"/>
      <c r="F26" s="516"/>
      <c r="G26" s="516"/>
      <c r="H26" s="516"/>
      <c r="I26" s="65">
        <f>VLOOKUP($B26,T_Aop[],4,1)</f>
        <v>405</v>
      </c>
      <c r="J26" s="377"/>
      <c r="K26" s="311"/>
      <c r="L26" s="312"/>
      <c r="P26"/>
    </row>
    <row r="27" spans="2:16" ht="24" customHeight="1">
      <c r="B27" s="25" t="n">
        <v>269</v>
      </c>
      <c r="C27" s="62" t="str">
        <f>VLOOKUP($B27,T_Aop[],5,1)</f>
        <v>Promjena na 339, dio</v>
      </c>
      <c r="D27" s="517" t="str">
        <f>VLOOKUP($B27,T_Aop[],6,1)</f>
        <v>      1.5 Ostale stavke koje mogu biti reklasifikovane u bilans uspjeha</v>
      </c>
      <c r="E27" s="517"/>
      <c r="F27" s="517"/>
      <c r="G27" s="517"/>
      <c r="H27" s="517"/>
      <c r="I27" s="63">
        <f>VLOOKUP($B27,T_Aop[],4,1)</f>
        <v>406</v>
      </c>
      <c r="J27" s="368"/>
      <c r="K27" s="126"/>
      <c r="L27" s="127"/>
      <c r="P27"/>
    </row>
    <row r="28" spans="2:16" ht="12.75" customHeight="1">
      <c r="B28" s="25" t="n">
        <v>270</v>
      </c>
      <c r="C28" s="64">
        <f>VLOOKUP($B28,T_Aop[],5,1)</f>
        <v>0</v>
      </c>
      <c r="D28" s="516" t="str">
        <f>VLOOKUP($B28,T_Aop[],6,1)</f>
        <v>      1.6  Odloženi porez na dobit koji se odnosi na ove stavke </v>
      </c>
      <c r="E28" s="516"/>
      <c r="F28" s="516"/>
      <c r="G28" s="516"/>
      <c r="H28" s="516"/>
      <c r="I28" s="65">
        <f>VLOOKUP($B28,T_Aop[],4,1)</f>
        <v>407</v>
      </c>
      <c r="J28" s="377"/>
      <c r="K28" s="128"/>
      <c r="L28" s="129"/>
      <c r="P28"/>
    </row>
    <row r="29" spans="2:16" ht="20.25" customHeight="1">
      <c r="B29" s="25" t="n">
        <v>271</v>
      </c>
      <c r="C29" s="62">
        <f>VLOOKUP($B29,T_Aop[],5,1)</f>
        <v>0</v>
      </c>
      <c r="D29" s="527" t="str">
        <f>VLOOKUP($B29,T_Aop[],6,1)</f>
        <v>    2.  Stavke koje neće biti reklasifikovane u bilans uspjeha (± 409± 410 ± 411 ± 412 ± 413 ± 414)</v>
      </c>
      <c r="E29" s="527"/>
      <c r="F29" s="527"/>
      <c r="G29" s="527"/>
      <c r="H29" s="527"/>
      <c r="I29" s="63">
        <f>VLOOKUP($B29,T_Aop[],4,1)</f>
        <v>408</v>
      </c>
      <c r="J29" s="368"/>
      <c r="K29" s="344">
        <f>SUBTOTAL(9,K30:K35)</f>
        <v>2736</v>
      </c>
      <c r="L29" s="345">
        <f>SUBTOTAL(9,L30:L35)</f>
        <v>2736</v>
      </c>
      <c r="P29"/>
    </row>
    <row r="30" spans="2:16">
      <c r="B30" s="25" t="n">
        <v>272</v>
      </c>
      <c r="C30" s="64" t="str">
        <f>VLOOKUP($B30,T_Aop[],5,1)</f>
        <v>Promjena na 330</v>
      </c>
      <c r="D30" s="516" t="str">
        <f>VLOOKUP($B30,T_Aop[],6,1)</f>
        <v>      2.1 Revalorizacija nekretnina, postrojenja, opreme i nematerijalne imovine</v>
      </c>
      <c r="E30" s="516"/>
      <c r="F30" s="516"/>
      <c r="G30" s="516"/>
      <c r="H30" s="516"/>
      <c r="I30" s="65">
        <f>VLOOKUP($B30,T_Aop[],4,1)</f>
        <v>409</v>
      </c>
      <c r="J30" s="377"/>
      <c r="K30" s="311" t="n">
        <v>2736</v>
      </c>
      <c r="L30" s="312" t="n">
        <v>2736</v>
      </c>
      <c r="P30"/>
    </row>
    <row r="31" spans="2:16">
      <c r="B31" s="25" t="n">
        <v>273</v>
      </c>
      <c r="C31" s="62" t="str">
        <f>VLOOKUP($B31,T_Aop[],5,1)</f>
        <v>Promjena na 332 i 333</v>
      </c>
      <c r="D31" s="517" t="str">
        <f>VLOOKUP($B31,T_Aop[],6,1)</f>
        <v>      2.2  Povećanje/(smanjenje) fer vrijednosti vlasničkih instrumenata po fer vrijednosti kroz ostali ukupan rezultat</v>
      </c>
      <c r="E31" s="517"/>
      <c r="F31" s="517"/>
      <c r="G31" s="517"/>
      <c r="H31" s="517"/>
      <c r="I31" s="63">
        <f>VLOOKUP($B31,T_Aop[],4,1)</f>
        <v>410</v>
      </c>
      <c r="J31" s="368"/>
      <c r="K31" s="309"/>
      <c r="L31" s="310"/>
      <c r="P31"/>
    </row>
    <row r="32" spans="2:16" ht="23.25" customHeight="1">
      <c r="B32" s="25" t="n">
        <v>274</v>
      </c>
      <c r="C32" s="64" t="str">
        <f>VLOOKUP($B32,T_Aop[],5,1)</f>
        <v>Promjena na 339, dio</v>
      </c>
      <c r="D32" s="516" t="str">
        <f>VLOOKUP($B32,T_Aop[],6,1)</f>
        <v>      2.3  Aktuarski dobici/(gubici) od planova definisanih primanja</v>
      </c>
      <c r="E32" s="516"/>
      <c r="F32" s="516"/>
      <c r="G32" s="516"/>
      <c r="H32" s="516"/>
      <c r="I32" s="65">
        <f>VLOOKUP($B32,T_Aop[],4,1)</f>
        <v>411</v>
      </c>
      <c r="J32" s="377"/>
      <c r="K32" s="380"/>
      <c r="L32" s="413"/>
      <c r="P32"/>
    </row>
    <row r="33" spans="2:16" ht="24" customHeight="1">
      <c r="B33" s="25" t="n">
        <v>275</v>
      </c>
      <c r="C33" s="62">
        <f>VLOOKUP($B33,T_Aop[],5,1)</f>
        <v>0</v>
      </c>
      <c r="D33" s="517" t="str">
        <f>VLOOKUP($B33,T_Aop[],6,1)</f>
        <v>      2.4 Udio u ostalom ukupnom rezultatu pridruženog društva i zajedničkog poduhvata primjenom metode udjela</v>
      </c>
      <c r="E33" s="517"/>
      <c r="F33" s="517"/>
      <c r="G33" s="517"/>
      <c r="H33" s="517"/>
      <c r="I33" s="63">
        <f>VLOOKUP($B33,T_Aop[],4,1)</f>
        <v>412</v>
      </c>
      <c r="J33" s="368"/>
      <c r="K33" s="309"/>
      <c r="L33" s="310"/>
      <c r="P33"/>
    </row>
    <row r="34" spans="2:16" ht="25.50" customHeight="1">
      <c r="B34" s="25" t="n">
        <v>276</v>
      </c>
      <c r="C34" s="64" t="str">
        <f>VLOOKUP($B34,T_Aop[],5,1)</f>
        <v>Promjena na 339, dio</v>
      </c>
      <c r="D34" s="516" t="str">
        <f>VLOOKUP($B34,T_Aop[],6,1)</f>
        <v>      2.5 Ostale stavke koje neće biti reklasifikovane u bilans uspjeha</v>
      </c>
      <c r="E34" s="516"/>
      <c r="F34" s="516"/>
      <c r="G34" s="516"/>
      <c r="H34" s="516"/>
      <c r="I34" s="65">
        <f>VLOOKUP($B34,T_Aop[],4,1)</f>
        <v>413</v>
      </c>
      <c r="J34" s="377"/>
      <c r="K34" s="311"/>
      <c r="L34" s="312"/>
      <c r="P34"/>
    </row>
    <row r="35" spans="2:16" ht="12.75" customHeight="1">
      <c r="B35" s="25" t="n">
        <v>277</v>
      </c>
      <c r="C35" s="62">
        <f>VLOOKUP($B35,T_Aop[],5,1)</f>
        <v>0</v>
      </c>
      <c r="D35" s="517" t="str">
        <f>VLOOKUP($B35,T_Aop[],6,1)</f>
        <v>      2.6 Odloženi porez na dobit koji se odnosi na ove stavke</v>
      </c>
      <c r="E35" s="517"/>
      <c r="F35" s="517"/>
      <c r="G35" s="517"/>
      <c r="H35" s="517"/>
      <c r="I35" s="63">
        <f>VLOOKUP($B35,T_Aop[],4,1)</f>
        <v>414</v>
      </c>
      <c r="J35" s="368"/>
      <c r="K35" s="126"/>
      <c r="L35" s="127"/>
      <c r="P35"/>
    </row>
    <row r="36" spans="2:16" ht="12.75" customHeight="1">
      <c r="B36" s="25" t="n">
        <v>278</v>
      </c>
      <c r="C36" s="64">
        <f>VLOOKUP($B36,T_Aop[],5,1)</f>
        <v>0</v>
      </c>
      <c r="D36" s="530" t="str">
        <f>VLOOKUP($B36,T_Aop[],6,1)</f>
        <v>  B. OSTALA DOBIT/GUBITAK U PERIODU (± 401 ± 408)</v>
      </c>
      <c r="E36" s="530"/>
      <c r="F36" s="530"/>
      <c r="G36" s="530"/>
      <c r="H36" s="530"/>
      <c r="I36" s="133">
        <f>VLOOKUP($B36,T_Aop[],4,1)</f>
        <v>415</v>
      </c>
      <c r="J36" s="377"/>
      <c r="K36" s="70">
        <f>SUBTOTAL(9,K23:K26,K28)-SUBTOTAL(9,K27)+SUBTOTAL(9,K29:K35)</f>
        <v>2736</v>
      </c>
      <c r="L36" s="71">
        <f>SUBTOTAL(9,L23:L26,L28)-SUBTOTAL(9,L27)+SUBTOTAL(9,L29:L35)</f>
        <v>2736</v>
      </c>
      <c r="P36"/>
    </row>
    <row r="37" spans="2:16" ht="16.50" customHeight="1">
      <c r="B37" s="25" t="n">
        <v>279</v>
      </c>
      <c r="C37" s="62">
        <f>VLOOKUP($B37,T_Aop[],5,1)</f>
        <v>0</v>
      </c>
      <c r="D37" s="529" t="str">
        <f>VLOOKUP($B37,T_Aop[],6,1)</f>
        <v/>
      </c>
      <c r="E37" s="529"/>
      <c r="F37" s="529"/>
      <c r="G37" s="529"/>
      <c r="H37" s="529"/>
      <c r="I37" s="63">
        <f>VLOOKUP($B37,T_Aop[],4,1)</f>
        <v>0</v>
      </c>
      <c r="J37" s="368"/>
      <c r="K37" s="126"/>
      <c r="L37" s="127"/>
      <c r="P37"/>
    </row>
    <row r="38" spans="2:16" ht="16.50" customHeight="1">
      <c r="B38" s="25" t="n">
        <v>280</v>
      </c>
      <c r="C38" s="64">
        <f>VLOOKUP($B38,T_Aop[],5,1)</f>
        <v>0</v>
      </c>
      <c r="D38" s="530" t="str">
        <f>VLOOKUP($B38,T_Aop[],6,1)</f>
        <v> V. UKUPNA DOBIT / (GUBITAK) (400± 415)</v>
      </c>
      <c r="E38" s="530"/>
      <c r="F38" s="530"/>
      <c r="G38" s="530"/>
      <c r="H38" s="530"/>
      <c r="I38" s="133">
        <f>VLOOKUP($B38,T_Aop[],4,1)</f>
        <v>416</v>
      </c>
      <c r="J38" s="377"/>
      <c r="K38" s="70">
        <f>SUBTOTAL(9,K22:K26,K28,K21)-SUBTOTAL(9,K27)+SUBTOTAL(9,K29:K35)</f>
        <v>3541</v>
      </c>
      <c r="L38" s="71">
        <f>SUBTOTAL(9,L22:L26,L28,L21)-SUBTOTAL(9,L27)+SUBTOTAL(9,L29:L35)</f>
        <v>3128</v>
      </c>
      <c r="P38" s="35"/>
    </row>
    <row r="39" spans="2:16" ht="12" customHeight="1">
      <c r="B39" s="25" t="n">
        <v>281</v>
      </c>
      <c r="C39" s="62">
        <f>VLOOKUP($B39,T_Aop[],5,1)</f>
        <v>0</v>
      </c>
      <c r="D39" s="529" t="str">
        <f>VLOOKUP($B39,T_Aop[],6,1)</f>
        <v> </v>
      </c>
      <c r="E39" s="529"/>
      <c r="F39" s="529"/>
      <c r="G39" s="529"/>
      <c r="H39" s="529"/>
      <c r="I39" s="63">
        <f>VLOOKUP($B39,T_Aop[],4,1)</f>
        <v>0</v>
      </c>
      <c r="J39" s="368"/>
      <c r="K39" s="126"/>
      <c r="L39" s="127"/>
      <c r="P39" s="35"/>
    </row>
    <row r="40" spans="2:16" ht="17.25" customHeight="1">
      <c r="B40" s="25" t="n">
        <v>282</v>
      </c>
      <c r="C40" s="64"/>
      <c r="D40" s="516" t="str">
        <f>VLOOKUP($B40,T_Aop[],6,1)</f>
        <v>Dio ukupne dobiti/gubitka koji pripada većinskim vlasnicima</v>
      </c>
      <c r="E40" s="516"/>
      <c r="F40" s="516"/>
      <c r="G40" s="516"/>
      <c r="H40" s="516"/>
      <c r="I40" s="65">
        <f>VLOOKUP($B40,T_Aop[],4,1)</f>
        <v>417</v>
      </c>
      <c r="J40" s="377"/>
      <c r="K40" s="311"/>
      <c r="L40" s="312"/>
      <c r="P40" s="35"/>
    </row>
    <row r="41" spans="2:16" ht="17.25" customHeight="1">
      <c r="B41" s="25" t="n">
        <v>283</v>
      </c>
      <c r="C41" s="149">
        <f>VLOOKUP($B41,T_Aop[],5,1)</f>
        <v>0</v>
      </c>
      <c r="D41" s="528" t="str">
        <f>VLOOKUP($B41,T_Aop[],6,1)</f>
        <v>Dio ukupne dobiti/gubitka koji pripada manjinskim vlasnicima</v>
      </c>
      <c r="E41" s="528"/>
      <c r="F41" s="528"/>
      <c r="G41" s="528"/>
      <c r="H41" s="528"/>
      <c r="I41" s="146">
        <f>VLOOKUP($B41,T_Aop[],4,1)</f>
        <v>418</v>
      </c>
      <c r="J41" s="378"/>
      <c r="K41" s="373"/>
      <c r="L41" s="374"/>
      <c r="P41" s="35"/>
    </row>
    <row r="42" spans="3:11" ht="12.75" customHeight="1">
      <c r="C42" s="45"/>
      <c r="D42" s="48"/>
      <c r="E42" s="48"/>
      <c r="F42" s="48"/>
      <c r="G42" s="48"/>
      <c r="H42" s="48"/>
      <c r="I42" s="52"/>
      <c r="J42" s="45"/>
      <c r="K42" s="45"/>
    </row>
    <row r="43" spans="3:11" ht="15" customHeight="1">
      <c r="C43" s="140" t="str">
        <f aca="1">Podnozje_U</f>
        <v>U:</v>
      </c>
      <c r="D43" s="317" t="str">
        <f aca="1">Podatak_U</f>
        <v>Pelagićevu</v>
      </c>
      <c r="E43"/>
      <c r="F43" s="18" t="str">
        <f aca="1">Podnozje_Lice_sa_licencom</f>
        <v>Lice sa licencom:</v>
      </c>
      <c r="G43" s="18" t="str">
        <f aca="1">Podatak_Lice_sa_licencom</f>
        <v>Jokica Gavrić</v>
      </c>
      <c r="I43" s="45" t="str">
        <f aca="1">Podnozje_MP</f>
        <v>(M.P.)</v>
      </c>
      <c r="K43" s="18" t="str">
        <f aca="1">Podnozje_Direktor</f>
        <v>Lice ovlašćeno za zastupanje:</v>
      </c>
    </row>
    <row r="44" spans="3:11" ht="17.25" customHeight="1">
      <c r="C44" s="36"/>
      <c r="D44" s="25"/>
      <c r="E44"/>
      <c r="F44" s="47" t="str">
        <f aca="1">Podnozje_Broj_licence</f>
        <v>Broj licence:</v>
      </c>
      <c r="G44" s="47" t="str">
        <f aca="1">Podatak_Broj_Licence</f>
        <v>srt-0336/24</v>
      </c>
      <c r="H44" s="183"/>
      <c r="I44"/>
      <c r="K44" s="183" t="str">
        <f aca="1">Podatak_Direktor</f>
        <v>Obavezan unos podataka u formi!</v>
      </c>
    </row>
    <row r="45" spans="3:12" ht="12.75" customHeight="1">
      <c r="C45" s="140" t="str">
        <f aca="1">Podnozje_Dana</f>
        <v>Dana:</v>
      </c>
      <c r="D45" s="317" t="str">
        <f aca="1">Podatak_Dana</f>
        <v>30.03.2024.</v>
      </c>
      <c r="E45"/>
      <c r="F45" s="372"/>
      <c r="G45" s="372"/>
      <c r="J45" s="75"/>
      <c r="K45" s="318"/>
      <c r="L45" s="49"/>
    </row>
    <row r="46" spans="3:11" ht="12.75" customHeight="1">
      <c r="C46" s="140"/>
      <c r="D46" s="383"/>
      <c r="E46"/>
      <c r="F46" s="52"/>
      <c r="G46" s="52"/>
      <c r="J46" s="75"/>
      <c r="K46" s="75"/>
    </row>
    <row r="47" spans="6:11" hidden="1" ht="12.75" customHeight="1">
      <c r="F47" s="48"/>
      <c r="G47" s="48"/>
      <c r="H47" s="48"/>
      <c r="J47" s="45"/>
      <c r="K47" s="45"/>
      <extLst>
        <ext uri="smNativeData">
          <pm:rowDef xmlns:pm="smNativeData" id="1714042646" r="47" hidden="1" collapsedDB="0" collapsedOL="0"/>
        </ext>
      </extLst>
    </row>
    <row r="48" spans="1:1" hidden="1" ht="12.75" customHeight="1">
      <extLst>
        <ext uri="smNativeData">
          <pm:rowDef xmlns:pm="smNativeData" id="1714042646" r="48" hidden="1" collapsedDB="0" collapsedOL="0"/>
        </ext>
      </extLst>
    </row>
    <row r="61" spans="1:1"/>
  </sheetData>
  <sheetProtection algorithmName="SHA-512" hashValue="Tjcf1Psetg4bF4PMlrXOaN5KDKWszTg5KkrtwnNEfuNTt+Dx6f2+faK6vCv2EtRiAVuivauUhMTrkuffX5D57Q==" saltValue="J3eGpiQcxhzcuYteiXVEVw==" spinCount="100000" sheet="1" autoFilter="0"/>
  <mergeCells count="40">
    <mergeCell ref="C5:E6"/>
    <mergeCell ref="C7:F7"/>
    <mergeCell ref="D8:F8"/>
    <mergeCell ref="C9:E9"/>
    <mergeCell ref="C10:F10"/>
    <mergeCell ref="K10:L10"/>
    <mergeCell ref="C11:F11"/>
    <mergeCell ref="C12:F12"/>
    <mergeCell ref="C13:F13"/>
    <mergeCell ref="C14:L14"/>
    <mergeCell ref="C15:L15"/>
    <mergeCell ref="C16:L16"/>
    <mergeCell ref="K18:L18"/>
    <mergeCell ref="C18:C19"/>
    <mergeCell ref="D18:H19"/>
    <mergeCell ref="I18:I19"/>
    <mergeCell ref="J18:J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F45:G45"/>
  </mergeCells>
  <dataValidations count="6">
    <dataValidation sqref="K21 L21" type="none" operator="greaterThanOrEqual" errorStyle="stop" allowBlank="1" showInputMessage="1" showErrorMessage="1" errorTitle="Greška" error="Unose se vrijednosti u konvertibilnim markama, bez decimalnih mjesta. Nije dozvoljen unos negativnih brojeva." view="0">
      <formula1/>
      <formula2/>
    </dataValidation>
    <dataValidation sqref="J21:J41" type="whole" operator="greaterThanOrEqual" errorStyle="stop" allowBlank="1" showInputMessage="1" showErrorMessage="1" error="Unesite broj napomene!" view="0">
      <formula1>0</formula1>
      <formula2/>
    </dataValidation>
    <dataValidation sqref="K22:L22 K29:L29 K36:L36 K38:L38" type="none" operator="greaterThanOrEqual" errorStyle="stop" allowBlank="1" showInputMessage="1" prompt="U ovo polje se ne unosi iznos._x000a_Polje se automatski računa u skladu sa formulom." view="0">
      <formula1/>
      <formula2/>
    </dataValidation>
    <dataValidation sqref="K23:L23 K26:L26 K30:L31 K33:L34 K41:L41" type="none" operator="notBetween" errorStyle="stop" showInputMessage="1" showErrorMessage="1" errorTitle="Greška" error="Unose se vrijednosti u konvertibilnim markama, bez decimalnih mjesta. Nije dozvoljen unos negativnih brojeva." view="0">
      <formula1/>
      <formula2/>
    </dataValidation>
    <dataValidation sqref="K24:L25 K27:L28 K35:L35"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36:L36" type="whole" operator="notEqual" errorStyle="stop" allowBlank="1" showInputMessage="1" showErrorMessage="1" errorTitle="Greška" error="Unose se vrijednosti u konvertibilnim markama, bez decimalnih mjesta." view="0">
      <formula1>0</formula1>
      <formula2/>
    </dataValidation>
  </dataValidations>
  <printOptions>
    <extLst>
      <ext uri="smNativeData">
        <pm:pageFlags xmlns:pm="smNativeData" id="1714042646" printRowHead="0" printColHead="0" printHeadLine="0" printFootLine="1" autoHeightHeader="0" autoHeightFooter="0" fitToPageBoth="0"/>
      </ext>
    </extLst>
  </printOptions>
  <pageMargins left="0.393750" right="0.393750" top="0.393750" bottom="0.393750" header="0.315278" footer="0.236111"/>
  <pageSetup paperSize="9" scale="70" fitToWidth="0" fitToHeight="1"/>
  <headerFooter>
    <oddFooter>&amp;R&amp;"Tahoma"Strana &amp;P od &amp;N</odd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drawing r:id="rId1"/>
  <legacyDrawing r:id="rId2"/>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B2B2B2"/>
  </sheetPr>
  <dimension ref="A1:P100"/>
  <sheetViews>
    <sheetView showGridLines="0" showRowColHeaders="0" view="normal" workbookViewId="0">
      <pane ySplit="4" topLeftCell="A71" activePane="bottomLeft" state="frozen"/>
      <selection pane="bottomLeft" activeCell="K33" sqref="K33"/>
    </sheetView>
  </sheetViews>
  <sheetFormatPr defaultRowHeight="14.20" zeroHeight="1"/>
  <cols>
    <col min="1" max="1" width="4.425743" customWidth="1" style="22"/>
    <col min="2" max="2" width="4.425743" hidden="1" customWidth="1" style="22">
      <extLst>
        <ext uri="smNativeData">
          <pm:columnDef xmlns:pm="smNativeData" id="1714042646" min="2" max="2" hidden="1" collapsedDB="0" collapsedOL="0"/>
        </ext>
      </extLst>
    </col>
    <col min="3" max="3" width="7.425743" customWidth="1" style="22"/>
    <col min="4" max="7" width="18.000000" customWidth="1" style="22"/>
    <col min="8" max="8" width="19.564356" customWidth="1" style="22"/>
    <col min="9" max="9" width="7.138614" customWidth="1" style="22"/>
    <col min="10" max="10" width="14.000000" customWidth="1" style="22"/>
    <col min="11" max="12" width="16.851485" customWidth="1" style="22"/>
    <col min="13" max="13" width="2.564356" customWidth="1" style="22"/>
    <col min="14" max="14" width="0.287129" customWidth="1" style="22"/>
    <col min="15" max="15" width="11.425743" hidden="1" customWidth="1" style="22">
      <extLst>
        <ext uri="smNativeData">
          <pm:columnDef xmlns:pm="smNativeData" id="1714042646" min="15" max="15" hidden="1" collapsedDB="0" collapsedOL="0"/>
        </ext>
      </extLst>
    </col>
    <col min="16" max="255" width="9.138614" hidden="1" customWidth="1" style="22">
      <extLst>
        <ext uri="smNativeData">
          <pm:columnDef xmlns:pm="smNativeData" id="1714042646" min="16" max="255" hidden="1" collapsedDB="0" collapsedOL="0"/>
        </ext>
      </extLst>
    </col>
    <col min="256" max="16384" width="31.851485" hidden="1" customWidth="1" style="22">
      <extLst>
        <ext uri="smNativeData">
          <pm:columnDef xmlns:pm="smNativeData" id="1714042646" min="256" max="16384" hidden="1" collapsedDB="0" collapsedOL="0"/>
        </ext>
      </extLst>
    </col>
  </cols>
  <sheetData>
    <row r="1" spans="1:1"/>
    <row r="2" spans="1:1"/>
    <row r="3" spans="1:1"/>
    <row r="4" spans="1:1"/>
    <row r="5" spans="3:12" ht="12.75" customHeight="1">
      <c r="C5" s="464" t="str">
        <f aca="1">Zaglavlje_Naziv_preduzeca</f>
        <v>Naziv privrednog društva, zadruge, drugog pravnog lica ili preduzetnika: </v>
      </c>
      <c r="D5" s="464"/>
      <c r="E5" s="464"/>
      <c r="L5" s="298" t="str">
        <f aca="1">Podatak_MB</f>
        <v>1062280</v>
      </c>
    </row>
    <row r="6" spans="3:12" ht="10.50" customHeight="1">
      <c r="C6" s="464"/>
      <c r="D6" s="464"/>
      <c r="E6" s="464"/>
      <c r="L6" s="54" t="str">
        <f aca="1">Zaglavlje_MB</f>
        <v>Matični broj</v>
      </c>
    </row>
    <row r="7" spans="3:12" ht="9" customHeight="1">
      <c r="C7" s="531" t="str">
        <f aca="1">Podatak_Naziv_preduzeca</f>
        <v>Napredak a.d. Pelagićevo</v>
      </c>
      <c r="D7" s="531"/>
      <c r="E7" s="531"/>
      <c r="F7" s="531"/>
      <c r="L7" s="298" t="str">
        <f aca="1">Podatak_Sifra_djelatnosti</f>
        <v>01.11</v>
      </c>
    </row>
    <row r="8" spans="3:12">
      <c r="C8" s="24" t="str">
        <f aca="1">Zaglavlje_Sjediste</f>
        <v>Sjedište:</v>
      </c>
      <c r="D8" s="317" t="str">
        <f aca="1">Podatak_Sjediste</f>
        <v>Pelagićevo</v>
      </c>
      <c r="E8" s="317"/>
      <c r="F8" s="317"/>
      <c r="L8" s="54" t="str">
        <f aca="1">Zaglavlje_Sifra_djelatnosti</f>
        <v>Šifra djelatnosti</v>
      </c>
    </row>
    <row r="9" spans="3:12" ht="12.75" customHeight="1">
      <c r="C9" s="407" t="str">
        <f aca="1">Zaglavlje_Ziro_racun</f>
        <v>Račun kod ovlašćene organizacije za platni promet:</v>
      </c>
      <c r="D9" s="407"/>
      <c r="E9" s="407"/>
      <c r="F9" s="27"/>
      <c r="L9" s="298" t="str">
        <f aca="1">Podatak_JIB</f>
        <v>4400471400001</v>
      </c>
    </row>
    <row r="10" spans="3:12">
      <c r="C10" s="482" t="str">
        <f aca="1">Podatak_Ziro_racun_1</f>
        <v>554-005-00000031-83</v>
      </c>
      <c r="D10" s="482"/>
      <c r="E10" s="482"/>
      <c r="F10" s="482"/>
      <c r="K10" s="54" t="str">
        <f aca="1">Zaglavlje_JIB</f>
        <v>JIB</v>
      </c>
      <c r="L10" s="54"/>
    </row>
    <row r="11" spans="3:6" ht="10.50" customHeight="1">
      <c r="C11" s="508" t="str">
        <f aca="1">Podatak_Ziro_racun_2</f>
        <v>562-011-00000477-77</v>
      </c>
      <c r="D11" s="508"/>
      <c r="E11" s="508"/>
      <c r="F11" s="508"/>
    </row>
    <row r="12" spans="3:6" ht="10.50" customHeight="1">
      <c r="C12" s="482" t="str">
        <f aca="1">Podatak_Ziro_racun_3</f>
        <v/>
      </c>
      <c r="D12" s="482"/>
      <c r="E12" s="482"/>
      <c r="F12" s="482"/>
    </row>
    <row r="13" spans="3:11" ht="9.75" customHeight="1">
      <c r="C13" s="508" t="str">
        <f aca="1">Podatak_Ziro_racun_4</f>
        <v/>
      </c>
      <c r="D13" s="508"/>
      <c r="E13" s="508"/>
      <c r="F13" s="508"/>
      <c r="J13"/>
      <c r="K13"/>
    </row>
    <row r="14" spans="3:12">
      <c r="C14" s="442" t="str">
        <f aca="1">IF(Id_Konsolidovani,Nazivi_bilansa_Konsolidovani_naziv&amp;LOWER(Nazivi_bilansa_BTG),Nazivi_bilansa_BTG)</f>
        <v>Bilans tokova gotovine</v>
      </c>
      <c r="D14" s="442"/>
      <c r="E14" s="442"/>
      <c r="F14" s="442"/>
      <c r="G14" s="442"/>
      <c r="H14" s="442"/>
      <c r="I14" s="442"/>
      <c r="J14" s="442"/>
      <c r="K14" s="442"/>
      <c r="L14" s="442"/>
    </row>
    <row r="15" spans="3:12">
      <c r="C15" s="52" t="str">
        <f aca="1">Nazivi_bilansa_BTG1</f>
        <v>(Izvještaj o tokovima gotovine)</v>
      </c>
      <c r="D15" s="52"/>
      <c r="E15" s="52"/>
      <c r="F15" s="52"/>
      <c r="G15" s="52"/>
      <c r="H15" s="52"/>
      <c r="I15" s="52"/>
      <c r="J15" s="52"/>
      <c r="K15" s="52"/>
      <c r="L15" s="52"/>
    </row>
    <row r="16" spans="3:12">
      <c r="C16" s="52" t="str">
        <f aca="1">Datumi_Datum_BTG</f>
        <v>za period od 01.01. do 31.03.2024. godine</v>
      </c>
      <c r="D16" s="52"/>
      <c r="E16" s="52"/>
      <c r="F16" s="52"/>
      <c r="G16" s="52"/>
      <c r="H16" s="52"/>
      <c r="I16" s="52"/>
      <c r="J16" s="52"/>
      <c r="K16" s="52"/>
      <c r="L16" s="52"/>
    </row>
    <row r="17" spans="11:11" ht="11.25" customHeight="1">
      <c r="K17" s="54" t="str">
        <f aca="1">Tabele_zaglavlje_Valuta</f>
        <v>- u konvertibilnim markama -</v>
      </c>
    </row>
    <row r="18" spans="3:12">
      <c r="C18" s="521" t="str">
        <f aca="1">Tabele_zaglavlje_Redni_broj</f>
        <v>Redni broj</v>
      </c>
      <c r="D18" s="523" t="str">
        <f aca="1">Tabele_zaglavlje_Pozicija</f>
        <v>POZICIJA</v>
      </c>
      <c r="E18" s="523"/>
      <c r="F18" s="523"/>
      <c r="G18" s="523"/>
      <c r="H18" s="523"/>
      <c r="I18" s="519" t="str">
        <f aca="1">Tabele_zaglavlje_Oznaka_aop</f>
        <v>Oznaka za AOP</v>
      </c>
      <c r="J18" s="519" t="str">
        <f aca="1">Tabele_zaglavlje_Napomena_aop</f>
        <v>Napomena</v>
      </c>
      <c r="K18" s="514" t="str">
        <f aca="1">Tabele_zaglavlje_Iznos</f>
        <v>Iznos</v>
      </c>
      <c r="L18" s="515"/>
    </row>
    <row r="19" spans="3:16">
      <c r="C19" s="522"/>
      <c r="D19" s="524"/>
      <c r="E19" s="524"/>
      <c r="F19" s="524"/>
      <c r="G19" s="524"/>
      <c r="H19" s="524"/>
      <c r="I19" s="50"/>
      <c r="J19" s="50"/>
      <c r="K19" s="50" t="str">
        <f aca="1">Tabele_zaglavlje_Tekuca_godina</f>
        <v>Tekuća godina</v>
      </c>
      <c r="L19" s="51" t="str">
        <f aca="1">Tabele_zaglavlje_Prethodna_godina</f>
        <v>Prethodna godina</v>
      </c>
      <c r="P19" s="107" t="s">
        <v>65</v>
      </c>
    </row>
    <row r="20" spans="2:12">
      <c r="B20" s="52" t="s">
        <v>66</v>
      </c>
      <c r="C20" s="66" t="n">
        <v>1</v>
      </c>
      <c r="D20" s="67" t="n">
        <v>2</v>
      </c>
      <c r="E20" s="67"/>
      <c r="F20" s="67"/>
      <c r="G20" s="67"/>
      <c r="H20" s="67"/>
      <c r="I20" s="67" t="n">
        <v>3</v>
      </c>
      <c r="J20" s="67"/>
      <c r="K20" s="307" t="n">
        <v>4</v>
      </c>
      <c r="L20" s="308" t="n">
        <v>5</v>
      </c>
    </row>
    <row r="21" spans="2:16" ht="24.75" customHeight="1">
      <c r="B21" s="54" t="n">
        <v>284</v>
      </c>
      <c r="C21" s="68" t="str">
        <f>VLOOKUP($B21,T_Aop[],5,1)</f>
        <v>A
I</v>
      </c>
      <c r="D21" s="534" t="str">
        <f>VLOOKUP($B21,T_Aop[],6,1)</f>
        <v>TOKOVI GOTOVINE IZ POSLOVNIH AKTIVNOSTI 
Prilivi gotovine iz poslovne aktivnosti (502 do 505)</v>
      </c>
      <c r="E21" s="534"/>
      <c r="F21" s="534"/>
      <c r="G21" s="534"/>
      <c r="H21" s="534"/>
      <c r="I21" s="145">
        <f>VLOOKUP($B21,T_Aop[],4,1)</f>
        <v>501</v>
      </c>
      <c r="J21" s="410"/>
      <c r="K21" s="305">
        <f>SUBTOTAL(9,K22:K25)</f>
        <v>401004</v>
      </c>
      <c r="L21" s="306">
        <f>SUBTOTAL(9,L22:L25)</f>
        <v>251182</v>
      </c>
      <c r="P21" s="35"/>
    </row>
    <row r="22" spans="2:16" ht="12" customHeight="1">
      <c r="B22" s="54" t="n">
        <v>285</v>
      </c>
      <c r="C22" s="62" t="str">
        <f>VLOOKUP($B22,T_Aop[],5,1)</f>
        <v>1</v>
      </c>
      <c r="D22" s="517" t="str">
        <f>VLOOKUP($B22,T_Aop[],6,1)</f>
        <v>    Prilivi od kupaca i primljeni avansi u zemlji</v>
      </c>
      <c r="E22" s="517"/>
      <c r="F22" s="517"/>
      <c r="G22" s="517"/>
      <c r="H22" s="517"/>
      <c r="I22" s="63">
        <f>VLOOKUP($B22,T_Aop[],4,1)</f>
        <v>502</v>
      </c>
      <c r="J22" s="411"/>
      <c r="K22" s="120" t="n">
        <v>396004</v>
      </c>
      <c r="L22" s="121" t="n">
        <v>211379</v>
      </c>
      <c r="P22" s="35"/>
    </row>
    <row r="23" spans="2:16" ht="12" customHeight="1">
      <c r="B23" s="54" t="n">
        <v>286</v>
      </c>
      <c r="C23" s="64" t="str">
        <f>VLOOKUP($B23,T_Aop[],5,1)</f>
        <v>2</v>
      </c>
      <c r="D23" s="516" t="str">
        <f>VLOOKUP($B23,T_Aop[],6,1)</f>
        <v>    Prilivi od kupaca i primljeni avansi u inostranstvu</v>
      </c>
      <c r="E23" s="516"/>
      <c r="F23" s="516"/>
      <c r="G23" s="516"/>
      <c r="H23" s="516"/>
      <c r="I23" s="65">
        <f>VLOOKUP($B23,T_Aop[],4,1)</f>
        <v>503</v>
      </c>
      <c r="J23" s="412"/>
      <c r="K23" s="122"/>
      <c r="L23" s="123"/>
      <c r="P23" s="35"/>
    </row>
    <row r="24" spans="2:16" ht="12" customHeight="1">
      <c r="B24" s="54" t="n">
        <v>287</v>
      </c>
      <c r="C24" s="62" t="str">
        <f>VLOOKUP($B24,T_Aop[],5,1)</f>
        <v>3</v>
      </c>
      <c r="D24" s="517" t="str">
        <f>VLOOKUP($B24,T_Aop[],6,1)</f>
        <v>    Prilivi od premija, subvencija, dotacija i sl.</v>
      </c>
      <c r="E24" s="517"/>
      <c r="F24" s="517"/>
      <c r="G24" s="517"/>
      <c r="H24" s="517"/>
      <c r="I24" s="63">
        <f>VLOOKUP($B24,T_Aop[],4,1)</f>
        <v>504</v>
      </c>
      <c r="J24" s="411"/>
      <c r="K24" s="120"/>
      <c r="L24" s="121" t="n">
        <v>25803</v>
      </c>
      <c r="P24" s="35"/>
    </row>
    <row r="25" spans="2:16" ht="12" customHeight="1">
      <c r="B25" s="54" t="n">
        <v>288</v>
      </c>
      <c r="C25" s="64" t="str">
        <f>VLOOKUP($B25,T_Aop[],5,1)</f>
        <v>4</v>
      </c>
      <c r="D25" s="516" t="str">
        <f>VLOOKUP($B25,T_Aop[],6,1)</f>
        <v>    Ostali prilivi iz poslovnih aktivnosti</v>
      </c>
      <c r="E25" s="516"/>
      <c r="F25" s="516"/>
      <c r="G25" s="516"/>
      <c r="H25" s="516"/>
      <c r="I25" s="65">
        <f>VLOOKUP($B25,T_Aop[],4,1)</f>
        <v>505</v>
      </c>
      <c r="J25" s="412"/>
      <c r="K25" s="122" t="n">
        <v>5000</v>
      </c>
      <c r="L25" s="123" t="n">
        <v>14000</v>
      </c>
      <c r="P25" s="35"/>
    </row>
    <row r="26" spans="2:16" ht="12" customHeight="1">
      <c r="B26" s="54" t="n">
        <v>289</v>
      </c>
      <c r="C26" s="62" t="str">
        <f>VLOOKUP($B26,T_Aop[],5,1)</f>
        <v>II</v>
      </c>
      <c r="D26" s="529" t="str">
        <f>VLOOKUP($B26,T_Aop[],6,1)</f>
        <v>    Odlivi gotovine iz poslovnih aktivnosti (507 do 512)</v>
      </c>
      <c r="E26" s="529"/>
      <c r="F26" s="529"/>
      <c r="G26" s="529"/>
      <c r="H26" s="529"/>
      <c r="I26" s="134">
        <f>VLOOKUP($B26,T_Aop[],4,1)</f>
        <v>506</v>
      </c>
      <c r="J26" s="411"/>
      <c r="K26" s="39">
        <f>SUBTOTAL(9,K27:K32)</f>
        <v>330768</v>
      </c>
      <c r="L26" s="42">
        <f>SUBTOTAL(9,L27:L32)</f>
        <v>266542</v>
      </c>
      <c r="P26" s="35"/>
    </row>
    <row r="27" spans="2:16" ht="12" customHeight="1">
      <c r="B27" s="54" t="n">
        <v>290</v>
      </c>
      <c r="C27" s="64" t="str">
        <f>VLOOKUP($B27,T_Aop[],5,1)</f>
        <v>1</v>
      </c>
      <c r="D27" s="516" t="str">
        <f>VLOOKUP($B27,T_Aop[],6,1)</f>
        <v>    Odlivi po osnovu isplata dobavljačima i dati avansi u zemlji</v>
      </c>
      <c r="E27" s="516"/>
      <c r="F27" s="516"/>
      <c r="G27" s="516"/>
      <c r="H27" s="516"/>
      <c r="I27" s="65">
        <f>VLOOKUP($B27,T_Aop[],4,1)</f>
        <v>507</v>
      </c>
      <c r="J27" s="412"/>
      <c r="K27" s="122" t="n">
        <v>122286</v>
      </c>
      <c r="L27" s="123" t="n">
        <v>157420</v>
      </c>
      <c r="P27" s="35"/>
    </row>
    <row r="28" spans="2:16" ht="12" customHeight="1">
      <c r="B28" s="54" t="n">
        <v>291</v>
      </c>
      <c r="C28" s="62" t="str">
        <f>VLOOKUP($B28,T_Aop[],5,1)</f>
        <v>2</v>
      </c>
      <c r="D28" s="517" t="str">
        <f>VLOOKUP($B28,T_Aop[],6,1)</f>
        <v>    Odlivi po osnovu isplata dobavljačima i dati avansi u inostranstvu</v>
      </c>
      <c r="E28" s="517"/>
      <c r="F28" s="517"/>
      <c r="G28" s="517"/>
      <c r="H28" s="517"/>
      <c r="I28" s="63">
        <f>VLOOKUP($B28,T_Aop[],4,1)</f>
        <v>508</v>
      </c>
      <c r="J28" s="411"/>
      <c r="K28" s="120"/>
      <c r="L28" s="121"/>
      <c r="P28" s="35"/>
    </row>
    <row r="29" spans="2:16" ht="12" customHeight="1">
      <c r="B29" s="54" t="n">
        <v>292</v>
      </c>
      <c r="C29" s="64" t="str">
        <f>VLOOKUP($B29,T_Aop[],5,1)</f>
        <v>3</v>
      </c>
      <c r="D29" s="516" t="str">
        <f>VLOOKUP($B29,T_Aop[],6,1)</f>
        <v>    Odlivi po osnovu plaćenih kamata</v>
      </c>
      <c r="E29" s="516"/>
      <c r="F29" s="516"/>
      <c r="G29" s="516"/>
      <c r="H29" s="516"/>
      <c r="I29" s="65">
        <f>VLOOKUP($B29,T_Aop[],4,1)</f>
        <v>509</v>
      </c>
      <c r="J29" s="412"/>
      <c r="K29" s="122" t="n">
        <v>13462</v>
      </c>
      <c r="L29" s="123" t="n">
        <v>12885</v>
      </c>
      <c r="P29" s="35"/>
    </row>
    <row r="30" spans="2:16" ht="12" customHeight="1">
      <c r="B30" s="54" t="n">
        <v>293</v>
      </c>
      <c r="C30" s="62" t="str">
        <f>VLOOKUP($B30,T_Aop[],5,1)</f>
        <v>4</v>
      </c>
      <c r="D30" s="517" t="str">
        <f>VLOOKUP($B30,T_Aop[],6,1)</f>
        <v>    Odlivi po osnovu isplata plata, naknada plata i ostalih ličnih rashoda</v>
      </c>
      <c r="E30" s="517"/>
      <c r="F30" s="517"/>
      <c r="G30" s="517"/>
      <c r="H30" s="517"/>
      <c r="I30" s="63">
        <f>VLOOKUP($B30,T_Aop[],4,1)</f>
        <v>510</v>
      </c>
      <c r="J30" s="411"/>
      <c r="K30" s="120" t="n">
        <v>96117</v>
      </c>
      <c r="L30" s="121" t="n">
        <v>87685</v>
      </c>
      <c r="P30" s="35"/>
    </row>
    <row r="31" spans="2:16" ht="12" customHeight="1">
      <c r="B31" s="54" t="n">
        <v>294</v>
      </c>
      <c r="C31" s="64" t="str">
        <f>VLOOKUP($B31,T_Aop[],5,1)</f>
        <v>5</v>
      </c>
      <c r="D31" s="516" t="str">
        <f>VLOOKUP($B31,T_Aop[],6,1)</f>
        <v>    Odlivi po osnovu poreza na dobit</v>
      </c>
      <c r="E31" s="516"/>
      <c r="F31" s="516"/>
      <c r="G31" s="516"/>
      <c r="H31" s="516"/>
      <c r="I31" s="65">
        <f>VLOOKUP($B31,T_Aop[],4,1)</f>
        <v>511</v>
      </c>
      <c r="J31" s="412"/>
      <c r="K31" s="122"/>
      <c r="L31" s="123"/>
      <c r="P31" s="35"/>
    </row>
    <row r="32" spans="2:16" ht="12" customHeight="1">
      <c r="B32" s="54" t="n">
        <v>295</v>
      </c>
      <c r="C32" s="62" t="str">
        <f>VLOOKUP($B32,T_Aop[],5,1)</f>
        <v>6</v>
      </c>
      <c r="D32" s="517" t="str">
        <f>VLOOKUP($B32,T_Aop[],6,1)</f>
        <v>    Ostali odlivi iz poslovnih aktivnosti</v>
      </c>
      <c r="E32" s="517"/>
      <c r="F32" s="517"/>
      <c r="G32" s="517"/>
      <c r="H32" s="517"/>
      <c r="I32" s="63">
        <f>VLOOKUP($B32,T_Aop[],4,1)</f>
        <v>512</v>
      </c>
      <c r="J32" s="411"/>
      <c r="K32" s="120" t="n">
        <v>98903</v>
      </c>
      <c r="L32" s="121" t="n">
        <v>8552</v>
      </c>
      <c r="P32" s="35"/>
    </row>
    <row r="33" spans="2:16">
      <c r="B33" s="54" t="n">
        <v>296</v>
      </c>
      <c r="C33" s="64" t="str">
        <f>VLOOKUP($B33,T_Aop[],5,1)</f>
        <v>III</v>
      </c>
      <c r="D33" s="530" t="str">
        <f>VLOOKUP($B33,T_Aop[],6,1)</f>
        <v>  Neto priliv gotovine iz poslovnih aktivnosti (501 – 506)</v>
      </c>
      <c r="E33" s="530"/>
      <c r="F33" s="530"/>
      <c r="G33" s="530"/>
      <c r="H33" s="530"/>
      <c r="I33" s="133">
        <f>VLOOKUP($B33,T_Aop[],4,1)</f>
        <v>513</v>
      </c>
      <c r="J33" s="412"/>
      <c r="K33" s="40">
        <f>IF(SUBTOTAL(9,K21:K25)-SUBTOTAL(9,K26:K32)&lt;=0,0,ABS(SUBTOTAL(9,K21:K25)-SUBTOTAL(9,K26:K32)))</f>
        <v>70236</v>
      </c>
      <c r="L33" s="41">
        <f>IF(SUBTOTAL(9,L21:L25)-SUBTOTAL(9,L26:L32)&lt;=0,0,ABS(SUBTOTAL(9,L21:L25)-SUBTOTAL(9,L26:L32)))</f>
        <v>0</v>
      </c>
      <c r="P33" s="35"/>
    </row>
    <row r="34" spans="2:16">
      <c r="B34" s="54" t="n">
        <v>297</v>
      </c>
      <c r="C34" s="62" t="str">
        <f>VLOOKUP($B34,T_Aop[],5,1)</f>
        <v>IV</v>
      </c>
      <c r="D34" s="529" t="str">
        <f>VLOOKUP($B34,T_Aop[],6,1)</f>
        <v>  Neto odliv gotovine iz poslovnih aktivnosti (506 – 501)</v>
      </c>
      <c r="E34" s="529"/>
      <c r="F34" s="529"/>
      <c r="G34" s="529"/>
      <c r="H34" s="529"/>
      <c r="I34" s="134">
        <f>VLOOKUP($B34,T_Aop[],4,1)</f>
        <v>514</v>
      </c>
      <c r="J34" s="411"/>
      <c r="K34" s="39">
        <f>IF(SUBTOTAL(9,K21:K25)-SUBTOTAL(9,K26:K32)&gt;=0,0,ABS(SUBTOTAL(9,K21:K25)-SUBTOTAL(9,K26:K32)))</f>
        <v>0</v>
      </c>
      <c r="L34" s="42">
        <f>IF(SUBTOTAL(9,L21:L25)-SUBTOTAL(9,L26:L32)&gt;=0,0,ABS(SUBTOTAL(9,L21:L25)-SUBTOTAL(9,L26:L32)))</f>
        <v>15360</v>
      </c>
      <c r="P34" s="35"/>
    </row>
    <row r="35" spans="2:16" ht="23.25" customHeight="1">
      <c r="B35" s="54" t="n">
        <v>298</v>
      </c>
      <c r="C35" s="64" t="str">
        <f>VLOOKUP($B35,T_Aop[],5,1)</f>
        <v>B
I</v>
      </c>
      <c r="D35" s="530" t="str">
        <f>VLOOKUP($B35,T_Aop[],6,1)</f>
        <v>TOKOVI GOTOVINE IZ AKTIVNOSTI INVESTIRANJA
Prilivi gotovine iz aktivnosti investiranja (516 do 530)</v>
      </c>
      <c r="E35" s="530"/>
      <c r="F35" s="530"/>
      <c r="G35" s="530"/>
      <c r="H35" s="530"/>
      <c r="I35" s="133">
        <f>VLOOKUP($B35,T_Aop[],4,1)</f>
        <v>515</v>
      </c>
      <c r="J35" s="412"/>
      <c r="K35" s="40">
        <f>SUBTOTAL(9,K36:K50)</f>
        <v>0</v>
      </c>
      <c r="L35" s="41">
        <f>SUBTOTAL(9,L36:L50)</f>
        <v>0</v>
      </c>
      <c r="P35" s="35"/>
    </row>
    <row r="36" spans="2:16" ht="21" customHeight="1">
      <c r="B36" s="54" t="n">
        <v>299</v>
      </c>
      <c r="C36" s="62" t="str">
        <f>VLOOKUP($B36,T_Aop[],5,1)</f>
        <v>1</v>
      </c>
      <c r="D36" s="517" t="str">
        <f>VLOOKUP($B36,T_Aop[],6,1)</f>
        <v>    Prilivi gotovine po osnovu prodaje akcija i udjela zavisnih i pridruženih društava i zajedničkih poduhvata</v>
      </c>
      <c r="E36" s="517"/>
      <c r="F36" s="517"/>
      <c r="G36" s="517"/>
      <c r="H36" s="517"/>
      <c r="I36" s="63">
        <f>VLOOKUP($B36,T_Aop[],4,1)</f>
        <v>516</v>
      </c>
      <c r="J36" s="411"/>
      <c r="K36" s="120"/>
      <c r="L36" s="121"/>
      <c r="P36" s="35"/>
    </row>
    <row r="37" spans="2:16" ht="12" customHeight="1">
      <c r="B37" s="54" t="n">
        <v>300</v>
      </c>
      <c r="C37" s="64" t="str">
        <f>VLOOKUP($B37,T_Aop[],5,1)</f>
        <v>2</v>
      </c>
      <c r="D37" s="516" t="str">
        <f>VLOOKUP($B37,T_Aop[],6,1)</f>
        <v>    Prilivi po osnovu prodaje nekretnina, postrojenja i opreme</v>
      </c>
      <c r="E37" s="516"/>
      <c r="F37" s="516"/>
      <c r="G37" s="516"/>
      <c r="H37" s="516"/>
      <c r="I37" s="65">
        <f>VLOOKUP($B37,T_Aop[],4,1)</f>
        <v>517</v>
      </c>
      <c r="J37" s="412"/>
      <c r="K37" s="122"/>
      <c r="L37" s="123"/>
      <c r="P37" s="35"/>
    </row>
    <row r="38" spans="2:16" ht="12" customHeight="1">
      <c r="B38" s="54" t="n">
        <v>301</v>
      </c>
      <c r="C38" s="62" t="str">
        <f>VLOOKUP($B38,T_Aop[],5,1)</f>
        <v>3</v>
      </c>
      <c r="D38" s="517" t="str">
        <f>VLOOKUP($B38,T_Aop[],6,1)</f>
        <v>    Prilivi po osnovu prodaje investicionih nekretnina</v>
      </c>
      <c r="E38" s="517"/>
      <c r="F38" s="517"/>
      <c r="G38" s="517"/>
      <c r="H38" s="517"/>
      <c r="I38" s="63">
        <f>VLOOKUP($B38,T_Aop[],4,1)</f>
        <v>518</v>
      </c>
      <c r="J38" s="411"/>
      <c r="K38" s="120"/>
      <c r="L38" s="121"/>
      <c r="P38" s="106" t="s">
        <v>69</v>
      </c>
    </row>
    <row r="39" spans="2:16" ht="12" customHeight="1">
      <c r="B39" s="54" t="n">
        <v>302</v>
      </c>
      <c r="C39" s="64" t="str">
        <f>VLOOKUP($B39,T_Aop[],5,1)</f>
        <v>4</v>
      </c>
      <c r="D39" s="516" t="str">
        <f>VLOOKUP($B39,T_Aop[],6,1)</f>
        <v>    Prilivi po osnovu prodaje bioloških sredstava</v>
      </c>
      <c r="E39" s="516"/>
      <c r="F39" s="516"/>
      <c r="G39" s="516"/>
      <c r="H39" s="516"/>
      <c r="I39" s="65">
        <f>VLOOKUP($B39,T_Aop[],4,1)</f>
        <v>519</v>
      </c>
      <c r="J39" s="412"/>
      <c r="K39" s="122"/>
      <c r="L39" s="123"/>
      <c r="P39" s="35"/>
    </row>
    <row r="40" spans="2:16" ht="12" customHeight="1">
      <c r="B40" s="54" t="n">
        <v>303</v>
      </c>
      <c r="C40" s="62" t="str">
        <f>VLOOKUP($B40,T_Aop[],5,1)</f>
        <v>5</v>
      </c>
      <c r="D40" s="517" t="str">
        <f>VLOOKUP($B40,T_Aop[],6,1)</f>
        <v>    Prilivi po osnovu prodaje nematerijalnih sredstava</v>
      </c>
      <c r="E40" s="517"/>
      <c r="F40" s="517"/>
      <c r="G40" s="517"/>
      <c r="H40" s="517"/>
      <c r="I40" s="63">
        <f>VLOOKUP($B40,T_Aop[],4,1)</f>
        <v>520</v>
      </c>
      <c r="J40" s="411"/>
      <c r="K40" s="120"/>
      <c r="L40" s="121"/>
      <c r="P40" s="35"/>
    </row>
    <row r="41" spans="2:16" ht="12" customHeight="1">
      <c r="B41" s="54" t="n">
        <v>304</v>
      </c>
      <c r="C41" s="64" t="str">
        <f>VLOOKUP($B41,T_Aop[],5,1)</f>
        <v>6</v>
      </c>
      <c r="D41" s="516" t="str">
        <f>VLOOKUP($B41,T_Aop[],6,1)</f>
        <v>    Prilivi po osnovu prodaje stalnih sredstava namijenjenih prodaji</v>
      </c>
      <c r="E41" s="516"/>
      <c r="F41" s="516"/>
      <c r="G41" s="516"/>
      <c r="H41" s="516"/>
      <c r="I41" s="65">
        <f>VLOOKUP($B41,T_Aop[],4,1)</f>
        <v>521</v>
      </c>
      <c r="J41" s="412"/>
      <c r="K41" s="122"/>
      <c r="L41" s="123"/>
      <c r="P41" s="35"/>
    </row>
    <row r="42" spans="2:16" ht="12" customHeight="1">
      <c r="B42" s="54" t="n">
        <v>305</v>
      </c>
      <c r="C42" s="62" t="str">
        <f>VLOOKUP($B42,T_Aop[],5,1)</f>
        <v>7</v>
      </c>
      <c r="D42" s="517" t="str">
        <f>VLOOKUP($B42,T_Aop[],6,1)</f>
        <v>    Prilivi od finansijskih sredstava po fer vrijednosti kroz ostali ukupni rezultat</v>
      </c>
      <c r="E42" s="517"/>
      <c r="F42" s="517"/>
      <c r="G42" s="517"/>
      <c r="H42" s="517"/>
      <c r="I42" s="63">
        <f>VLOOKUP($B42,T_Aop[],4,1)</f>
        <v>522</v>
      </c>
      <c r="J42" s="411"/>
      <c r="K42" s="120"/>
      <c r="L42" s="121"/>
      <c r="P42" s="35"/>
    </row>
    <row r="43" spans="2:16" ht="12" customHeight="1">
      <c r="B43" s="54" t="n">
        <v>306</v>
      </c>
      <c r="C43" s="64" t="str">
        <f>VLOOKUP($B43,T_Aop[],5,1)</f>
        <v>8</v>
      </c>
      <c r="D43" s="516" t="str">
        <f>VLOOKUP($B43,T_Aop[],6,1)</f>
        <v>    Prilivi od finansijskih sredstva po fer vrijednosti kroz bilans uspjeha</v>
      </c>
      <c r="E43" s="516"/>
      <c r="F43" s="516"/>
      <c r="G43" s="516"/>
      <c r="H43" s="516"/>
      <c r="I43" s="65">
        <f>VLOOKUP($B43,T_Aop[],4,1)</f>
        <v>523</v>
      </c>
      <c r="J43" s="412"/>
      <c r="K43" s="122"/>
      <c r="L43" s="123"/>
      <c r="P43" s="35"/>
    </row>
    <row r="44" spans="2:16" ht="12" customHeight="1">
      <c r="B44" s="54" t="n">
        <v>307</v>
      </c>
      <c r="C44" s="62" t="str">
        <f>VLOOKUP($B44,T_Aop[],5,1)</f>
        <v>9</v>
      </c>
      <c r="D44" s="517" t="str">
        <f>VLOOKUP($B44,T_Aop[],6,1)</f>
        <v>    Prilivi od ostalih finansijskih sredstava po amortizovanoj vrijednosti</v>
      </c>
      <c r="E44" s="517"/>
      <c r="F44" s="517"/>
      <c r="G44" s="517"/>
      <c r="H44" s="517"/>
      <c r="I44" s="63">
        <f>VLOOKUP($B44,T_Aop[],4,1)</f>
        <v>524</v>
      </c>
      <c r="J44" s="411"/>
      <c r="K44" s="120"/>
      <c r="L44" s="121"/>
      <c r="P44" s="35"/>
    </row>
    <row r="45" spans="2:16" ht="12" customHeight="1">
      <c r="B45" s="54" t="n">
        <v>308</v>
      </c>
      <c r="C45" s="64" t="str">
        <f>VLOOKUP($B45,T_Aop[],5,1)</f>
        <v>10</v>
      </c>
      <c r="D45" s="516" t="str">
        <f>VLOOKUP($B45,T_Aop[],6,1)</f>
        <v>    Prilivi po osnovu lizinga (glavnica)</v>
      </c>
      <c r="E45" s="516"/>
      <c r="F45" s="516"/>
      <c r="G45" s="516"/>
      <c r="H45" s="516"/>
      <c r="I45" s="65">
        <f>VLOOKUP($B45,T_Aop[],4,1)</f>
        <v>525</v>
      </c>
      <c r="J45" s="412"/>
      <c r="K45" s="122"/>
      <c r="L45" s="123"/>
      <c r="P45" s="106" t="s">
        <v>69</v>
      </c>
    </row>
    <row r="46" spans="2:16" ht="12" customHeight="1">
      <c r="B46" s="54" t="n">
        <v>309</v>
      </c>
      <c r="C46" s="62" t="str">
        <f>VLOOKUP($B46,T_Aop[],5,1)</f>
        <v>11</v>
      </c>
      <c r="D46" s="517" t="str">
        <f>VLOOKUP($B46,T_Aop[],6,1)</f>
        <v>    Prilivi po osnovu lizinga (kamata)</v>
      </c>
      <c r="E46" s="517"/>
      <c r="F46" s="517"/>
      <c r="G46" s="517"/>
      <c r="H46" s="517"/>
      <c r="I46" s="63">
        <f>VLOOKUP($B46,T_Aop[],4,1)</f>
        <v>526</v>
      </c>
      <c r="J46" s="411"/>
      <c r="K46" s="120"/>
      <c r="L46" s="121"/>
      <c r="P46" s="35"/>
    </row>
    <row r="47" spans="2:16" ht="12" customHeight="1">
      <c r="B47" s="54" t="n">
        <v>310</v>
      </c>
      <c r="C47" s="64" t="str">
        <f>VLOOKUP($B47,T_Aop[],5,1)</f>
        <v>12</v>
      </c>
      <c r="D47" s="516" t="str">
        <f>VLOOKUP($B47,T_Aop[],6,1)</f>
        <v>    Prilivi po osnovu kamata</v>
      </c>
      <c r="E47" s="516"/>
      <c r="F47" s="516"/>
      <c r="G47" s="516"/>
      <c r="H47" s="516"/>
      <c r="I47" s="65">
        <f>VLOOKUP($B47,T_Aop[],4,1)</f>
        <v>527</v>
      </c>
      <c r="J47" s="412"/>
      <c r="K47" s="122"/>
      <c r="L47" s="123"/>
      <c r="P47" s="35"/>
    </row>
    <row r="48" spans="2:16" ht="12" customHeight="1">
      <c r="B48" s="54" t="n">
        <v>311</v>
      </c>
      <c r="C48" s="62" t="str">
        <f>VLOOKUP($B48,T_Aop[],5,1)</f>
        <v>13</v>
      </c>
      <c r="D48" s="517" t="str">
        <f>VLOOKUP($B48,T_Aop[],6,1)</f>
        <v>    Prilivi od dividendi i učešća u dobiti</v>
      </c>
      <c r="E48" s="517"/>
      <c r="F48" s="517"/>
      <c r="G48" s="517"/>
      <c r="H48" s="517"/>
      <c r="I48" s="63">
        <f>VLOOKUP($B48,T_Aop[],4,1)</f>
        <v>528</v>
      </c>
      <c r="J48" s="411"/>
      <c r="K48" s="120"/>
      <c r="L48" s="121"/>
      <c r="P48" s="35"/>
    </row>
    <row r="49" spans="2:16" ht="12" customHeight="1">
      <c r="B49" s="54" t="n">
        <v>312</v>
      </c>
      <c r="C49" s="64" t="str">
        <f>VLOOKUP($B49,T_Aop[],5,1)</f>
        <v>14</v>
      </c>
      <c r="D49" s="516" t="str">
        <f>VLOOKUP($B49,T_Aop[],6,1)</f>
        <v>    Prilivi po osnovu derivatnih finansijskih instrumenata</v>
      </c>
      <c r="E49" s="516"/>
      <c r="F49" s="516"/>
      <c r="G49" s="516"/>
      <c r="H49" s="516"/>
      <c r="I49" s="65">
        <f>VLOOKUP($B49,T_Aop[],4,1)</f>
        <v>529</v>
      </c>
      <c r="J49" s="412"/>
      <c r="K49" s="122"/>
      <c r="L49" s="123"/>
      <c r="P49" s="35"/>
    </row>
    <row r="50" spans="2:16" ht="12" customHeight="1">
      <c r="B50" s="54" t="n">
        <v>313</v>
      </c>
      <c r="C50" s="62" t="str">
        <f>VLOOKUP($B50,T_Aop[],5,1)</f>
        <v>15</v>
      </c>
      <c r="D50" s="517" t="str">
        <f>VLOOKUP($B50,T_Aop[],6,1)</f>
        <v>    Ostali prilivi iz aktivnosti investiranja</v>
      </c>
      <c r="E50" s="517"/>
      <c r="F50" s="517"/>
      <c r="G50" s="517"/>
      <c r="H50" s="517"/>
      <c r="I50" s="63">
        <f>VLOOKUP($B50,T_Aop[],4,1)</f>
        <v>530</v>
      </c>
      <c r="J50" s="411"/>
      <c r="K50" s="120"/>
      <c r="L50" s="121"/>
      <c r="P50" s="35"/>
    </row>
    <row r="51" spans="2:16" ht="12" customHeight="1">
      <c r="B51" s="54" t="n">
        <v>314</v>
      </c>
      <c r="C51" s="64" t="str">
        <f>VLOOKUP($B51,T_Aop[],5,1)</f>
        <v>II</v>
      </c>
      <c r="D51" s="530" t="str">
        <f>VLOOKUP($B51,T_Aop[],6,1)</f>
        <v>  Odlivi gotovine iz aktivnosti investiranja (532 do 541)</v>
      </c>
      <c r="E51" s="530"/>
      <c r="F51" s="530"/>
      <c r="G51" s="530"/>
      <c r="H51" s="530"/>
      <c r="I51" s="133">
        <f>VLOOKUP($B51,T_Aop[],4,1)</f>
        <v>531</v>
      </c>
      <c r="J51" s="412"/>
      <c r="K51" s="40">
        <f>SUBTOTAL(9,K52:K61)</f>
        <v>0</v>
      </c>
      <c r="L51" s="41">
        <f>SUBTOTAL(9,L52:L61)</f>
        <v>0</v>
      </c>
      <c r="P51" s="35"/>
    </row>
    <row r="52" spans="2:16" ht="23.25" customHeight="1">
      <c r="B52" s="54" t="n">
        <v>315</v>
      </c>
      <c r="C52" s="62" t="str">
        <f>VLOOKUP($B52,T_Aop[],5,1)</f>
        <v>1</v>
      </c>
      <c r="D52" s="517" t="str">
        <f>VLOOKUP($B52,T_Aop[],6,1)</f>
        <v>    Odlivi gotovine po osnovu kupovine akcija i udjela zavisnih i pridruženih društava i zajedničkih poduhvata</v>
      </c>
      <c r="E52" s="517"/>
      <c r="F52" s="517"/>
      <c r="G52" s="517"/>
      <c r="H52" s="517"/>
      <c r="I52" s="63">
        <f>VLOOKUP($B52,T_Aop[],4,1)</f>
        <v>532</v>
      </c>
      <c r="J52" s="411"/>
      <c r="K52" s="120"/>
      <c r="L52" s="121"/>
      <c r="P52" s="35"/>
    </row>
    <row r="53" spans="2:16" ht="12" customHeight="1">
      <c r="B53" s="54" t="n">
        <v>316</v>
      </c>
      <c r="C53" s="64" t="str">
        <f>VLOOKUP($B53,T_Aop[],5,1)</f>
        <v>2</v>
      </c>
      <c r="D53" s="516" t="str">
        <f>VLOOKUP($B53,T_Aop[],6,1)</f>
        <v>    Odlivi po osnovu kupovine nekretnina, postrojenja i opreme</v>
      </c>
      <c r="E53" s="516"/>
      <c r="F53" s="516"/>
      <c r="G53" s="516"/>
      <c r="H53" s="516"/>
      <c r="I53" s="65">
        <f>VLOOKUP($B53,T_Aop[],4,1)</f>
        <v>533</v>
      </c>
      <c r="J53" s="412"/>
      <c r="K53" s="122"/>
      <c r="L53" s="123"/>
      <c r="P53" s="35"/>
    </row>
    <row r="54" spans="2:16" ht="12" customHeight="1">
      <c r="B54" s="54" t="n">
        <v>317</v>
      </c>
      <c r="C54" s="62" t="str">
        <f>VLOOKUP($B54,T_Aop[],5,1)</f>
        <v>3</v>
      </c>
      <c r="D54" s="517" t="str">
        <f>VLOOKUP($B54,T_Aop[],6,1)</f>
        <v>    Odlivi po osnovu kupovine investicionih nekretnina</v>
      </c>
      <c r="E54" s="517"/>
      <c r="F54" s="517"/>
      <c r="G54" s="517"/>
      <c r="H54" s="517"/>
      <c r="I54" s="63">
        <f>VLOOKUP($B54,T_Aop[],4,1)</f>
        <v>534</v>
      </c>
      <c r="J54" s="411"/>
      <c r="K54" s="120"/>
      <c r="L54" s="121"/>
      <c r="P54" s="35"/>
    </row>
    <row r="55" spans="2:16" ht="12" customHeight="1">
      <c r="B55" s="54" t="n">
        <v>318</v>
      </c>
      <c r="C55" s="64" t="str">
        <f>VLOOKUP($B55,T_Aop[],5,1)</f>
        <v>4</v>
      </c>
      <c r="D55" s="516" t="str">
        <f>VLOOKUP($B55,T_Aop[],6,1)</f>
        <v>    Odlivi po osnovu kupovine bioloških sredstava</v>
      </c>
      <c r="E55" s="516"/>
      <c r="F55" s="516"/>
      <c r="G55" s="516"/>
      <c r="H55" s="516"/>
      <c r="I55" s="65">
        <f>VLOOKUP($B55,T_Aop[],4,1)</f>
        <v>535</v>
      </c>
      <c r="J55" s="412"/>
      <c r="K55" s="122"/>
      <c r="L55" s="123"/>
      <c r="P55" s="35"/>
    </row>
    <row r="56" spans="2:16" ht="12" customHeight="1">
      <c r="B56" s="54" t="n">
        <v>319</v>
      </c>
      <c r="C56" s="62" t="str">
        <f>VLOOKUP($B56,T_Aop[],5,1)</f>
        <v>5</v>
      </c>
      <c r="D56" s="517" t="str">
        <f>VLOOKUP($B56,T_Aop[],6,1)</f>
        <v>    Odlivi po osnovu kupovine nematerijalnih sredstava</v>
      </c>
      <c r="E56" s="517"/>
      <c r="F56" s="517"/>
      <c r="G56" s="517"/>
      <c r="H56" s="517"/>
      <c r="I56" s="63">
        <f>VLOOKUP($B56,T_Aop[],4,1)</f>
        <v>536</v>
      </c>
      <c r="J56" s="411"/>
      <c r="K56" s="120"/>
      <c r="L56" s="121"/>
      <c r="P56" s="35"/>
    </row>
    <row r="57" spans="2:16" ht="12" customHeight="1">
      <c r="B57" s="54" t="n">
        <v>320</v>
      </c>
      <c r="C57" s="64" t="str">
        <f>VLOOKUP($B57,T_Aop[],5,1)</f>
        <v>6</v>
      </c>
      <c r="D57" s="516" t="str">
        <f>VLOOKUP($B57,T_Aop[],6,1)</f>
        <v>    Odlivi po osnovu finansijskih sredstava po fer vrijednosti kroz ostali ukupni rezultat</v>
      </c>
      <c r="E57" s="516"/>
      <c r="F57" s="516"/>
      <c r="G57" s="516"/>
      <c r="H57" s="516"/>
      <c r="I57" s="65">
        <f>VLOOKUP($B57,T_Aop[],4,1)</f>
        <v>537</v>
      </c>
      <c r="J57" s="412"/>
      <c r="K57" s="122"/>
      <c r="L57" s="123"/>
      <c r="P57" s="35"/>
    </row>
    <row r="58" spans="2:16" ht="12" customHeight="1">
      <c r="B58" s="54" t="n">
        <v>321</v>
      </c>
      <c r="C58" s="62" t="str">
        <f>VLOOKUP($B58,T_Aop[],5,1)</f>
        <v>7</v>
      </c>
      <c r="D58" s="517" t="str">
        <f>VLOOKUP($B58,T_Aop[],6,1)</f>
        <v>    Odlivi po osnovu finansijskih sredstva po fer vrijednosti kroz bilans uspjeha</v>
      </c>
      <c r="E58" s="517"/>
      <c r="F58" s="517"/>
      <c r="G58" s="517"/>
      <c r="H58" s="517"/>
      <c r="I58" s="63">
        <f>VLOOKUP($B58,T_Aop[],4,1)</f>
        <v>538</v>
      </c>
      <c r="J58" s="411"/>
      <c r="K58" s="120"/>
      <c r="L58" s="121"/>
      <c r="P58" s="35"/>
    </row>
    <row r="59" spans="2:16" ht="12" customHeight="1">
      <c r="B59" s="54" t="n">
        <v>322</v>
      </c>
      <c r="C59" s="64" t="str">
        <f>VLOOKUP($B59,T_Aop[],5,1)</f>
        <v>8</v>
      </c>
      <c r="D59" s="516" t="str">
        <f>VLOOKUP($B59,T_Aop[],6,1)</f>
        <v>    Odlivi po osnovu ostalih finansijskih sredstava po amortizovanoj vrijednosti</v>
      </c>
      <c r="E59" s="516"/>
      <c r="F59" s="516"/>
      <c r="G59" s="516"/>
      <c r="H59" s="516"/>
      <c r="I59" s="65">
        <f>VLOOKUP($B59,T_Aop[],4,1)</f>
        <v>539</v>
      </c>
      <c r="J59" s="412"/>
      <c r="K59" s="122"/>
      <c r="L59" s="123"/>
      <c r="P59" s="35"/>
    </row>
    <row r="60" spans="2:16" ht="12" customHeight="1">
      <c r="B60" s="54" t="n">
        <v>323</v>
      </c>
      <c r="C60" s="62" t="str">
        <f>VLOOKUP($B60,T_Aop[],5,1)</f>
        <v>9</v>
      </c>
      <c r="D60" s="517" t="str">
        <f>VLOOKUP($B60,T_Aop[],6,1)</f>
        <v>    Odlivi po osnovu derivatnih finansijskih instrumenata</v>
      </c>
      <c r="E60" s="517"/>
      <c r="F60" s="517"/>
      <c r="G60" s="517"/>
      <c r="H60" s="517"/>
      <c r="I60" s="63">
        <f>VLOOKUP($B60,T_Aop[],4,1)</f>
        <v>540</v>
      </c>
      <c r="J60" s="411"/>
      <c r="K60" s="120"/>
      <c r="L60" s="121"/>
      <c r="P60" s="35"/>
    </row>
    <row r="61" spans="2:16" ht="12" customHeight="1">
      <c r="B61" s="54" t="n">
        <v>324</v>
      </c>
      <c r="C61" s="64" t="str">
        <f>VLOOKUP($B61,T_Aop[],5,1)</f>
        <v>10</v>
      </c>
      <c r="D61" s="516" t="str">
        <f>VLOOKUP($B61,T_Aop[],6,1)</f>
        <v>    Ostali odlivi iz aktivnosti investiranja</v>
      </c>
      <c r="E61" s="516"/>
      <c r="F61" s="516"/>
      <c r="G61" s="516"/>
      <c r="H61" s="516"/>
      <c r="I61" s="65">
        <f>VLOOKUP($B61,T_Aop[],4,1)</f>
        <v>541</v>
      </c>
      <c r="J61" s="412"/>
      <c r="K61" s="122"/>
      <c r="L61" s="123"/>
      <c r="P61" s="35"/>
    </row>
    <row r="62" spans="2:16">
      <c r="B62" s="54" t="n">
        <v>325</v>
      </c>
      <c r="C62" s="62" t="str">
        <f>VLOOKUP($B62,T_Aop[],5,1)</f>
        <v>III</v>
      </c>
      <c r="D62" s="529" t="str">
        <f>VLOOKUP($B62,T_Aop[],6,1)</f>
        <v>  Neto priliv gotovine iz aktivnosti investiranja (515-531)</v>
      </c>
      <c r="E62" s="529"/>
      <c r="F62" s="529"/>
      <c r="G62" s="529"/>
      <c r="H62" s="529"/>
      <c r="I62" s="134">
        <f>VLOOKUP($B62,T_Aop[],4,1)</f>
        <v>542</v>
      </c>
      <c r="J62" s="411"/>
      <c r="K62" s="39">
        <f>IF(SUBTOTAL(9,K35:K50)-SUBTOTAL(9,K51:K61)&lt;=0,0,ABS(SUBTOTAL(9,K35:K50)-SUBTOTAL(9,K51:K61)))</f>
        <v>0</v>
      </c>
      <c r="L62" s="42">
        <f>IF(SUBTOTAL(9,L35:L50)-SUBTOTAL(9,L51:L61)&lt;=0,0,ABS(SUBTOTAL(9,L35:L50)-SUBTOTAL(9,L51:L61)))</f>
        <v>0</v>
      </c>
      <c r="P62" s="35"/>
    </row>
    <row r="63" spans="2:16">
      <c r="B63" s="54" t="n">
        <v>326</v>
      </c>
      <c r="C63" s="64" t="str">
        <f>VLOOKUP($B63,T_Aop[],5,1)</f>
        <v>IV</v>
      </c>
      <c r="D63" s="530" t="str">
        <f>VLOOKUP($B63,T_Aop[],6,1)</f>
        <v>  Neto odliv gotovine iz aktivnosti investiranja (531 – 515)</v>
      </c>
      <c r="E63" s="530"/>
      <c r="F63" s="530"/>
      <c r="G63" s="530"/>
      <c r="H63" s="530"/>
      <c r="I63" s="133">
        <f>VLOOKUP($B63,T_Aop[],4,1)</f>
        <v>543</v>
      </c>
      <c r="J63" s="412"/>
      <c r="K63" s="40">
        <f>IF(SUBTOTAL(9,K35:K50)-SUBTOTAL(9,K51:K61)&gt;=0,0,ABS(SUBTOTAL(9,K35:K50)-SUBTOTAL(9,K51:K61)))</f>
        <v>0</v>
      </c>
      <c r="L63" s="41">
        <f>IF(SUBTOTAL(9,L35:L50)-SUBTOTAL(9,L51:L61)&gt;=0,0,ABS(SUBTOTAL(9,L35:L50)-SUBTOTAL(9,L51:L61)))</f>
        <v>0</v>
      </c>
      <c r="P63" s="35"/>
    </row>
    <row r="64" spans="2:16" ht="22.50" customHeight="1">
      <c r="B64" s="54" t="n">
        <v>327</v>
      </c>
      <c r="C64" s="62" t="str">
        <f>VLOOKUP($B64,T_Aop[],5,1)</f>
        <v>B
I</v>
      </c>
      <c r="D64" s="529" t="str">
        <f>VLOOKUP($B64,T_Aop[],6,1)</f>
        <v>TOKOVI GOTOVINE IZ AKTIVNOSTI FINANSIRANJA
Prilivi gotovine iz aktivnosti finansiranja (545 do 550)</v>
      </c>
      <c r="E64" s="529"/>
      <c r="F64" s="529"/>
      <c r="G64" s="529"/>
      <c r="H64" s="529"/>
      <c r="I64" s="134">
        <f>VLOOKUP($B64,T_Aop[],4,1)</f>
        <v>544</v>
      </c>
      <c r="J64" s="411"/>
      <c r="K64" s="39">
        <f>SUBTOTAL(9,K65:K70)</f>
        <v>0</v>
      </c>
      <c r="L64" s="42">
        <f>SUBTOTAL(9,L65:L70)</f>
        <v>0</v>
      </c>
      <c r="P64" s="35"/>
    </row>
    <row r="65" spans="2:16" ht="12" customHeight="1">
      <c r="B65" s="54" t="n">
        <v>328</v>
      </c>
      <c r="C65" s="64" t="str">
        <f>VLOOKUP($B65,T_Aop[],5,1)</f>
        <v>1</v>
      </c>
      <c r="D65" s="516" t="str">
        <f>VLOOKUP($B65,T_Aop[],6,1)</f>
        <v>    Prilivi po osnovu povećanja osnovnog kapitala</v>
      </c>
      <c r="E65" s="516"/>
      <c r="F65" s="516"/>
      <c r="G65" s="516"/>
      <c r="H65" s="516"/>
      <c r="I65" s="65">
        <f>VLOOKUP($B65,T_Aop[],4,1)</f>
        <v>545</v>
      </c>
      <c r="J65" s="412"/>
      <c r="K65" s="122"/>
      <c r="L65" s="123"/>
      <c r="P65" s="35"/>
    </row>
    <row r="66" spans="2:16" ht="12" customHeight="1">
      <c r="B66" s="54" t="n">
        <v>329</v>
      </c>
      <c r="C66" s="62" t="str">
        <f>VLOOKUP($B66,T_Aop[],5,1)</f>
        <v>2</v>
      </c>
      <c r="D66" s="517" t="str">
        <f>VLOOKUP($B66,T_Aop[],6,1)</f>
        <v>    Prilivi od prodaje otkupljenih sopstvenih akcija</v>
      </c>
      <c r="E66" s="517"/>
      <c r="F66" s="517"/>
      <c r="G66" s="517"/>
      <c r="H66" s="517"/>
      <c r="I66" s="63">
        <f>VLOOKUP($B66,T_Aop[],4,1)</f>
        <v>546</v>
      </c>
      <c r="J66" s="411"/>
      <c r="K66" s="120"/>
      <c r="L66" s="121"/>
      <c r="P66" s="35"/>
    </row>
    <row r="67" spans="2:16" ht="12" customHeight="1">
      <c r="B67" s="54" t="n">
        <v>330</v>
      </c>
      <c r="C67" s="64" t="str">
        <f>VLOOKUP($B67,T_Aop[],5,1)</f>
        <v>3</v>
      </c>
      <c r="D67" s="516" t="str">
        <f>VLOOKUP($B67,T_Aop[],6,1)</f>
        <v>    Prilivi po osnovu dugoročnih kredita</v>
      </c>
      <c r="E67" s="516"/>
      <c r="F67" s="516"/>
      <c r="G67" s="516"/>
      <c r="H67" s="516"/>
      <c r="I67" s="65">
        <f>VLOOKUP($B67,T_Aop[],4,1)</f>
        <v>547</v>
      </c>
      <c r="J67" s="412"/>
      <c r="K67" s="122"/>
      <c r="L67" s="123"/>
      <c r="P67" s="35"/>
    </row>
    <row r="68" spans="2:16" ht="12" customHeight="1">
      <c r="B68" s="54" t="n">
        <v>331</v>
      </c>
      <c r="C68" s="62" t="str">
        <f>VLOOKUP($B68,T_Aop[],5,1)</f>
        <v>4</v>
      </c>
      <c r="D68" s="517" t="str">
        <f>VLOOKUP($B68,T_Aop[],6,1)</f>
        <v>    Prilivi po osnovu kratkoročnih kredita</v>
      </c>
      <c r="E68" s="517"/>
      <c r="F68" s="517"/>
      <c r="G68" s="517"/>
      <c r="H68" s="517"/>
      <c r="I68" s="63">
        <f>VLOOKUP($B68,T_Aop[],4,1)</f>
        <v>548</v>
      </c>
      <c r="J68" s="411"/>
      <c r="K68" s="120"/>
      <c r="L68" s="121"/>
      <c r="P68" s="35"/>
    </row>
    <row r="69" spans="2:16" ht="12" customHeight="1">
      <c r="B69" s="54" t="n">
        <v>332</v>
      </c>
      <c r="C69" s="64" t="str">
        <f>VLOOKUP($B69,T_Aop[],5,1)</f>
        <v>5</v>
      </c>
      <c r="D69" s="516" t="str">
        <f>VLOOKUP($B69,T_Aop[],6,1)</f>
        <v>    Prilivi po osnovu izdatih dužničkih instrumenta</v>
      </c>
      <c r="E69" s="516"/>
      <c r="F69" s="516"/>
      <c r="G69" s="516"/>
      <c r="H69" s="516"/>
      <c r="I69" s="65">
        <f>VLOOKUP($B69,T_Aop[],4,1)</f>
        <v>549</v>
      </c>
      <c r="J69" s="412"/>
      <c r="K69" s="122"/>
      <c r="L69" s="123"/>
      <c r="P69" s="35"/>
    </row>
    <row r="70" spans="2:16" ht="12" customHeight="1">
      <c r="B70" s="54" t="n">
        <v>333</v>
      </c>
      <c r="C70" s="62" t="str">
        <f>VLOOKUP($B70,T_Aop[],5,1)</f>
        <v>6</v>
      </c>
      <c r="D70" s="517" t="str">
        <f>VLOOKUP($B70,T_Aop[],6,1)</f>
        <v>    Ostali prilivi iz aktivnosti finansiranja </v>
      </c>
      <c r="E70" s="517"/>
      <c r="F70" s="517"/>
      <c r="G70" s="517"/>
      <c r="H70" s="517"/>
      <c r="I70" s="63">
        <f>VLOOKUP($B70,T_Aop[],4,1)</f>
        <v>550</v>
      </c>
      <c r="J70" s="411"/>
      <c r="K70" s="120"/>
      <c r="L70" s="121"/>
      <c r="P70" s="35"/>
    </row>
    <row r="71" spans="2:16" ht="12" customHeight="1">
      <c r="B71" s="54" t="n">
        <v>334</v>
      </c>
      <c r="C71" s="64" t="str">
        <f>VLOOKUP($B71,T_Aop[],5,1)</f>
        <v>II</v>
      </c>
      <c r="D71" s="516" t="str">
        <f>VLOOKUP($B71,T_Aop[],6,1)</f>
        <v>    Odlivi gotovine iz aktivnosti finansiranja (552 do 558)</v>
      </c>
      <c r="E71" s="516"/>
      <c r="F71" s="516"/>
      <c r="G71" s="516"/>
      <c r="H71" s="516"/>
      <c r="I71" s="65">
        <f>VLOOKUP($B71,T_Aop[],4,1)</f>
        <v>551</v>
      </c>
      <c r="J71" s="412"/>
      <c r="K71" s="118">
        <f>SUBTOTAL(9,K72:K78)</f>
        <v>84356</v>
      </c>
      <c r="L71" s="348">
        <f>SUBTOTAL(9,L72:L78)</f>
        <v>75944</v>
      </c>
      <c r="P71" s="35"/>
    </row>
    <row r="72" spans="2:16" ht="12" customHeight="1">
      <c r="B72" s="54" t="n">
        <v>335</v>
      </c>
      <c r="C72" s="62" t="str">
        <f>VLOOKUP($B72,T_Aop[],5,1)</f>
        <v>1</v>
      </c>
      <c r="D72" s="517" t="str">
        <f>VLOOKUP($B72,T_Aop[],6,1)</f>
        <v>    Odlivi po osnovu otkupa sopstvenih akcija i udjela</v>
      </c>
      <c r="E72" s="517"/>
      <c r="F72" s="517"/>
      <c r="G72" s="517"/>
      <c r="H72" s="517"/>
      <c r="I72" s="63">
        <f>VLOOKUP($B72,T_Aop[],4,1)</f>
        <v>552</v>
      </c>
      <c r="J72" s="411"/>
      <c r="K72" s="120"/>
      <c r="L72" s="121"/>
      <c r="P72" s="35"/>
    </row>
    <row r="73" spans="2:16" ht="12" customHeight="1">
      <c r="B73" s="54" t="n">
        <v>336</v>
      </c>
      <c r="C73" s="64" t="str">
        <f>VLOOKUP($B73,T_Aop[],5,1)</f>
        <v>2</v>
      </c>
      <c r="D73" s="516" t="str">
        <f>VLOOKUP($B73,T_Aop[],6,1)</f>
        <v>    Odlivi po osnovu dugoročnih kredita </v>
      </c>
      <c r="E73" s="516"/>
      <c r="F73" s="516"/>
      <c r="G73" s="516"/>
      <c r="H73" s="516"/>
      <c r="I73" s="65">
        <f>VLOOKUP($B73,T_Aop[],4,1)</f>
        <v>553</v>
      </c>
      <c r="J73" s="412"/>
      <c r="K73" s="122" t="n">
        <v>84356</v>
      </c>
      <c r="L73" s="123" t="n">
        <v>75944</v>
      </c>
      <c r="P73" s="35"/>
    </row>
    <row r="74" spans="2:16" ht="12" customHeight="1">
      <c r="B74" s="54" t="n">
        <v>337</v>
      </c>
      <c r="C74" s="62" t="str">
        <f>VLOOKUP($B74,T_Aop[],5,1)</f>
        <v>3</v>
      </c>
      <c r="D74" s="517" t="str">
        <f>VLOOKUP($B74,T_Aop[],6,1)</f>
        <v>    Odlivi po osnovu kratkoročnih kredita </v>
      </c>
      <c r="E74" s="517"/>
      <c r="F74" s="517"/>
      <c r="G74" s="517"/>
      <c r="H74" s="517"/>
      <c r="I74" s="63">
        <f>VLOOKUP($B74,T_Aop[],4,1)</f>
        <v>554</v>
      </c>
      <c r="J74" s="411"/>
      <c r="K74" s="120"/>
      <c r="L74" s="121"/>
      <c r="P74" s="35"/>
    </row>
    <row r="75" spans="2:16" ht="12" customHeight="1">
      <c r="B75" s="54" t="n">
        <v>338</v>
      </c>
      <c r="C75" s="64" t="str">
        <f>VLOOKUP($B75,T_Aop[],5,1)</f>
        <v>4</v>
      </c>
      <c r="D75" s="516" t="str">
        <f>VLOOKUP($B75,T_Aop[],6,1)</f>
        <v>    Odlivi po osnovu lizinga </v>
      </c>
      <c r="E75" s="516"/>
      <c r="F75" s="516"/>
      <c r="G75" s="516"/>
      <c r="H75" s="516"/>
      <c r="I75" s="65">
        <f>VLOOKUP($B75,T_Aop[],4,1)</f>
        <v>555</v>
      </c>
      <c r="J75" s="412"/>
      <c r="K75" s="122"/>
      <c r="L75" s="123"/>
      <c r="P75" s="35"/>
    </row>
    <row r="76" spans="2:16" ht="12" customHeight="1">
      <c r="B76" s="54" t="n">
        <v>339</v>
      </c>
      <c r="C76" s="62" t="str">
        <f>VLOOKUP($B76,T_Aop[],5,1)</f>
        <v>5</v>
      </c>
      <c r="D76" s="517" t="str">
        <f>VLOOKUP($B76,T_Aop[],6,1)</f>
        <v>    Odlivi po osnovu dužničkih instrumenata</v>
      </c>
      <c r="E76" s="517"/>
      <c r="F76" s="517"/>
      <c r="G76" s="517"/>
      <c r="H76" s="517"/>
      <c r="I76" s="63">
        <f>VLOOKUP($B76,T_Aop[],4,1)</f>
        <v>556</v>
      </c>
      <c r="J76" s="411"/>
      <c r="K76" s="120"/>
      <c r="L76" s="121"/>
      <c r="P76" s="35"/>
    </row>
    <row r="77" spans="2:16" ht="12" customHeight="1">
      <c r="B77" s="54" t="n">
        <v>340</v>
      </c>
      <c r="C77" s="64" t="str">
        <f>VLOOKUP($B77,T_Aop[],5,1)</f>
        <v>6</v>
      </c>
      <c r="D77" s="516" t="str">
        <f>VLOOKUP($B77,T_Aop[],6,1)</f>
        <v>    Odlivi po osnovu isplaćenih dividendi</v>
      </c>
      <c r="E77" s="516"/>
      <c r="F77" s="516"/>
      <c r="G77" s="516"/>
      <c r="H77" s="516"/>
      <c r="I77" s="65">
        <f>VLOOKUP($B77,T_Aop[],4,1)</f>
        <v>557</v>
      </c>
      <c r="J77" s="412"/>
      <c r="K77" s="122"/>
      <c r="L77" s="123"/>
      <c r="P77" s="35"/>
    </row>
    <row r="78" spans="2:16" ht="12" customHeight="1">
      <c r="B78" s="54" t="n">
        <v>341</v>
      </c>
      <c r="C78" s="62" t="str">
        <f>VLOOKUP($B78,T_Aop[],5,1)</f>
        <v>7</v>
      </c>
      <c r="D78" s="517" t="str">
        <f>VLOOKUP($B78,T_Aop[],6,1)</f>
        <v>    Ostali odlivi iz aktivnosti finansiranja</v>
      </c>
      <c r="E78" s="517"/>
      <c r="F78" s="517"/>
      <c r="G78" s="517"/>
      <c r="H78" s="517"/>
      <c r="I78" s="63">
        <f>VLOOKUP($B78,T_Aop[],4,1)</f>
        <v>558</v>
      </c>
      <c r="J78" s="411"/>
      <c r="K78" s="120"/>
      <c r="L78" s="121"/>
      <c r="P78" s="35"/>
    </row>
    <row r="79" spans="2:16" ht="12" customHeight="1">
      <c r="B79" s="54" t="n">
        <v>342</v>
      </c>
      <c r="C79" s="64" t="str">
        <f>VLOOKUP($B79,T_Aop[],5,1)</f>
        <v>III</v>
      </c>
      <c r="D79" s="530" t="str">
        <f>VLOOKUP($B79,T_Aop[],6,1)</f>
        <v>  Neto priliv gotovine iz aktivnosti finansiranja (544 – 551)</v>
      </c>
      <c r="E79" s="530"/>
      <c r="F79" s="530"/>
      <c r="G79" s="530"/>
      <c r="H79" s="530"/>
      <c r="I79" s="133">
        <f>VLOOKUP($B79,T_Aop[],4,1)</f>
        <v>559</v>
      </c>
      <c r="J79" s="412"/>
      <c r="K79" s="40">
        <f>IF(SUBTOTAL(9,K64:K70)-SUBTOTAL(9,K71:K78)&lt;=0,0,ABS(SUBTOTAL(9,K64:K70)-SUBTOTAL(9,K71:K78)))</f>
        <v>0</v>
      </c>
      <c r="L79" s="41">
        <f>IF(SUBTOTAL(9,L64:L70)-SUBTOTAL(9,L71:L78)&lt;=0,0,ABS(SUBTOTAL(9,L64:L70)-SUBTOTAL(9,L71:L78)))</f>
        <v>0</v>
      </c>
      <c r="P79" s="35"/>
    </row>
    <row r="80" spans="2:16" ht="12" customHeight="1">
      <c r="B80" s="54" t="n">
        <v>343</v>
      </c>
      <c r="C80" s="62" t="str">
        <f>VLOOKUP($B80,T_Aop[],5,1)</f>
        <v>IV</v>
      </c>
      <c r="D80" s="529" t="str">
        <f>VLOOKUP($B80,T_Aop[],6,1)</f>
        <v>  Neto odliv gotovine iz aktivnosti finansiranja (551 – 544) </v>
      </c>
      <c r="E80" s="529"/>
      <c r="F80" s="529"/>
      <c r="G80" s="529"/>
      <c r="H80" s="529"/>
      <c r="I80" s="134">
        <f>VLOOKUP($B80,T_Aop[],4,1)</f>
        <v>560</v>
      </c>
      <c r="J80" s="411"/>
      <c r="K80" s="39">
        <f>IF(SUBTOTAL(9,K64:K70)-SUBTOTAL(9,K71:K78)&gt;=0,0,ABS(SUBTOTAL(9,K64:K70)-SUBTOTAL(9,K71:K78)))</f>
        <v>84356</v>
      </c>
      <c r="L80" s="42">
        <f>IF(SUBTOTAL(9,L64:L70)-SUBTOTAL(9,L71:L78)&gt;=0,0,ABS(SUBTOTAL(9,L64:L70)-SUBTOTAL(9,L71:L78)))</f>
        <v>75944</v>
      </c>
      <c r="P80" s="35"/>
    </row>
    <row r="81" spans="2:16" ht="12.75" customHeight="1">
      <c r="B81" s="54" t="n">
        <v>344</v>
      </c>
      <c r="C81" s="64" t="str">
        <f>VLOOKUP($B81,T_Aop[],5,1)</f>
        <v>G</v>
      </c>
      <c r="D81" s="530" t="str">
        <f>VLOOKUP($B81,T_Aop[],6,1)</f>
        <v>UKUPNI PRILIVI GOTOVINE (501 + 515 + 544)</v>
      </c>
      <c r="E81" s="530"/>
      <c r="F81" s="530"/>
      <c r="G81" s="530"/>
      <c r="H81" s="530"/>
      <c r="I81" s="133">
        <f>VLOOKUP($B81,T_Aop[],4,1)</f>
        <v>561</v>
      </c>
      <c r="J81" s="412"/>
      <c r="K81" s="40">
        <f>SUBTOTAL(9,K21:K25,K35:K50,K64:K70)</f>
        <v>401004</v>
      </c>
      <c r="L81" s="41">
        <f>SUBTOTAL(9,L21:L25,L35:L50,L64:L70)</f>
        <v>251182</v>
      </c>
      <c r="P81" s="35"/>
    </row>
    <row r="82" spans="2:16" ht="12.75" customHeight="1">
      <c r="B82" s="54" t="n">
        <v>345</v>
      </c>
      <c r="C82" s="62" t="str">
        <f>VLOOKUP($B82,T_Aop[],5,1)</f>
        <v>D</v>
      </c>
      <c r="D82" s="529" t="str">
        <f>VLOOKUP($B82,T_Aop[],6,1)</f>
        <v>UKUPNI ODLIVI GOTOVINE (506 + 531 + 551)</v>
      </c>
      <c r="E82" s="529"/>
      <c r="F82" s="529"/>
      <c r="G82" s="529"/>
      <c r="H82" s="529"/>
      <c r="I82" s="134">
        <f>VLOOKUP($B82,T_Aop[],4,1)</f>
        <v>562</v>
      </c>
      <c r="J82" s="411"/>
      <c r="K82" s="39">
        <f>SUBTOTAL(9,K26:K32,K51:K61,K71:K78)</f>
        <v>415124</v>
      </c>
      <c r="L82" s="42">
        <f>SUBTOTAL(9,L26:L32,L51:L61,L71:L78)</f>
        <v>342486</v>
      </c>
      <c r="P82" s="35"/>
    </row>
    <row r="83" spans="2:16" ht="12.75" customHeight="1">
      <c r="B83" s="54" t="n">
        <v>346</v>
      </c>
      <c r="C83" s="64" t="str">
        <f>VLOOKUP($B83,T_Aop[],5,1)</f>
        <v>Đ</v>
      </c>
      <c r="D83" s="530" t="str">
        <f>VLOOKUP($B83,T_Aop[],6,1)</f>
        <v>NETO PRILIV GOTOVINE (561 – 562)</v>
      </c>
      <c r="E83" s="530"/>
      <c r="F83" s="530"/>
      <c r="G83" s="530"/>
      <c r="H83" s="530"/>
      <c r="I83" s="133">
        <f>VLOOKUP($B83,T_Aop[],4,1)</f>
        <v>563</v>
      </c>
      <c r="J83" s="412"/>
      <c r="K83" s="40">
        <f>IF(SUBTOTAL(9,K21:K25,K35:K50,K64:K70)-SUBTOTAL(9,K26:K32,K51:K61,K71:K78)&lt;=0,0,ABS(SUBTOTAL(9,K21:K25,K35:K50,K64:K70)-SUBTOTAL(9,K26:K32,K51:K61,K71:K78)))</f>
        <v>0</v>
      </c>
      <c r="L83" s="41">
        <f>IF(SUBTOTAL(9,L21:L25,L35:L50,L64:L70)-SUBTOTAL(9,L26:L32,L51:L61,L71:L78)&lt;=0,0,ABS(SUBTOTAL(9,L21:L25,L35:L50,L64:L70)-SUBTOTAL(9,L26:L32,L51:L61,L71:L78)))</f>
        <v>0</v>
      </c>
      <c r="P83" s="35"/>
    </row>
    <row r="84" spans="2:16" ht="12.75" customHeight="1">
      <c r="B84" s="54" t="n">
        <v>347</v>
      </c>
      <c r="C84" s="62" t="str">
        <f>VLOOKUP($B84,T_Aop[],5,1)</f>
        <v>E</v>
      </c>
      <c r="D84" s="529" t="str">
        <f>VLOOKUP($B84,T_Aop[],6,1)</f>
        <v>NETO ODLIV GOTOVINE (562 – 561)</v>
      </c>
      <c r="E84" s="529"/>
      <c r="F84" s="529"/>
      <c r="G84" s="529"/>
      <c r="H84" s="529"/>
      <c r="I84" s="134">
        <f>VLOOKUP($B84,T_Aop[],4,1)</f>
        <v>564</v>
      </c>
      <c r="J84" s="411"/>
      <c r="K84" s="39">
        <f>IF(SUBTOTAL(9,K21:K25,K35:K50,K64:K70)-SUBTOTAL(9,K26:K32,K51:K61,K71:K78)&gt;=0,0,ABS(SUBTOTAL(9,K21:K25,K35:K50,K64:K70)-SUBTOTAL(9,K26:K32,K51:K61,K71:K78)))</f>
        <v>14120</v>
      </c>
      <c r="L84" s="42">
        <f>IF(SUBTOTAL(9,L21:L25,L35:L50,L64:L70)-SUBTOTAL(9,L26:L32,L51:L61,L71:L78)&gt;=0,0,ABS(SUBTOTAL(9,L21:L25,L35:L50,L64:L70)-SUBTOTAL(9,L26:L32,L51:L61,L71:L78)))</f>
        <v>91304</v>
      </c>
      <c r="P84" s="35"/>
    </row>
    <row r="85" spans="2:16" ht="12.75" customHeight="1">
      <c r="B85" s="54" t="n">
        <v>348</v>
      </c>
      <c r="C85" s="64" t="str">
        <f>VLOOKUP($B85,T_Aop[],5,1)</f>
        <v>Ž</v>
      </c>
      <c r="D85" s="530" t="str">
        <f>VLOOKUP($B85,T_Aop[],6,1)</f>
        <v>GOTOVINA NA POČETKU OBRAČUNSKOG PERIODA </v>
      </c>
      <c r="E85" s="530"/>
      <c r="F85" s="530"/>
      <c r="G85" s="530"/>
      <c r="H85" s="530"/>
      <c r="I85" s="133">
        <f>VLOOKUP($B85,T_Aop[],4,1)</f>
        <v>565</v>
      </c>
      <c r="J85" s="389"/>
      <c r="K85" s="124" t="n">
        <v>23465</v>
      </c>
      <c r="L85" s="125" t="n">
        <v>99902</v>
      </c>
      <c r="P85" s="35"/>
    </row>
    <row r="86" spans="2:16" ht="12.75" customHeight="1">
      <c r="B86" s="54" t="n">
        <v>349</v>
      </c>
      <c r="C86" s="62" t="str">
        <f>VLOOKUP($B86,T_Aop[],5,1)</f>
        <v>Z</v>
      </c>
      <c r="D86" s="529" t="str">
        <f>VLOOKUP($B86,T_Aop[],6,1)</f>
        <v>POZITIVNE KURSNE RAZLIKE PO OSNOVU PRERAČUNA GOTOVINE</v>
      </c>
      <c r="E86" s="529"/>
      <c r="F86" s="529"/>
      <c r="G86" s="529"/>
      <c r="H86" s="529"/>
      <c r="I86" s="134">
        <f>VLOOKUP($B86,T_Aop[],4,1)</f>
        <v>566</v>
      </c>
      <c r="J86" s="390"/>
      <c r="K86" s="73"/>
      <c r="L86" s="74"/>
      <c r="P86" s="35"/>
    </row>
    <row r="87" spans="2:16" ht="12.75" customHeight="1">
      <c r="B87" s="54" t="n">
        <v>350</v>
      </c>
      <c r="C87" s="64" t="str">
        <f>VLOOKUP($B87,T_Aop[],5,1)</f>
        <v>I</v>
      </c>
      <c r="D87" s="530" t="str">
        <f>VLOOKUP($B87,T_Aop[],6,1)</f>
        <v>NEGATIVNE KURSNE RAZLIKE PO OSNOVU PRERAČUNA GOTOVINE</v>
      </c>
      <c r="E87" s="530"/>
      <c r="F87" s="530"/>
      <c r="G87" s="530"/>
      <c r="H87" s="530"/>
      <c r="I87" s="133">
        <f>VLOOKUP($B87,T_Aop[],4,1)</f>
        <v>567</v>
      </c>
      <c r="J87" s="389"/>
      <c r="K87" s="124"/>
      <c r="L87" s="125"/>
      <c r="P87" s="35"/>
    </row>
    <row r="88" spans="2:16" ht="12.75" customHeight="1">
      <c r="B88" s="54" t="n">
        <v>351</v>
      </c>
      <c r="C88" s="149" t="str">
        <f>VLOOKUP($B88,T_Aop[],5,1)</f>
        <v>J</v>
      </c>
      <c r="D88" s="533" t="str">
        <f>VLOOKUP($B88,T_Aop[],6,1)</f>
        <v>GOTOVINA NA KRAJU OBRAČUNSKOG PERIODA (565 + 563 – 564 + 566 – 567)</v>
      </c>
      <c r="E88" s="533"/>
      <c r="F88" s="533"/>
      <c r="G88" s="533"/>
      <c r="H88" s="533"/>
      <c r="I88" s="313">
        <f>VLOOKUP($B88,T_Aop[],4,1)</f>
        <v>568</v>
      </c>
      <c r="J88" s="391"/>
      <c r="K88" s="314">
        <f>SUBTOTAL(9,K21:K25,K35:K50,K64:K70,K85,K86)-SUBTOTAL(9,K26:K32,K51:K61,K71:K78,K87)</f>
        <v>9345</v>
      </c>
      <c r="L88" s="315">
        <f>SUBTOTAL(9,L21:L25,L35:L50,L64:L70,L85,L86)-SUBTOTAL(9,L26:L32,L51:L61,L71:L78,L87)</f>
        <v>8598</v>
      </c>
      <c r="P88" s="35"/>
    </row>
    <row r="89" spans="1:1" ht="3" customHeight="1"/>
    <row r="90" spans="3:12" ht="12" customHeight="1">
      <c r="C90" s="140" t="str">
        <f aca="1">Podnozje_U</f>
        <v>U:</v>
      </c>
      <c r="D90" s="317" t="str">
        <f aca="1">Podatak_U</f>
        <v>Pelagićevu</v>
      </c>
      <c r="E90"/>
      <c r="F90" s="18" t="str">
        <f aca="1">Podnozje_Lice_sa_licencom</f>
        <v>Lice sa licencom:</v>
      </c>
      <c r="G90" s="18" t="str">
        <f aca="1">Podatak_Lice_sa_licencom</f>
        <v>Jokica Gavrić</v>
      </c>
      <c r="I90" s="45" t="str">
        <f aca="1">Podnozje_MP</f>
        <v>(M.P.)</v>
      </c>
      <c r="J90" s="24"/>
      <c r="K90" s="19" t="str">
        <f aca="1">Podnozje_Direktor</f>
        <v>Lice ovlašćeno za zastupanje:</v>
      </c>
      <c r="L90" s="19"/>
    </row>
    <row r="91" spans="3:12" ht="21.75" customHeight="1">
      <c r="C91" s="36"/>
      <c r="D91" s="25"/>
      <c r="E91"/>
      <c r="F91" s="22" t="str">
        <f aca="1">Podnozje_Broj_licence</f>
        <v>Broj licence:</v>
      </c>
      <c r="G91" s="22" t="str">
        <f aca="1">Podatak_Broj_Licence</f>
        <v>srt-0336/24</v>
      </c>
      <c r="H91" s="18"/>
      <c r="I91" s="18"/>
      <c r="J91" s="24"/>
      <c r="K91" s="532" t="str">
        <f aca="1">Podatak_Direktor</f>
        <v>Obavezan unos podataka u formi!</v>
      </c>
      <c r="L91" s="532"/>
    </row>
    <row r="92" spans="3:12" ht="20.25" customHeight="1">
      <c r="C92" s="140" t="str">
        <f aca="1">Podnozje_Dana</f>
        <v>Dana:</v>
      </c>
      <c r="D92" s="317" t="str">
        <f aca="1">Podatak_Dana</f>
        <v>30.03.2024.</v>
      </c>
      <c r="E92"/>
      <c r="F92" s="318"/>
      <c r="G92" s="318"/>
      <c r="K92" s="318"/>
      <c r="L92" s="318"/>
    </row>
    <row r="93" spans="6:11" ht="15" customHeight="1">
      <c r="F93" s="48"/>
      <c r="G93" s="48"/>
      <c r="H93" s="48"/>
      <c r="J93" s="45"/>
      <c r="K93" s="45"/>
    </row>
    <row r="94" spans="1:1"/>
    <row r="95" spans="1:1"/>
    <row r="96" spans="1:1"/>
    <row r="97" spans="1:1"/>
    <row r="98" spans="1:1"/>
    <row r="99" spans="1:1"/>
    <row r="100" spans="1:1"/>
  </sheetData>
  <sheetProtection algorithmName="SHA-512" hashValue="v8MHJxp5zYNIkhosAWgX7ggYKAoVuc8kFBE30lOh2HX6LjNVMXrIOjCUjWmxJVSQsKtIq6JwRMEw/Lf/ZM4Bnw==" saltValue="juYoCX/1V5kJVa9xRrCN9Q==" spinCount="100000" sheet="1" autoFilter="0"/>
  <mergeCells count="90">
    <mergeCell ref="C5:E6"/>
    <mergeCell ref="C7:F7"/>
    <mergeCell ref="D8:F8"/>
    <mergeCell ref="C9:E9"/>
    <mergeCell ref="C10:F10"/>
    <mergeCell ref="K10:L10"/>
    <mergeCell ref="C11:F11"/>
    <mergeCell ref="C12:F12"/>
    <mergeCell ref="C13:F13"/>
    <mergeCell ref="C14:L14"/>
    <mergeCell ref="C15:L15"/>
    <mergeCell ref="C16:L16"/>
    <mergeCell ref="K18:L18"/>
    <mergeCell ref="C18:C19"/>
    <mergeCell ref="D18:H19"/>
    <mergeCell ref="I18:I19"/>
    <mergeCell ref="J18:J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D88:H88"/>
    <mergeCell ref="K90:L90"/>
    <mergeCell ref="K91:L91"/>
    <mergeCell ref="F92:G92"/>
    <mergeCell ref="K92:L92"/>
  </mergeCells>
  <dataValidations count="3">
    <dataValidation sqref="J21:J88" type="decimal" operator="greaterThanOrEqual" errorStyle="stop" allowBlank="1" showInputMessage="1" showErrorMessage="1" errorTitle="Greška" error="Unesite broj napomene!" view="0">
      <formula1>0</formula1>
      <formula2/>
    </dataValidation>
    <dataValidation sqref="K21 K21:L21 L21 K26:L26 K33:L35 K51:L51 K62:L64 K71:L71 K79:L84 K88 K88:L88 L88" type="whole" operator="greaterThanOrEqual" errorStyle="stop" allowBlank="1" showInputMessage="1" showErrorMessage="1" prompt="U ovo polje se ne unosi iznos._x000a_Polje se automatski računa u skladu sa formulom." errorTitle="Graška" error="Unose se vrijednosti u konvertibilnim markama, bez decimalnih mjesta. Nije dozvoljen unos negativnih brojeva." view="0">
      <formula1>0</formula1>
      <formula2/>
    </dataValidation>
    <dataValidation sqref="K23:L25 K27:L32 K36:L50 K52:L61 K65:L70 K72:L78 K85:K87 L85:L87" type="whole" operator="greaterThanOrEqual" errorStyle="stop" allowBlank="1" showInputMessage="1" showErrorMessage="1" errorTitle="Graška" error="Unose se vrijednosti u konvertibilnim markama, bez decimalnih mjesta. Nije dozvoljen unos negativnih brojeva." view="0">
      <formula1>0</formula1>
      <formula2/>
    </dataValidation>
  </dataValidations>
  <printOptions>
    <extLst>
      <ext uri="smNativeData">
        <pm:pageFlags xmlns:pm="smNativeData" id="1714042646" printRowHead="0" printColHead="0" printHeadLine="0" printFootLine="1" autoHeightHeader="0" autoHeightFooter="0" fitToPageBoth="0"/>
      </ext>
    </extLst>
  </printOptions>
  <pageMargins left="0.393750" right="0.393750" top="0.393750" bottom="0.393750" header="0.315278" footer="0.236111"/>
  <pageSetup paperSize="9" scale="66" fitToWidth="0" fitToHeight="1"/>
  <headerFooter>
    <oddFooter>&amp;R&amp;"Verdana"&amp;8Strana &amp;P od &amp;N</odd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drawing r:id="rId1"/>
  <legacyDrawing r:id="rId2"/>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B2B2B2"/>
  </sheetPr>
  <dimension ref="A1:O101"/>
  <sheetViews>
    <sheetView showGridLines="0" showRowColHeaders="0" view="normal" workbookViewId="0">
      <pane xSplit="13" ySplit="4" topLeftCell="N75" activePane="bottomRight" state="frozen"/>
      <selection pane="bottomRight" activeCell="J94" sqref="J94:L94"/>
    </sheetView>
  </sheetViews>
  <sheetFormatPr defaultRowHeight="14.20" zeroHeight="1"/>
  <cols>
    <col min="1" max="1" width="4.851485" customWidth="1" style="22"/>
    <col min="2" max="2" width="5.287129" hidden="1" customWidth="1" style="22">
      <extLst>
        <ext uri="smNativeData">
          <pm:columnDef xmlns:pm="smNativeData" id="1714042646" min="2" max="2" hidden="1" collapsedDB="0" collapsedOL="0"/>
        </ext>
      </extLst>
    </col>
    <col min="3" max="3" width="19.564356" customWidth="1" style="22"/>
    <col min="4" max="8" width="17.000000" customWidth="1" style="22"/>
    <col min="9" max="9" width="7.138614" customWidth="1" style="22"/>
    <col min="10" max="11" width="14.287129" customWidth="1" style="22"/>
    <col min="12" max="12" width="14.287129" hidden="1" customWidth="1" style="22">
      <extLst>
        <ext uri="smNativeData">
          <pm:columnDef xmlns:pm="smNativeData" id="1714042646" min="12" max="12" hidden="1" collapsedDB="0" collapsedOL="0"/>
        </ext>
      </extLst>
    </col>
    <col min="13" max="13" width="8.851485" hidden="1" customWidth="1" style="22">
      <extLst>
        <ext uri="smNativeData">
          <pm:columnDef xmlns:pm="smNativeData" id="1714042646" min="13" max="13" hidden="1" collapsedDB="0" collapsedOL="0"/>
        </ext>
      </extLst>
    </col>
    <col min="14" max="14" width="5.712871" customWidth="1" style="22"/>
    <col min="15" max="15" width="11.425743" hidden="1" customWidth="1" style="22">
      <extLst>
        <ext uri="smNativeData">
          <pm:columnDef xmlns:pm="smNativeData" id="1714042646" min="15" max="15" hidden="1" collapsedDB="0" collapsedOL="0"/>
        </ext>
      </extLst>
    </col>
    <col min="16" max="255" width="9.138614" hidden="1" customWidth="1" style="22">
      <extLst>
        <ext uri="smNativeData">
          <pm:columnDef xmlns:pm="smNativeData" id="1714042646" min="16" max="255" hidden="1" collapsedDB="0" collapsedOL="0"/>
        </ext>
      </extLst>
    </col>
    <col min="256" max="16384" width="2.712871" hidden="1" customWidth="1" style="22">
      <extLst>
        <ext uri="smNativeData">
          <pm:columnDef xmlns:pm="smNativeData" id="1714042646" min="256" max="16384" hidden="1" collapsedDB="0" collapsedOL="0"/>
        </ext>
      </extLst>
    </col>
  </cols>
  <sheetData>
    <row r="1" spans="1:1"/>
    <row r="2" spans="1:1"/>
    <row r="3" spans="1:1"/>
    <row r="4" spans="1:1"/>
    <row r="5" spans="3:11" ht="12.75" customHeight="1">
      <c r="C5" s="464" t="str">
        <f aca="1">Zaglavlje_Naziv_preduzeca</f>
        <v>Naziv privrednog društva, zadruge, drugog pravnog lica ili preduzetnika: </v>
      </c>
      <c r="D5" s="464"/>
      <c r="E5" s="464"/>
      <c r="J5" s="535" t="str">
        <f aca="1">Podatak_MB</f>
        <v>1062280</v>
      </c>
      <c r="K5" s="535"/>
    </row>
    <row r="6" spans="3:11">
      <c r="C6" s="464"/>
      <c r="D6" s="464"/>
      <c r="E6" s="464"/>
      <c r="K6" s="54" t="str">
        <f aca="1">Zaglavlje_MB</f>
        <v>Matični broj</v>
      </c>
    </row>
    <row r="7" spans="3:11" ht="12.75" customHeight="1">
      <c r="C7" s="479" t="str">
        <f aca="1">Podatak_Naziv_preduzeca</f>
        <v>Napredak a.d. Pelagićevo</v>
      </c>
      <c r="D7" s="479"/>
      <c r="E7" s="479"/>
      <c r="F7" s="27"/>
      <c r="K7" s="298" t="str">
        <f aca="1">Podatak_Sifra_djelatnosti</f>
        <v>01.11</v>
      </c>
    </row>
    <row r="8" spans="3:11">
      <c r="C8" s="24" t="str">
        <f aca="1">Zaglavlje_Sjediste</f>
        <v>Sjedište:</v>
      </c>
      <c r="D8" s="541" t="str">
        <f aca="1">Podatak_Sjediste</f>
        <v>Pelagićevo</v>
      </c>
      <c r="E8" s="541"/>
      <c r="F8" s="27"/>
      <c r="K8" s="54" t="str">
        <f aca="1">Zaglavlje_Sifra_djelatnosti</f>
        <v>Šifra djelatnosti</v>
      </c>
    </row>
    <row r="9" spans="3:11">
      <c r="C9" s="407" t="str">
        <f aca="1">Zaglavlje_Ziro_racun</f>
        <v>Račun kod ovlašćene organizacije za platni promet:</v>
      </c>
      <c r="D9" s="407"/>
      <c r="E9" s="407"/>
      <c r="F9" s="181"/>
      <c r="K9" s="298" t="str">
        <f aca="1">Podatak_JIB</f>
        <v>4400471400001</v>
      </c>
    </row>
    <row r="10" spans="3:11">
      <c r="C10" s="482" t="str">
        <f aca="1">Podatak_Ziro_racun_1</f>
        <v>554-005-00000031-83</v>
      </c>
      <c r="D10" s="482"/>
      <c r="E10" s="482"/>
      <c r="F10" s="181"/>
      <c r="K10" s="54" t="str">
        <f aca="1">Zaglavlje_JIB</f>
        <v>JIB</v>
      </c>
    </row>
    <row r="11" spans="3:11">
      <c r="C11" s="482" t="str">
        <f aca="1">Podatak_Ziro_racun_2</f>
        <v>562-011-00000477-77</v>
      </c>
      <c r="D11" s="482"/>
      <c r="E11" s="482"/>
      <c r="F11" s="181"/>
      <c r="K11" s="183"/>
    </row>
    <row r="12" spans="3:6">
      <c r="C12" s="508" t="str">
        <f aca="1">Podatak_Ziro_racun_3</f>
        <v/>
      </c>
      <c r="D12" s="508"/>
      <c r="E12" s="508"/>
      <c r="F12" s="24"/>
    </row>
    <row r="13" spans="3:11">
      <c r="C13" s="508" t="str">
        <f aca="1">Podatak_Ziro_racun_4</f>
        <v/>
      </c>
      <c r="D13" s="508"/>
      <c r="E13" s="508"/>
      <c r="J13"/>
      <c r="K13"/>
    </row>
    <row r="14" spans="3:11">
      <c r="C14" s="442" t="str">
        <f aca="1">IF(Id_Konsolidovani,Nazivi_bilansa_Konsolidovani_naziv&amp;LOWER(Nazivi_bilansa_Aneks),Nazivi_bilansa_Aneks)</f>
        <v>Aneks</v>
      </c>
      <c r="D14" s="442"/>
      <c r="E14" s="442"/>
      <c r="F14" s="442"/>
      <c r="G14" s="442"/>
      <c r="H14" s="442"/>
      <c r="I14" s="442"/>
      <c r="J14" s="442"/>
      <c r="K14" s="442"/>
    </row>
    <row r="15" spans="3:11">
      <c r="C15" s="52" t="str">
        <f aca="1">Nazivi_bilansa_Aneks1</f>
        <v>(Dodatni računovodstveni izvještaj)</v>
      </c>
      <c r="D15" s="52"/>
      <c r="E15" s="52"/>
      <c r="F15" s="52"/>
      <c r="G15" s="52"/>
      <c r="H15" s="52"/>
      <c r="I15" s="52"/>
      <c r="J15" s="52"/>
      <c r="K15" s="52"/>
    </row>
    <row r="16" spans="3:11">
      <c r="C16" s="52" t="str">
        <f aca="1">Datumi_Datum_Aneks</f>
        <v>za period od 01.01. do 31.03.2024. godine</v>
      </c>
      <c r="D16" s="52"/>
      <c r="E16" s="52"/>
      <c r="F16" s="52"/>
      <c r="G16" s="52"/>
      <c r="H16" s="52"/>
      <c r="I16" s="52"/>
      <c r="J16" s="52"/>
      <c r="K16" s="52"/>
    </row>
    <row r="17" spans="3:11">
      <c r="C17" s="49"/>
      <c r="D17" s="49"/>
      <c r="E17" s="49"/>
      <c r="F17" s="49"/>
      <c r="G17" s="49"/>
      <c r="H17" s="49"/>
      <c r="I17" s="49"/>
      <c r="J17" s="49"/>
      <c r="K17" s="29" t="str">
        <f aca="1">Tabele_zaglavlje_Valuta</f>
        <v>- u konvertibilnim markama -</v>
      </c>
    </row>
    <row r="18" spans="3:11">
      <c r="C18" s="521" t="str">
        <f aca="1">Tabele_zaglavlje_Grupa_racuna</f>
        <v>Grupa računa, račun</v>
      </c>
      <c r="D18" s="523" t="str">
        <f aca="1">Tabele_zaglavlje_Pozicija</f>
        <v>POZICIJA</v>
      </c>
      <c r="E18" s="523"/>
      <c r="F18" s="523"/>
      <c r="G18" s="523"/>
      <c r="H18" s="523"/>
      <c r="I18" s="519" t="str">
        <f aca="1">Tabele_zaglavlje_Oznaka_aop</f>
        <v>Oznaka za AOP</v>
      </c>
      <c r="J18" s="523" t="str">
        <f aca="1">Tabele_zaglavlje_Iznos</f>
        <v>Iznos</v>
      </c>
      <c r="K18" s="536"/>
    </row>
    <row r="19" spans="3:15">
      <c r="C19" s="522"/>
      <c r="D19" s="524"/>
      <c r="E19" s="524"/>
      <c r="F19" s="524"/>
      <c r="G19" s="524"/>
      <c r="H19" s="524"/>
      <c r="I19" s="50"/>
      <c r="J19" s="50" t="str">
        <f aca="1">Tabele_zaglavlje_Tekuca_godina</f>
        <v>Tekuća godina</v>
      </c>
      <c r="K19" s="51" t="str">
        <f aca="1">Tabele_zaglavlje_Prethodna_godina</f>
        <v>Prethodna godina</v>
      </c>
      <c r="O19" s="107" t="s">
        <v>65</v>
      </c>
    </row>
    <row r="20" spans="2:11">
      <c r="B20" s="52" t="s">
        <v>66</v>
      </c>
      <c r="C20" s="66" t="n">
        <v>1</v>
      </c>
      <c r="D20" s="67" t="n">
        <v>2</v>
      </c>
      <c r="E20" s="67"/>
      <c r="F20" s="67"/>
      <c r="G20" s="67"/>
      <c r="H20" s="67"/>
      <c r="I20" s="67" t="n">
        <v>3</v>
      </c>
      <c r="J20" s="67" t="n">
        <v>4</v>
      </c>
      <c r="K20" s="72" t="n">
        <v>5</v>
      </c>
    </row>
    <row r="21" spans="2:15">
      <c r="B21" s="54" t="n">
        <v>352</v>
      </c>
      <c r="C21" s="68" t="str">
        <f>VLOOKUP($B21,T_Aop[],5,1)</f>
        <v>010</v>
      </c>
      <c r="D21" s="537" t="str">
        <f>VLOOKUP($B21,T_Aop[],6,1)</f>
        <v>Ulaganja u istraživanje i razvoj (dugovni promet bez početnog stanja)</v>
      </c>
      <c r="E21" s="537"/>
      <c r="F21" s="537"/>
      <c r="G21" s="537"/>
      <c r="H21" s="537"/>
      <c r="I21" s="148">
        <f>VLOOKUP($B21,T_Aop[],4,1)</f>
        <v>601</v>
      </c>
      <c r="J21" s="158"/>
      <c r="K21" s="159"/>
      <c r="O21" s="35"/>
    </row>
    <row r="22" spans="2:15">
      <c r="B22" s="54" t="n">
        <v>353</v>
      </c>
      <c r="C22" s="62" t="str">
        <f>VLOOKUP($B22,T_Aop[],5,1)</f>
        <v>201, dio 200</v>
      </c>
      <c r="D22" s="517" t="str">
        <f>VLOOKUP($B22,T_Aop[],6,1)</f>
        <v>Kupci iz Republike Srpske i kupci - povezana pravna lica iz RS (dugovni promet bez početnog stanja)</v>
      </c>
      <c r="E22" s="517"/>
      <c r="F22" s="517"/>
      <c r="G22" s="517"/>
      <c r="H22" s="517"/>
      <c r="I22" s="63">
        <f>VLOOKUP($B22,T_Aop[],4,1)</f>
        <v>602</v>
      </c>
      <c r="J22" s="120" t="n">
        <v>186380</v>
      </c>
      <c r="K22" s="121" t="n">
        <v>207667</v>
      </c>
      <c r="O22" s="106" t="s">
        <v>69</v>
      </c>
    </row>
    <row r="23" spans="2:15" ht="25.50" customHeight="1">
      <c r="B23" s="54" t="n">
        <v>354</v>
      </c>
      <c r="C23" s="64" t="str">
        <f>VLOOKUP($B23,T_Aop[],5,1)</f>
        <v>202, dio 200</v>
      </c>
      <c r="D23" s="436" t="str">
        <f>VLOOKUP($B23,T_Aop[],6,1)</f>
        <v>Kupci iz Federacije BiH i kupci - povezana pravna lica iz FBiH (dugovni promet bez početnog stanja)</v>
      </c>
      <c r="E23" s="437"/>
      <c r="F23" s="437"/>
      <c r="G23" s="437"/>
      <c r="H23" s="438"/>
      <c r="I23" s="65">
        <f>VLOOKUP($B23,T_Aop[],4,1)</f>
        <v>603</v>
      </c>
      <c r="J23" s="122" t="n">
        <v>9495</v>
      </c>
      <c r="K23" s="123" t="n">
        <v>178003</v>
      </c>
      <c r="O23" s="106" t="s">
        <v>69</v>
      </c>
    </row>
    <row r="24" spans="2:15" ht="25.50" customHeight="1">
      <c r="B24" s="54" t="n">
        <v>355</v>
      </c>
      <c r="C24" s="62" t="str">
        <f>VLOOKUP($B24,T_Aop[],5,1)</f>
        <v>203, dio 200</v>
      </c>
      <c r="D24" s="439" t="str">
        <f>VLOOKUP($B24,T_Aop[],6,1)</f>
        <v>Kupci iz Brčko Distrikta BiH i kupci - povezana pravna lica iz BD (dugovni promet bez početnog stanja)</v>
      </c>
      <c r="E24" s="440"/>
      <c r="F24" s="440"/>
      <c r="G24" s="440"/>
      <c r="H24" s="441"/>
      <c r="I24" s="63">
        <f>VLOOKUP($B24,T_Aop[],4,1)</f>
        <v>604</v>
      </c>
      <c r="J24" s="120" t="n">
        <v>84293</v>
      </c>
      <c r="K24" s="121" t="n">
        <v>23804</v>
      </c>
      <c r="O24" s="106" t="s">
        <v>69</v>
      </c>
    </row>
    <row r="25" spans="2:15">
      <c r="B25" s="54" t="n">
        <v>356</v>
      </c>
      <c r="C25" s="64" t="str">
        <f>VLOOKUP($B25,T_Aop[],5,1)</f>
        <v>432, dio 431</v>
      </c>
      <c r="D25" s="436" t="str">
        <f>VLOOKUP($B25,T_Aop[],6,1)</f>
        <v>Dobavljači iz Republike Srpske i dobavljači - povezana pravna lica iz RS (potražni promet bez početnog stanja)</v>
      </c>
      <c r="E25" s="437"/>
      <c r="F25" s="437"/>
      <c r="G25" s="437"/>
      <c r="H25" s="438"/>
      <c r="I25" s="65">
        <f>VLOOKUP($B25,T_Aop[],4,1)</f>
        <v>605</v>
      </c>
      <c r="J25" s="122" t="n">
        <v>269871</v>
      </c>
      <c r="K25" s="123" t="n">
        <v>368544</v>
      </c>
      <c r="O25" s="106" t="s">
        <v>69</v>
      </c>
    </row>
    <row r="26" spans="2:15">
      <c r="B26" s="54" t="n">
        <v>357</v>
      </c>
      <c r="C26" s="62" t="str">
        <f>VLOOKUP($B26,T_Aop[],5,1)</f>
        <v>433, dio 431</v>
      </c>
      <c r="D26" s="439" t="str">
        <f>VLOOKUP($B26,T_Aop[],6,1)</f>
        <v>Dobavljači iz Federacije BiH i dobavljači - povezana pravna lica iz FBiH (potražni promet bez početnog stanja)</v>
      </c>
      <c r="E26" s="440"/>
      <c r="F26" s="440"/>
      <c r="G26" s="440"/>
      <c r="H26" s="441"/>
      <c r="I26" s="63">
        <f>VLOOKUP($B26,T_Aop[],4,1)</f>
        <v>606</v>
      </c>
      <c r="J26" s="120" t="n">
        <v>3319</v>
      </c>
      <c r="K26" s="121" t="n">
        <v>2676</v>
      </c>
      <c r="O26" s="106" t="s">
        <v>69</v>
      </c>
    </row>
    <row r="27" spans="2:15">
      <c r="B27" s="54" t="n">
        <v>358</v>
      </c>
      <c r="C27" s="64" t="str">
        <f>VLOOKUP($B27,T_Aop[],5,1)</f>
        <v>434, dio 431</v>
      </c>
      <c r="D27" s="436" t="str">
        <f>VLOOKUP($B27,T_Aop[],6,1)</f>
        <v>Dobavljači iz Brčko Distrikta BiH i dobavljači - povezana pravna lica iz DB (potražni promet bez početnog stanja)</v>
      </c>
      <c r="E27" s="437"/>
      <c r="F27" s="437"/>
      <c r="G27" s="437"/>
      <c r="H27" s="438"/>
      <c r="I27" s="65">
        <f>VLOOKUP($B27,T_Aop[],4,1)</f>
        <v>607</v>
      </c>
      <c r="J27" s="122" t="n">
        <v>8296</v>
      </c>
      <c r="K27" s="123" t="n">
        <v>63176</v>
      </c>
      <c r="O27" s="106" t="s">
        <v>69</v>
      </c>
    </row>
    <row r="28" spans="2:15" ht="25.50" customHeight="1">
      <c r="B28" s="54" t="n">
        <v>359</v>
      </c>
      <c r="C28" s="62" t="str">
        <f>VLOOKUP($B28,T_Aop[],5,1)</f>
        <v>601, dio 600, dio 605</v>
      </c>
      <c r="D28" s="439" t="str">
        <f>VLOOKUP($B28,T_Aop[],6,1)</f>
        <v>Prihodi od prodaje robe u Republici Srpskoj i prihodi od prodaje robe povezanim pravnim licima u RS</v>
      </c>
      <c r="E28" s="440"/>
      <c r="F28" s="440"/>
      <c r="G28" s="440"/>
      <c r="H28" s="441"/>
      <c r="I28" s="63">
        <f>VLOOKUP($B28,T_Aop[],4,1)</f>
        <v>608</v>
      </c>
      <c r="J28" s="120"/>
      <c r="K28" s="121"/>
      <c r="O28" s="106" t="s">
        <v>69</v>
      </c>
    </row>
    <row r="29" spans="2:15" ht="25.50" customHeight="1">
      <c r="B29" s="54" t="n">
        <v>360</v>
      </c>
      <c r="C29" s="64" t="str">
        <f>VLOOKUP($B29,T_Aop[],5,1)</f>
        <v>602, dio 600, dio 605</v>
      </c>
      <c r="D29" s="436" t="str">
        <f>VLOOKUP($B29,T_Aop[],6,1)</f>
        <v>Prihodi od prodaje robe u Federaciji BiH i prihodi od prodaje robe povezanim pravnim licima u FBiH</v>
      </c>
      <c r="E29" s="437"/>
      <c r="F29" s="437"/>
      <c r="G29" s="437"/>
      <c r="H29" s="438"/>
      <c r="I29" s="65">
        <f>VLOOKUP($B29,T_Aop[],4,1)</f>
        <v>609</v>
      </c>
      <c r="J29" s="122"/>
      <c r="K29" s="123"/>
      <c r="O29" s="106" t="s">
        <v>69</v>
      </c>
    </row>
    <row r="30" spans="2:15" ht="25.50" customHeight="1">
      <c r="B30" s="54" t="n">
        <v>361</v>
      </c>
      <c r="C30" s="62" t="str">
        <f>VLOOKUP($B30,T_Aop[],5,1)</f>
        <v>603, dio 600, dio 605</v>
      </c>
      <c r="D30" s="439" t="str">
        <f>VLOOKUP($B30,T_Aop[],6,1)</f>
        <v>Prihodi od prodaje robe u Brčko Distriktu BiH i prihodi od prodaje robe povezanim pravnim licima u BD</v>
      </c>
      <c r="E30" s="440"/>
      <c r="F30" s="440"/>
      <c r="G30" s="440"/>
      <c r="H30" s="441"/>
      <c r="I30" s="63">
        <f>VLOOKUP($B30,T_Aop[],4,1)</f>
        <v>610</v>
      </c>
      <c r="J30" s="120"/>
      <c r="K30" s="121"/>
      <c r="O30" s="106" t="s">
        <v>69</v>
      </c>
    </row>
    <row r="31" spans="2:15" ht="25.50" customHeight="1">
      <c r="B31" s="54" t="n">
        <v>362</v>
      </c>
      <c r="C31" s="64" t="str">
        <f>VLOOKUP($B31,T_Aop[],5,1)</f>
        <v>611, dio 610, dio 615</v>
      </c>
      <c r="D31" s="436" t="str">
        <f>VLOOKUP($B31,T_Aop[],6,1)</f>
        <v>Prihodi od prodaje proizvoda u Republici Srpskoj i prihodi od prodaje proizvoda povezanim pravnim licima u Republici Srpskoj</v>
      </c>
      <c r="E31" s="437"/>
      <c r="F31" s="437"/>
      <c r="G31" s="437"/>
      <c r="H31" s="438"/>
      <c r="I31" s="65">
        <f>VLOOKUP($B31,T_Aop[],4,1)</f>
        <v>611</v>
      </c>
      <c r="J31" s="122" t="n">
        <v>115761</v>
      </c>
      <c r="K31" s="123" t="n">
        <v>165300</v>
      </c>
      <c r="O31"/>
    </row>
    <row r="32" spans="2:15" ht="25.50" customHeight="1">
      <c r="B32" s="54" t="n">
        <v>363</v>
      </c>
      <c r="C32" s="62" t="str">
        <f>VLOOKUP($B32,T_Aop[],5,1)</f>
        <v>612, dio 610, dio 615</v>
      </c>
      <c r="D32" s="439" t="str">
        <f>VLOOKUP($B32,T_Aop[],6,1)</f>
        <v>Prihodi od prodaje proizvoda u Federaciji BiH i prihodi od prodaje proizvoda povezanim pravnim licima u Federaciji BiH</v>
      </c>
      <c r="E32" s="440"/>
      <c r="F32" s="440"/>
      <c r="G32" s="440"/>
      <c r="H32" s="441"/>
      <c r="I32" s="63">
        <f>VLOOKUP($B32,T_Aop[],4,1)</f>
        <v>612</v>
      </c>
      <c r="J32" s="120" t="n">
        <v>6600</v>
      </c>
      <c r="K32" s="121" t="n">
        <v>150222</v>
      </c>
      <c r="O32"/>
    </row>
    <row r="33" spans="2:15" ht="25.50" customHeight="1">
      <c r="B33" s="54" t="n">
        <v>364</v>
      </c>
      <c r="C33" s="64" t="str">
        <f>VLOOKUP($B33,T_Aop[],5,1)</f>
        <v>613, dio 610, dio 615</v>
      </c>
      <c r="D33" s="436" t="str">
        <f>VLOOKUP($B33,T_Aop[],6,1)</f>
        <v>Prihodi od prodaje proizvoda u Brčko Distriktu BiH i prihodi od prodaje učinaka povezanim pravnim licima u Brčko Distriktu BiH</v>
      </c>
      <c r="E33" s="437"/>
      <c r="F33" s="437"/>
      <c r="G33" s="437"/>
      <c r="H33" s="438"/>
      <c r="I33" s="65">
        <f>VLOOKUP($B33,T_Aop[],4,1)</f>
        <v>613</v>
      </c>
      <c r="J33" s="122" t="n">
        <v>65546</v>
      </c>
      <c r="K33" s="123"/>
      <c r="O33" s="106" t="s">
        <v>69</v>
      </c>
    </row>
    <row r="34" spans="2:15" ht="25.50" customHeight="1">
      <c r="B34" s="54" t="n">
        <v>365</v>
      </c>
      <c r="C34" s="62" t="str">
        <f>VLOOKUP($B34,T_Aop[],5,1)</f>
        <v>621, dio 620, dio 625</v>
      </c>
      <c r="D34" s="439" t="str">
        <f>VLOOKUP($B34,T_Aop[],6,1)</f>
        <v>Prihodi od pruženih usluga u Republici Srpskoj i prihodi od pruženih usluga povezanim pravnim licima u Republici Srpskoj  </v>
      </c>
      <c r="E34" s="440"/>
      <c r="F34" s="440"/>
      <c r="G34" s="440"/>
      <c r="H34" s="441"/>
      <c r="I34" s="63">
        <f>VLOOKUP($B34,T_Aop[],4,1)</f>
        <v>614</v>
      </c>
      <c r="J34" s="120" t="n">
        <v>17283</v>
      </c>
      <c r="K34" s="121" t="n">
        <v>10093</v>
      </c>
      <c r="O34" s="106" t="s">
        <v>69</v>
      </c>
    </row>
    <row r="35" spans="2:15" ht="25.50" customHeight="1">
      <c r="B35" s="54" t="n">
        <v>366</v>
      </c>
      <c r="C35" s="64" t="str">
        <f>VLOOKUP($B35,T_Aop[],5,1)</f>
        <v>622, dio 620, dio 625</v>
      </c>
      <c r="D35" s="436" t="str">
        <f>VLOOKUP($B35,T_Aop[],6,1)</f>
        <v>Prihodi od pruženih usluga u Federaciji BiH i prihodi od pruženih usluga povezanim pravnim licima u Federaciji BiH</v>
      </c>
      <c r="E35" s="437"/>
      <c r="F35" s="437"/>
      <c r="G35" s="437"/>
      <c r="H35" s="438"/>
      <c r="I35" s="65">
        <f>VLOOKUP($B35,T_Aop[],4,1)</f>
        <v>615</v>
      </c>
      <c r="J35" s="122" t="n">
        <v>15</v>
      </c>
      <c r="K35" s="123" t="n">
        <v>417</v>
      </c>
      <c r="O35" s="106" t="s">
        <v>69</v>
      </c>
    </row>
    <row r="36" spans="2:15" ht="25.50" customHeight="1">
      <c r="B36" s="54" t="n">
        <v>367</v>
      </c>
      <c r="C36" s="62" t="str">
        <f>VLOOKUP($B36,T_Aop[],5,1)</f>
        <v>623, dio 620, dio 625</v>
      </c>
      <c r="D36" s="439" t="str">
        <f>VLOOKUP($B36,T_Aop[],6,1)</f>
        <v>Prihodi od pruženih usluga u Brčko Distriktu BiH i prihodi od pruženih usluga povezanim pravnim licima u Brčko Distriktu BiH</v>
      </c>
      <c r="E36" s="440"/>
      <c r="F36" s="440"/>
      <c r="G36" s="440"/>
      <c r="H36" s="441"/>
      <c r="I36" s="63">
        <f>VLOOKUP($B36,T_Aop[],4,1)</f>
        <v>616</v>
      </c>
      <c r="J36" s="120" t="n">
        <v>6499</v>
      </c>
      <c r="K36" s="121" t="n">
        <v>20345</v>
      </c>
      <c r="O36" s="35"/>
    </row>
    <row r="37" spans="2:15" ht="12.75" customHeight="1">
      <c r="B37" s="54" t="n">
        <v>368</v>
      </c>
      <c r="C37" s="132">
        <f>VLOOKUP($B37,T_Aop[],5,1)</f>
        <v>65</v>
      </c>
      <c r="D37" s="443" t="str">
        <f>VLOOKUP($B37,T_Aop[],6,1)</f>
        <v>OSTALI POSLOVNI PRIHODI (618 + 621 + 622 + 623 + 624 + 625 + 626 + 627 + 628)</v>
      </c>
      <c r="E37" s="444"/>
      <c r="F37" s="444"/>
      <c r="G37" s="444"/>
      <c r="H37" s="445"/>
      <c r="I37" s="133">
        <f>VLOOKUP($B37,T_Aop[],4,1)</f>
        <v>617</v>
      </c>
      <c r="J37" s="40">
        <f>SUBTOTAL(9,J38,J41:J48)</f>
        <v>5463</v>
      </c>
      <c r="K37" s="41">
        <f>SUBTOTAL(9,K38,K41:K48)</f>
        <v>6805</v>
      </c>
      <c r="O37" s="35"/>
    </row>
    <row r="38" spans="2:15" ht="12.75" customHeight="1">
      <c r="B38" s="54" t="n">
        <v>369</v>
      </c>
      <c r="C38" s="62">
        <f>VLOOKUP($B38,T_Aop[],5,1)</f>
        <v>650</v>
      </c>
      <c r="D38" s="439" t="str">
        <f>VLOOKUP($B38,T_Aop[],6,1)</f>
        <v>  a) Prihodi od premija, subvencija, dotacija, regresa, podsticaja i slično</v>
      </c>
      <c r="E38" s="440"/>
      <c r="F38" s="440"/>
      <c r="G38" s="440"/>
      <c r="H38" s="441"/>
      <c r="I38" s="63">
        <f>VLOOKUP($B38,T_Aop[],4,1)</f>
        <v>618</v>
      </c>
      <c r="J38" s="120" t="n">
        <v>1863</v>
      </c>
      <c r="K38" s="121" t="n">
        <v>3205</v>
      </c>
      <c r="O38" s="35"/>
    </row>
    <row r="39" spans="2:15" ht="25.50" customHeight="1">
      <c r="B39" s="54" t="n">
        <v>370</v>
      </c>
      <c r="C39" s="64" t="str">
        <f>VLOOKUP($B39,T_Aop[],5,1)</f>
        <v>dio 650</v>
      </c>
      <c r="D39" s="436" t="str">
        <f>VLOOKUP($B39,T_Aop[],6,1)</f>
        <v>    Od toga: prihodi po osnovu subvencija na proizvode1 (subvencije koje se mogu prikazati po jedinici proizvoda, npr. vozna karta, brašno, hljeb, mlijeko i dr.)</v>
      </c>
      <c r="E39" s="437"/>
      <c r="F39" s="437"/>
      <c r="G39" s="437"/>
      <c r="H39" s="438"/>
      <c r="I39" s="65">
        <f>VLOOKUP($B39,T_Aop[],4,1)</f>
        <v>619</v>
      </c>
      <c r="J39" s="122"/>
      <c r="K39" s="123" t="n">
        <v>3205</v>
      </c>
      <c r="O39" s="35"/>
    </row>
    <row r="40" spans="2:15" ht="25.50" customHeight="1">
      <c r="B40" s="54" t="n">
        <v>371</v>
      </c>
      <c r="C40" s="62" t="str">
        <f>VLOOKUP($B40,T_Aop[],5,1)</f>
        <v>dio 650</v>
      </c>
      <c r="D40" s="439" t="str">
        <f>VLOOKUP($B40,T_Aop[],6,1)</f>
        <v>    Od toga: prihodi po osnovu subvencija na proizvodnju2 (na zapošljavanje, platu, kamatnu stopu, za smanjenje zagađenja i dr.)</v>
      </c>
      <c r="E40" s="440"/>
      <c r="F40" s="440"/>
      <c r="G40" s="440"/>
      <c r="H40" s="441"/>
      <c r="I40" s="63">
        <f>VLOOKUP($B40,T_Aop[],4,1)</f>
        <v>620</v>
      </c>
      <c r="J40" s="120"/>
      <c r="K40" s="121"/>
      <c r="O40" s="35"/>
    </row>
    <row r="41" spans="2:15" ht="12.75" customHeight="1">
      <c r="B41" s="54" t="n">
        <v>372</v>
      </c>
      <c r="C41" s="64">
        <f>VLOOKUP($B41,T_Aop[],5,1)</f>
        <v>651</v>
      </c>
      <c r="D41" s="436" t="str">
        <f>VLOOKUP($B41,T_Aop[],6,1)</f>
        <v>  b) Prihod od zakupnina</v>
      </c>
      <c r="E41" s="437"/>
      <c r="F41" s="437"/>
      <c r="G41" s="437"/>
      <c r="H41" s="438"/>
      <c r="I41" s="65">
        <f>VLOOKUP($B41,T_Aop[],4,1)</f>
        <v>621</v>
      </c>
      <c r="J41" s="122" t="n">
        <v>3600</v>
      </c>
      <c r="K41" s="123" t="n">
        <v>3600</v>
      </c>
      <c r="O41" s="106" t="s">
        <v>69</v>
      </c>
    </row>
    <row r="42" spans="2:15" ht="12.75" customHeight="1">
      <c r="B42" s="54" t="n">
        <v>373</v>
      </c>
      <c r="C42" s="62">
        <f>VLOOKUP($B42,T_Aop[],5,1)</f>
        <v>652</v>
      </c>
      <c r="D42" s="439" t="str">
        <f>VLOOKUP($B42,T_Aop[],6,1)</f>
        <v>  v) Prihod od donacija</v>
      </c>
      <c r="E42" s="440"/>
      <c r="F42" s="440"/>
      <c r="G42" s="440"/>
      <c r="H42" s="441"/>
      <c r="I42" s="63">
        <f>VLOOKUP($B42,T_Aop[],4,1)</f>
        <v>622</v>
      </c>
      <c r="J42" s="120"/>
      <c r="K42" s="121"/>
      <c r="O42" s="106" t="s">
        <v>69</v>
      </c>
    </row>
    <row r="43" spans="2:15" ht="12.75" customHeight="1">
      <c r="B43" s="54" t="n">
        <v>374</v>
      </c>
      <c r="C43" s="64">
        <f>VLOOKUP($B43,T_Aop[],5,1)</f>
        <v>653</v>
      </c>
      <c r="D43" s="436" t="str">
        <f>VLOOKUP($B43,T_Aop[],6,1)</f>
        <v>  g) Prihod od članarina</v>
      </c>
      <c r="E43" s="437"/>
      <c r="F43" s="437"/>
      <c r="G43" s="437"/>
      <c r="H43" s="438"/>
      <c r="I43" s="65">
        <f>VLOOKUP($B43,T_Aop[],4,1)</f>
        <v>623</v>
      </c>
      <c r="J43" s="122"/>
      <c r="K43" s="123"/>
      <c r="O43" s="35"/>
    </row>
    <row r="44" spans="2:15" ht="12.75" customHeight="1">
      <c r="B44" s="54" t="n">
        <v>375</v>
      </c>
      <c r="C44" s="62">
        <f>VLOOKUP($B44,T_Aop[],5,1)</f>
        <v>654</v>
      </c>
      <c r="D44" s="439" t="str">
        <f>VLOOKUP($B44,T_Aop[],6,1)</f>
        <v>  d) Prihod od tantijema i licencnih prava</v>
      </c>
      <c r="E44" s="440"/>
      <c r="F44" s="440"/>
      <c r="G44" s="440"/>
      <c r="H44" s="441"/>
      <c r="I44" s="63">
        <f>VLOOKUP($B44,T_Aop[],4,1)</f>
        <v>624</v>
      </c>
      <c r="J44" s="120"/>
      <c r="K44" s="121"/>
      <c r="O44" s="35"/>
    </row>
    <row r="45" spans="2:15" ht="12.75" customHeight="1">
      <c r="B45" s="54" t="n">
        <v>376</v>
      </c>
      <c r="C45" s="64">
        <f>VLOOKUP($B45,T_Aop[],5,1)</f>
        <v>655</v>
      </c>
      <c r="D45" s="436" t="str">
        <f>VLOOKUP($B45,T_Aop[],6,1)</f>
        <v>  đ) Prihod iz namjenskih izvora finansiranja (iz budžeta, fondova i dr.)</v>
      </c>
      <c r="E45" s="437"/>
      <c r="F45" s="437"/>
      <c r="G45" s="437"/>
      <c r="H45" s="438"/>
      <c r="I45" s="65">
        <f>VLOOKUP($B45,T_Aop[],4,1)</f>
        <v>625</v>
      </c>
      <c r="J45" s="122"/>
      <c r="K45" s="123"/>
      <c r="O45" s="35"/>
    </row>
    <row r="46" spans="2:15" ht="12.75" customHeight="1">
      <c r="B46" s="54" t="n">
        <v>377</v>
      </c>
      <c r="C46" s="62" t="str">
        <f>VLOOKUP($B46,T_Aop[],5,1)</f>
        <v>656</v>
      </c>
      <c r="D46" s="439" t="str">
        <f>VLOOKUP($B46,T_Aop[],6,1)</f>
        <v>  e) Prihodi od dividendi</v>
      </c>
      <c r="E46" s="440"/>
      <c r="F46" s="440"/>
      <c r="G46" s="440"/>
      <c r="H46" s="441"/>
      <c r="I46" s="63">
        <f>VLOOKUP($B46,T_Aop[],4,1)</f>
        <v>626</v>
      </c>
      <c r="J46" s="120"/>
      <c r="K46" s="121"/>
      <c r="O46" s="35"/>
    </row>
    <row r="47" spans="2:15" ht="12.75" customHeight="1">
      <c r="B47" s="54" t="n">
        <v>378</v>
      </c>
      <c r="C47" s="64" t="str">
        <f>VLOOKUP($B47,T_Aop[],5,1)</f>
        <v>657</v>
      </c>
      <c r="D47" s="436" t="str">
        <f>VLOOKUP($B47,T_Aop[],6,1)</f>
        <v>  ž) Prihodi od aktiviranja ili potrošnje robe, gotovih proizvoda ili usluga</v>
      </c>
      <c r="E47" s="437"/>
      <c r="F47" s="437"/>
      <c r="G47" s="437"/>
      <c r="H47" s="438"/>
      <c r="I47" s="65">
        <f>VLOOKUP($B47,T_Aop[],4,1)</f>
        <v>627</v>
      </c>
      <c r="J47" s="122"/>
      <c r="K47" s="123"/>
      <c r="O47" s="35"/>
    </row>
    <row r="48" spans="2:15" ht="12.75" customHeight="1">
      <c r="B48" s="54" t="n">
        <v>379</v>
      </c>
      <c r="C48" s="62">
        <f>VLOOKUP($B48,T_Aop[],5,1)</f>
        <v>659</v>
      </c>
      <c r="D48" s="439" t="str">
        <f>VLOOKUP($B48,T_Aop[],6,1)</f>
        <v>  z) Ostali poslovni prihodi po drugim osnovima</v>
      </c>
      <c r="E48" s="440"/>
      <c r="F48" s="440"/>
      <c r="G48" s="440"/>
      <c r="H48" s="441"/>
      <c r="I48" s="63">
        <f>VLOOKUP($B48,T_Aop[],4,1)</f>
        <v>628</v>
      </c>
      <c r="J48" s="120"/>
      <c r="K48" s="121"/>
      <c r="O48" s="35"/>
    </row>
    <row r="49" spans="2:15" ht="12.75" customHeight="1">
      <c r="B49" s="54" t="n">
        <v>380</v>
      </c>
      <c r="C49" s="132" t="str">
        <f>VLOOKUP($B49,T_Aop[],5,1)</f>
        <v>66 + 67</v>
      </c>
      <c r="D49" s="443" t="str">
        <f>VLOOKUP($B49,T_Aop[],6,1)</f>
        <v>FINANSIJSKI I OSTALI PRIHODI</v>
      </c>
      <c r="E49" s="444"/>
      <c r="F49" s="444"/>
      <c r="G49" s="444"/>
      <c r="H49" s="445"/>
      <c r="I49" s="133">
        <f>VLOOKUP($B49,T_Aop[],4,1)</f>
        <v>629</v>
      </c>
      <c r="J49" s="124" t="n">
        <v>17502</v>
      </c>
      <c r="K49" s="125" t="n">
        <v>37</v>
      </c>
      <c r="O49" s="35"/>
    </row>
    <row r="50" spans="2:15" ht="12.75" customHeight="1">
      <c r="B50" s="54" t="n">
        <v>381</v>
      </c>
      <c r="C50" s="62" t="str">
        <f>VLOOKUP($B50,T_Aop[],5,1)</f>
        <v>dio 670</v>
      </c>
      <c r="D50" s="439" t="str">
        <f>VLOOKUP($B50,T_Aop[],6,1)</f>
        <v>    Od toga: dobici po osnovu prodaje nekretnina, postrojenja i opreme </v>
      </c>
      <c r="E50" s="440"/>
      <c r="F50" s="440"/>
      <c r="G50" s="440"/>
      <c r="H50" s="441"/>
      <c r="I50" s="63">
        <f>VLOOKUP($B50,T_Aop[],4,1)</f>
        <v>630</v>
      </c>
      <c r="J50" s="120" t="n">
        <v>17502</v>
      </c>
      <c r="K50" s="121"/>
      <c r="O50" s="35"/>
    </row>
    <row r="51" spans="2:15" ht="12.75" customHeight="1">
      <c r="B51" s="54" t="n">
        <v>382</v>
      </c>
      <c r="C51" s="64" t="str">
        <f>VLOOKUP($B51,T_Aop[],5,1)</f>
        <v>678</v>
      </c>
      <c r="D51" s="436" t="str">
        <f>VLOOKUP($B51,T_Aop[],6,1)</f>
        <v>  Dobici od derivatnih finansijskih instrumenata</v>
      </c>
      <c r="E51" s="437"/>
      <c r="F51" s="437"/>
      <c r="G51" s="437"/>
      <c r="H51" s="438"/>
      <c r="I51" s="65">
        <f>VLOOKUP($B51,T_Aop[],4,1)</f>
        <v>631</v>
      </c>
      <c r="J51" s="122"/>
      <c r="K51" s="123"/>
      <c r="O51" s="59"/>
    </row>
    <row r="52" spans="2:15" ht="12.75" customHeight="1">
      <c r="B52" s="54" t="n">
        <v>383</v>
      </c>
      <c r="C52" s="147">
        <f>VLOOKUP($B52,T_Aop[],5,1)</f>
        <v>52</v>
      </c>
      <c r="D52" s="446" t="str">
        <f>VLOOKUP($B52,T_Aop[],6,1)</f>
        <v>TROŠKOVI PLATA, NAKNADA PLATA I OSTALIH LIČNIH PRIMANJA</v>
      </c>
      <c r="E52" s="447"/>
      <c r="F52" s="447"/>
      <c r="G52" s="447"/>
      <c r="H52" s="448"/>
      <c r="I52" s="134">
        <f>VLOOKUP($B52,T_Aop[],4,1)</f>
        <v>632</v>
      </c>
      <c r="J52" s="73" t="n">
        <v>104220</v>
      </c>
      <c r="K52" s="74" t="n">
        <v>92336</v>
      </c>
      <c r="O52" s="35"/>
    </row>
    <row r="53" spans="2:15" ht="12.75" customHeight="1">
      <c r="B53" s="54" t="n">
        <v>384</v>
      </c>
      <c r="C53" s="64" t="str">
        <f>VLOOKUP($B53,T_Aop[],5,1)</f>
        <v>522 + 523</v>
      </c>
      <c r="D53" s="436" t="str">
        <f>VLOOKUP($B53,T_Aop[],6,1)</f>
        <v>  Troškovi bruto naknada članovima upravnog, nadzornog, odbora za reviziju i dr.</v>
      </c>
      <c r="E53" s="437"/>
      <c r="F53" s="437"/>
      <c r="G53" s="437"/>
      <c r="H53" s="438"/>
      <c r="I53" s="65">
        <f>VLOOKUP($B53,T_Aop[],4,1)</f>
        <v>633</v>
      </c>
      <c r="J53" s="122" t="n">
        <v>2699</v>
      </c>
      <c r="K53" s="125" t="n">
        <v>2697</v>
      </c>
      <c r="O53" s="35"/>
    </row>
    <row r="54" spans="2:15" ht="12.75" customHeight="1">
      <c r="B54" s="54" t="n">
        <v>385</v>
      </c>
      <c r="C54" s="62">
        <f>VLOOKUP($B54,T_Aop[],5,1)</f>
        <v>525</v>
      </c>
      <c r="D54" s="439" t="str">
        <f>VLOOKUP($B54,T_Aop[],6,1)</f>
        <v>  Troškovi zaposlenih na službenom putu</v>
      </c>
      <c r="E54" s="440"/>
      <c r="F54" s="440"/>
      <c r="G54" s="440"/>
      <c r="H54" s="441"/>
      <c r="I54" s="63">
        <f>VLOOKUP($B54,T_Aop[],4,1)</f>
        <v>634</v>
      </c>
      <c r="J54" s="120"/>
      <c r="K54" s="121"/>
      <c r="O54" s="35"/>
    </row>
    <row r="55" spans="2:15" ht="12.75" customHeight="1">
      <c r="B55" s="54" t="n">
        <v>386</v>
      </c>
      <c r="C55" s="64" t="str">
        <f>VLOOKUP($B55,T_Aop[],5,1)</f>
        <v>dio 525</v>
      </c>
      <c r="D55" s="436" t="str">
        <f>VLOOKUP($B55,T_Aop[],6,1)</f>
        <v>    Od toga: dnevnice</v>
      </c>
      <c r="E55" s="437"/>
      <c r="F55" s="437"/>
      <c r="G55" s="437"/>
      <c r="H55" s="438"/>
      <c r="I55" s="65">
        <f>VLOOKUP($B55,T_Aop[],4,1)</f>
        <v>635</v>
      </c>
      <c r="J55" s="122"/>
      <c r="K55" s="123"/>
      <c r="O55" s="35"/>
    </row>
    <row r="56" spans="2:15" ht="12.75" customHeight="1">
      <c r="B56" s="54" t="n">
        <v>387</v>
      </c>
      <c r="C56" s="147">
        <f>VLOOKUP($B56,T_Aop[],5,1)</f>
        <v>53</v>
      </c>
      <c r="D56" s="446" t="str">
        <f>VLOOKUP($B56,T_Aop[],6,1)</f>
        <v>TROŠKOVI PROIZVODNIH USLUGA (637 + 638 + 639 + 640 + 641 + 642 + 643 + 644)</v>
      </c>
      <c r="E56" s="447"/>
      <c r="F56" s="447"/>
      <c r="G56" s="447"/>
      <c r="H56" s="448"/>
      <c r="I56" s="134">
        <f>VLOOKUP($B56,T_Aop[],4,1)</f>
        <v>636</v>
      </c>
      <c r="J56" s="326">
        <f>SUBTOTAL(9,J57:J64)</f>
        <v>4569</v>
      </c>
      <c r="K56" s="327">
        <f>SUBTOTAL(9,K57:K64)</f>
        <v>4213</v>
      </c>
      <c r="O56" s="35"/>
    </row>
    <row r="57" spans="2:15" ht="12.75" customHeight="1">
      <c r="B57" s="54" t="n">
        <v>388</v>
      </c>
      <c r="C57" s="64">
        <f>VLOOKUP($B57,T_Aop[],5,1)</f>
        <v>530</v>
      </c>
      <c r="D57" s="436" t="str">
        <f>VLOOKUP($B57,T_Aop[],6,1)</f>
        <v>  a) Troškovi usluga na izradi učinaka</v>
      </c>
      <c r="E57" s="437"/>
      <c r="F57" s="437"/>
      <c r="G57" s="437"/>
      <c r="H57" s="438"/>
      <c r="I57" s="65">
        <f>VLOOKUP($B57,T_Aop[],4,1)</f>
        <v>637</v>
      </c>
      <c r="J57" s="122"/>
      <c r="K57" s="123"/>
      <c r="O57" s="35"/>
    </row>
    <row r="58" spans="2:15">
      <c r="B58" s="54" t="n">
        <v>389</v>
      </c>
      <c r="C58" s="62">
        <f>VLOOKUP($B58,T_Aop[],5,1)</f>
        <v>531</v>
      </c>
      <c r="D58" s="439" t="str">
        <f>VLOOKUP($B58,T_Aop[],6,1)</f>
        <v>  b) Troškovi transportnih usluga</v>
      </c>
      <c r="E58" s="440"/>
      <c r="F58" s="440"/>
      <c r="G58" s="440"/>
      <c r="H58" s="441"/>
      <c r="I58" s="63">
        <f>VLOOKUP($B58,T_Aop[],4,1)</f>
        <v>638</v>
      </c>
      <c r="J58" s="120" t="n">
        <v>1612</v>
      </c>
      <c r="K58" s="121" t="n">
        <v>1336</v>
      </c>
      <c r="O58" s="35"/>
    </row>
    <row r="59" spans="2:15" ht="12.75" customHeight="1">
      <c r="B59" s="54" t="n">
        <v>390</v>
      </c>
      <c r="C59" s="64" t="str">
        <f>VLOOKUP($B59,T_Aop[],5,1)</f>
        <v>dio 532</v>
      </c>
      <c r="D59" s="436" t="str">
        <f>VLOOKUP($B59,T_Aop[],6,1)</f>
        <v>  v) Troškovi za usluge tekućeg održavanja osnovnih sredstava</v>
      </c>
      <c r="E59" s="437"/>
      <c r="F59" s="437"/>
      <c r="G59" s="437"/>
      <c r="H59" s="438"/>
      <c r="I59" s="65">
        <f>VLOOKUP($B59,T_Aop[],4,1)</f>
        <v>639</v>
      </c>
      <c r="J59" s="122" t="n">
        <v>2922</v>
      </c>
      <c r="K59" s="123" t="n">
        <v>2049</v>
      </c>
      <c r="O59" s="35"/>
    </row>
    <row r="60" spans="2:15" ht="12.75" customHeight="1">
      <c r="B60" s="54" t="n">
        <v>391</v>
      </c>
      <c r="C60" s="62" t="str">
        <f>VLOOKUP($B60,T_Aop[],5,1)</f>
        <v>dio 532</v>
      </c>
      <c r="D60" s="439" t="str">
        <f>VLOOKUP($B60,T_Aop[],6,1)</f>
        <v>  g) Troškovi za usluge investicionog održavanja osnovnih sredstava</v>
      </c>
      <c r="E60" s="440"/>
      <c r="F60" s="440"/>
      <c r="G60" s="440"/>
      <c r="H60" s="441"/>
      <c r="I60" s="63">
        <f>VLOOKUP($B60,T_Aop[],4,1)</f>
        <v>640</v>
      </c>
      <c r="J60" s="120"/>
      <c r="K60" s="121" t="n">
        <v>752</v>
      </c>
      <c r="O60" s="35"/>
    </row>
    <row r="61" spans="2:15" ht="12.75" customHeight="1">
      <c r="B61" s="54" t="n">
        <v>392</v>
      </c>
      <c r="C61" s="64">
        <f>VLOOKUP($B61,T_Aop[],5,1)</f>
        <v>533</v>
      </c>
      <c r="D61" s="436" t="str">
        <f>VLOOKUP($B61,T_Aop[],6,1)</f>
        <v>  d) Troškovi zakupa</v>
      </c>
      <c r="E61" s="437"/>
      <c r="F61" s="437"/>
      <c r="G61" s="437"/>
      <c r="H61" s="438"/>
      <c r="I61" s="65">
        <f>VLOOKUP($B61,T_Aop[],4,1)</f>
        <v>641</v>
      </c>
      <c r="J61" s="122"/>
      <c r="K61" s="123"/>
      <c r="O61" s="35"/>
    </row>
    <row r="62" spans="2:15" ht="12.75" customHeight="1">
      <c r="B62" s="54" t="n">
        <v>393</v>
      </c>
      <c r="C62" s="62" t="str">
        <f>VLOOKUP($B62,T_Aop[],5,1)</f>
        <v>534 + 535</v>
      </c>
      <c r="D62" s="439" t="str">
        <f>VLOOKUP($B62,T_Aop[],6,1)</f>
        <v>  đ) Troškovi sajmova, reklame i propagande</v>
      </c>
      <c r="E62" s="440"/>
      <c r="F62" s="440"/>
      <c r="G62" s="440"/>
      <c r="H62" s="441"/>
      <c r="I62" s="63">
        <f>VLOOKUP($B62,T_Aop[],4,1)</f>
        <v>642</v>
      </c>
      <c r="J62" s="120"/>
      <c r="K62" s="121"/>
      <c r="O62" s="35"/>
    </row>
    <row r="63" spans="2:15" ht="12.75" customHeight="1">
      <c r="B63" s="54" t="n">
        <v>394</v>
      </c>
      <c r="C63" s="64" t="str">
        <f>VLOOKUP($B63,T_Aop[],5,1)</f>
        <v>536 + 537</v>
      </c>
      <c r="D63" s="436" t="str">
        <f>VLOOKUP($B63,T_Aop[],6,1)</f>
        <v>  e) Troškovi istraživanja i razvoja koji se ne kapitalizuju</v>
      </c>
      <c r="E63" s="437"/>
      <c r="F63" s="437"/>
      <c r="G63" s="437"/>
      <c r="H63" s="438"/>
      <c r="I63" s="65">
        <f>VLOOKUP($B63,T_Aop[],4,1)</f>
        <v>643</v>
      </c>
      <c r="J63" s="122"/>
      <c r="K63" s="123"/>
      <c r="O63" s="35"/>
    </row>
    <row r="64" spans="2:15">
      <c r="B64" s="54" t="n">
        <v>395</v>
      </c>
      <c r="C64" s="62">
        <f>VLOOKUP($B64,T_Aop[],5,1)</f>
        <v>539</v>
      </c>
      <c r="D64" s="439" t="str">
        <f>VLOOKUP($B64,T_Aop[],6,1)</f>
        <v>  ž) Troškovi ostalih usluga</v>
      </c>
      <c r="E64" s="440"/>
      <c r="F64" s="440"/>
      <c r="G64" s="440"/>
      <c r="H64" s="441"/>
      <c r="I64" s="63">
        <f>VLOOKUP($B64,T_Aop[],4,1)</f>
        <v>644</v>
      </c>
      <c r="J64" s="120" t="n">
        <v>35</v>
      </c>
      <c r="K64" s="121" t="n">
        <v>76</v>
      </c>
      <c r="O64" s="35"/>
    </row>
    <row r="65" spans="2:15" ht="12.75" customHeight="1">
      <c r="B65" s="54" t="n">
        <v>396</v>
      </c>
      <c r="C65" s="64" t="str">
        <f>VLOOKUP($B65,T_Aop[],5,1)</f>
        <v>dio 539</v>
      </c>
      <c r="D65" s="436" t="str">
        <f>VLOOKUP($B65,T_Aop[],6,1)</f>
        <v>    Od toga: bruto iznosi naknada po ugovorima sa fizičkim licima van radnog odnosa</v>
      </c>
      <c r="E65" s="437"/>
      <c r="F65" s="437"/>
      <c r="G65" s="437"/>
      <c r="H65" s="438"/>
      <c r="I65" s="65">
        <f>VLOOKUP($B65,T_Aop[],4,1)</f>
        <v>645</v>
      </c>
      <c r="J65" s="122"/>
      <c r="K65" s="123"/>
      <c r="O65" s="35"/>
    </row>
    <row r="66" spans="2:15" ht="12.75" customHeight="1">
      <c r="B66" s="54" t="n">
        <v>397</v>
      </c>
      <c r="C66" s="147">
        <f>VLOOKUP($B66,T_Aop[],5,1)</f>
        <v>55</v>
      </c>
      <c r="D66" s="446" t="str">
        <f>VLOOKUP($B66,T_Aop[],6,1)</f>
        <v>NEMATERIJALNI TROŠKOVI (647 + 650 + 651 + 652 + 653 + 654 + 655 + 656)</v>
      </c>
      <c r="E66" s="447"/>
      <c r="F66" s="447"/>
      <c r="G66" s="447"/>
      <c r="H66" s="448"/>
      <c r="I66" s="134">
        <f>VLOOKUP($B66,T_Aop[],4,1)</f>
        <v>646</v>
      </c>
      <c r="J66" s="326">
        <f>SUBTOTAL(9,J67,J70:J76)</f>
        <v>22175</v>
      </c>
      <c r="K66" s="327">
        <f>SUBTOTAL(9,K67,K70:K76)</f>
        <v>23780</v>
      </c>
      <c r="O66" s="35"/>
    </row>
    <row r="67" spans="2:15" ht="12.75" customHeight="1">
      <c r="B67" s="54" t="n">
        <v>398</v>
      </c>
      <c r="C67" s="64">
        <f>VLOOKUP($B67,T_Aop[],5,1)</f>
        <v>550</v>
      </c>
      <c r="D67" s="436" t="str">
        <f>VLOOKUP($B67,T_Aop[],6,1)</f>
        <v>  a) Troškovi ostalih usluga</v>
      </c>
      <c r="E67" s="437"/>
      <c r="F67" s="437"/>
      <c r="G67" s="437"/>
      <c r="H67" s="438"/>
      <c r="I67" s="65">
        <f>VLOOKUP($B67,T_Aop[],4,1)</f>
        <v>647</v>
      </c>
      <c r="J67" s="122" t="n">
        <v>4187</v>
      </c>
      <c r="K67" s="123" t="n">
        <v>5952</v>
      </c>
      <c r="O67" s="35"/>
    </row>
    <row r="68" spans="2:15" ht="12.75" customHeight="1">
      <c r="B68" s="54" t="n">
        <v>399</v>
      </c>
      <c r="C68" s="62" t="str">
        <f>VLOOKUP($B68,T_Aop[],5,1)</f>
        <v>dio 550</v>
      </c>
      <c r="D68" s="439" t="str">
        <f>VLOOKUP($B68,T_Aop[],6,1)</f>
        <v>    Od toga: troškovi stručnog obrazovanja i usavršavanja zaposlenih</v>
      </c>
      <c r="E68" s="440"/>
      <c r="F68" s="440"/>
      <c r="G68" s="440"/>
      <c r="H68" s="441"/>
      <c r="I68" s="63">
        <f>VLOOKUP($B68,T_Aop[],4,1)</f>
        <v>648</v>
      </c>
      <c r="J68" s="120"/>
      <c r="K68" s="121"/>
      <c r="O68" s="35"/>
    </row>
    <row r="69" spans="2:15" ht="12.75" customHeight="1">
      <c r="B69" s="54" t="n">
        <v>400</v>
      </c>
      <c r="C69" s="64" t="str">
        <f>VLOOKUP($B69,T_Aop[],5,1)</f>
        <v>dio 550</v>
      </c>
      <c r="D69" s="436" t="str">
        <f>VLOOKUP($B69,T_Aop[],6,1)</f>
        <v>    Od toga: bruto iznosi naknada po ugovorima sa fizičkim licima van radnog odnosa</v>
      </c>
      <c r="E69" s="437"/>
      <c r="F69" s="437"/>
      <c r="G69" s="437"/>
      <c r="H69" s="438"/>
      <c r="I69" s="65">
        <f>VLOOKUP($B69,T_Aop[],4,1)</f>
        <v>649</v>
      </c>
      <c r="J69" s="122"/>
      <c r="K69" s="123"/>
      <c r="O69" s="35"/>
    </row>
    <row r="70" spans="2:15" ht="12.75" customHeight="1">
      <c r="B70" s="54" t="n">
        <v>401</v>
      </c>
      <c r="C70" s="62">
        <f>VLOOKUP($B70,T_Aop[],5,1)</f>
        <v>551</v>
      </c>
      <c r="D70" s="439" t="str">
        <f>VLOOKUP($B70,T_Aop[],6,1)</f>
        <v>  b) Troškovi reprezentacije</v>
      </c>
      <c r="E70" s="440"/>
      <c r="F70" s="440"/>
      <c r="G70" s="440"/>
      <c r="H70" s="441"/>
      <c r="I70" s="63">
        <f>VLOOKUP($B70,T_Aop[],4,1)</f>
        <v>650</v>
      </c>
      <c r="J70" s="120" t="n">
        <v>160</v>
      </c>
      <c r="K70" s="121" t="n">
        <v>274</v>
      </c>
      <c r="O70" s="35"/>
    </row>
    <row r="71" spans="2:15" ht="12.75" customHeight="1">
      <c r="B71" s="54" t="n">
        <v>402</v>
      </c>
      <c r="C71" s="64">
        <f>VLOOKUP($B71,T_Aop[],5,1)</f>
        <v>552</v>
      </c>
      <c r="D71" s="436" t="str">
        <f>VLOOKUP($B71,T_Aop[],6,1)</f>
        <v>  v) Troškovi premije osiguranja</v>
      </c>
      <c r="E71" s="437"/>
      <c r="F71" s="437"/>
      <c r="G71" s="437"/>
      <c r="H71" s="438"/>
      <c r="I71" s="65">
        <f>VLOOKUP($B71,T_Aop[],4,1)</f>
        <v>651</v>
      </c>
      <c r="J71" s="122" t="n">
        <v>3060</v>
      </c>
      <c r="K71" s="123" t="n">
        <v>291</v>
      </c>
      <c r="O71"/>
    </row>
    <row r="72" spans="2:15" ht="12.75" customHeight="1">
      <c r="B72" s="54" t="n">
        <v>403</v>
      </c>
      <c r="C72" s="62">
        <f>VLOOKUP($B72,T_Aop[],5,1)</f>
        <v>553</v>
      </c>
      <c r="D72" s="439" t="str">
        <f>VLOOKUP($B72,T_Aop[],6,1)</f>
        <v>  g) Troškovi platnog prometa</v>
      </c>
      <c r="E72" s="440"/>
      <c r="F72" s="440"/>
      <c r="G72" s="440"/>
      <c r="H72" s="441"/>
      <c r="I72" s="63">
        <f>VLOOKUP($B72,T_Aop[],4,1)</f>
        <v>652</v>
      </c>
      <c r="J72" s="120" t="n">
        <v>441</v>
      </c>
      <c r="K72" s="121" t="n">
        <v>743</v>
      </c>
      <c r="O72"/>
    </row>
    <row r="73" spans="2:15" ht="12.75" customHeight="1">
      <c r="B73" s="54" t="n">
        <v>404</v>
      </c>
      <c r="C73" s="64">
        <f>VLOOKUP($B73,T_Aop[],5,1)</f>
        <v>554</v>
      </c>
      <c r="D73" s="436" t="str">
        <f>VLOOKUP($B73,T_Aop[],6,1)</f>
        <v>  d) Troškovi članarina</v>
      </c>
      <c r="E73" s="437"/>
      <c r="F73" s="437"/>
      <c r="G73" s="437"/>
      <c r="H73" s="438"/>
      <c r="I73" s="65">
        <f>VLOOKUP($B73,T_Aop[],4,1)</f>
        <v>653</v>
      </c>
      <c r="J73" s="122" t="n">
        <v>577</v>
      </c>
      <c r="K73" s="123" t="n">
        <v>593</v>
      </c>
      <c r="O73"/>
    </row>
    <row r="74" spans="2:15" ht="12.75" customHeight="1">
      <c r="B74" s="54" t="n">
        <v>405</v>
      </c>
      <c r="C74" s="62" t="str">
        <f>VLOOKUP($B74,T_Aop[],5,1)</f>
        <v>dio 555</v>
      </c>
      <c r="D74" s="439" t="str">
        <f>VLOOKUP($B74,T_Aop[],6,1)</f>
        <v>  đ) Troškovi poreza na proizvode3, carine, boravišne takse, porez na igre na sreću i sl.</v>
      </c>
      <c r="E74" s="440"/>
      <c r="F74" s="440"/>
      <c r="G74" s="440"/>
      <c r="H74" s="441"/>
      <c r="I74" s="63">
        <f>VLOOKUP($B74,T_Aop[],4,1)</f>
        <v>654</v>
      </c>
      <c r="J74" s="120"/>
      <c r="K74" s="121"/>
      <c r="O74" s="35"/>
    </row>
    <row r="75" spans="2:15" ht="25.50" customHeight="1">
      <c r="B75" s="54" t="n">
        <v>406</v>
      </c>
      <c r="C75" s="64" t="str">
        <f>VLOOKUP($B75,T_Aop[],5,1)</f>
        <v>dio 555</v>
      </c>
      <c r="D75" s="436" t="str">
        <f>VLOOKUP($B75,T_Aop[],6,1)</f>
        <v>  e) Troškovi poreza na proizvodnju4: na imovinu, na zemljište, za korišćenje voda i šuma, za protivpožarnu zaštitu i sl.</v>
      </c>
      <c r="E75" s="437"/>
      <c r="F75" s="437"/>
      <c r="G75" s="437"/>
      <c r="H75" s="438"/>
      <c r="I75" s="65">
        <f>VLOOKUP($B75,T_Aop[],4,1)</f>
        <v>655</v>
      </c>
      <c r="J75" s="122" t="n">
        <v>13172</v>
      </c>
      <c r="K75" s="123" t="n">
        <v>15567</v>
      </c>
      <c r="O75" s="35"/>
    </row>
    <row r="76" spans="2:15" ht="12.75" customHeight="1">
      <c r="B76" s="54" t="n">
        <v>407</v>
      </c>
      <c r="C76" s="62">
        <f>VLOOKUP($B76,T_Aop[],5,1)</f>
        <v>559</v>
      </c>
      <c r="D76" s="439" t="str">
        <f>VLOOKUP($B76,T_Aop[],6,1)</f>
        <v>  ž) Ostali nematerijalni troškovi</v>
      </c>
      <c r="E76" s="440"/>
      <c r="F76" s="440"/>
      <c r="G76" s="440"/>
      <c r="H76" s="441"/>
      <c r="I76" s="63">
        <f>VLOOKUP($B76,T_Aop[],4,1)</f>
        <v>656</v>
      </c>
      <c r="J76" s="120" t="n">
        <v>578</v>
      </c>
      <c r="K76" s="121" t="n">
        <v>360</v>
      </c>
      <c r="O76" s="35"/>
    </row>
    <row r="77" spans="2:15" ht="12.75" customHeight="1">
      <c r="B77" s="54" t="n">
        <v>408</v>
      </c>
      <c r="C77" s="64">
        <f>VLOOKUP($B77,T_Aop[],5,1)</f>
        <v>0</v>
      </c>
      <c r="D77" s="436" t="str">
        <f>VLOOKUP($B77,T_Aop[],6,1)</f>
        <v>OBAVEZE I POTRAŽIVANJA</v>
      </c>
      <c r="E77" s="437"/>
      <c r="F77" s="437"/>
      <c r="G77" s="437"/>
      <c r="H77" s="438"/>
      <c r="I77" s="65">
        <f>VLOOKUP($B77,T_Aop[],4,1)</f>
        <v>657</v>
      </c>
      <c r="J77" s="122"/>
      <c r="K77" s="123"/>
      <c r="O77" s="35"/>
    </row>
    <row r="78" spans="2:15" ht="12.75" customHeight="1">
      <c r="B78" s="54" t="n">
        <v>409</v>
      </c>
      <c r="C78" s="62" t="str">
        <f>VLOOKUP($B78,T_Aop[],5,1)</f>
        <v>47, osim 479</v>
      </c>
      <c r="D78" s="439" t="str">
        <f>VLOOKUP($B78,T_Aop[],6,1)</f>
        <v>  Obračunati (fakturisani) porez na dodatu vrijednost (kumulativan promet konta)</v>
      </c>
      <c r="E78" s="440"/>
      <c r="F78" s="440"/>
      <c r="G78" s="440"/>
      <c r="H78" s="441"/>
      <c r="I78" s="63">
        <f>VLOOKUP($B78,T_Aop[],4,1)</f>
        <v>658</v>
      </c>
      <c r="J78" s="120" t="n">
        <v>58174</v>
      </c>
      <c r="K78" s="121" t="n">
        <v>48848</v>
      </c>
      <c r="O78" s="106" t="s">
        <v>69</v>
      </c>
    </row>
    <row r="79" spans="2:15" ht="12.75" customHeight="1">
      <c r="B79" s="54" t="n">
        <v>410</v>
      </c>
      <c r="C79" s="64" t="str">
        <f>VLOOKUP($B79,T_Aop[],5,1)</f>
        <v>27, osim 279</v>
      </c>
      <c r="D79" s="436" t="str">
        <f>VLOOKUP($B79,T_Aop[],6,1)</f>
        <v>  Ulazni porez na dodatu vrijednost (kumulativan promet konta)</v>
      </c>
      <c r="E79" s="437"/>
      <c r="F79" s="437"/>
      <c r="G79" s="437"/>
      <c r="H79" s="438"/>
      <c r="I79" s="65">
        <f>VLOOKUP($B79,T_Aop[],4,1)</f>
        <v>659</v>
      </c>
      <c r="J79" s="122" t="n">
        <v>41493</v>
      </c>
      <c r="K79" s="123" t="n">
        <v>62663</v>
      </c>
      <c r="O79" s="35"/>
    </row>
    <row r="80" spans="2:15" ht="12.75" customHeight="1">
      <c r="B80" s="54" t="n">
        <v>411</v>
      </c>
      <c r="C80" s="62">
        <f>VLOOKUP($B80,T_Aop[],5,1)</f>
        <v>479</v>
      </c>
      <c r="D80" s="439" t="str">
        <f>VLOOKUP($B80,T_Aop[],6,1)</f>
        <v>  Obaveze za PDV po osnovu razlike između obračunatog i akontacionog PDV-a (saldo konta)</v>
      </c>
      <c r="E80" s="440"/>
      <c r="F80" s="440"/>
      <c r="G80" s="440"/>
      <c r="H80" s="441"/>
      <c r="I80" s="63">
        <f>VLOOKUP($B80,T_Aop[],4,1)</f>
        <v>660</v>
      </c>
      <c r="J80" s="120"/>
      <c r="K80" s="121"/>
      <c r="O80" s="35"/>
    </row>
    <row r="81" spans="2:15" ht="12.75" customHeight="1">
      <c r="B81" s="54" t="n">
        <v>412</v>
      </c>
      <c r="C81" s="64">
        <f>VLOOKUP($B81,T_Aop[],5,1)</f>
        <v>279</v>
      </c>
      <c r="D81" s="436" t="str">
        <f>VLOOKUP($B81,T_Aop[],6,1)</f>
        <v>  Potraživanja po osnovu razlike između akontacionog i obračunatog PDV-a (saldo konta)</v>
      </c>
      <c r="E81" s="437"/>
      <c r="F81" s="437"/>
      <c r="G81" s="437"/>
      <c r="H81" s="438"/>
      <c r="I81" s="65">
        <f>VLOOKUP($B81,T_Aop[],4,1)</f>
        <v>661</v>
      </c>
      <c r="J81" s="122" t="n">
        <v>4309</v>
      </c>
      <c r="K81" s="123" t="n">
        <v>22514</v>
      </c>
      <c r="O81" s="35"/>
    </row>
    <row r="82" spans="2:15" ht="12.75" customHeight="1">
      <c r="B82" s="54" t="n">
        <v>413</v>
      </c>
      <c r="C82" s="62">
        <f>VLOOKUP($B82,T_Aop[],5,1)</f>
        <v>271</v>
      </c>
      <c r="D82" s="439" t="str">
        <f>VLOOKUP($B82,T_Aop[],6,1)</f>
        <v>  PDV plaćen pri uvozu (kumulativan promet konta)</v>
      </c>
      <c r="E82" s="440"/>
      <c r="F82" s="440"/>
      <c r="G82" s="440"/>
      <c r="H82" s="441"/>
      <c r="I82" s="63">
        <f>VLOOKUP($B82,T_Aop[],4,1)</f>
        <v>662</v>
      </c>
      <c r="J82" s="120"/>
      <c r="K82" s="121"/>
      <c r="O82" s="35"/>
    </row>
    <row r="83" spans="2:15" ht="12.75" customHeight="1">
      <c r="B83" s="54" t="n">
        <v>414</v>
      </c>
      <c r="C83" s="64">
        <f>VLOOKUP($B83,T_Aop[],5,1)</f>
        <v>484</v>
      </c>
      <c r="D83" s="436" t="str">
        <f>VLOOKUP($B83,T_Aop[],6,1)</f>
        <v>  Obaveze za PDV plaćen pri uvozu (kumulativan promet konta)</v>
      </c>
      <c r="E83" s="437"/>
      <c r="F83" s="437"/>
      <c r="G83" s="437"/>
      <c r="H83" s="438"/>
      <c r="I83" s="65">
        <f>VLOOKUP($B83,T_Aop[],4,1)</f>
        <v>663</v>
      </c>
      <c r="J83" s="122"/>
      <c r="K83" s="123"/>
      <c r="O83" s="35"/>
    </row>
    <row r="84" spans="2:15" ht="12.75" customHeight="1">
      <c r="B84" s="54" t="n">
        <v>415</v>
      </c>
      <c r="C84" s="62">
        <f>VLOOKUP($B84,T_Aop[],5,1)</f>
        <v>480</v>
      </c>
      <c r="D84" s="439" t="str">
        <f>VLOOKUP($B84,T_Aop[],6,1)</f>
        <v>  Obaveze za akcize (kumulativan promet konta)</v>
      </c>
      <c r="E84" s="440"/>
      <c r="F84" s="440"/>
      <c r="G84" s="440"/>
      <c r="H84" s="441"/>
      <c r="I84" s="63">
        <f>VLOOKUP($B84,T_Aop[],4,1)</f>
        <v>664</v>
      </c>
      <c r="J84" s="120"/>
      <c r="K84" s="121"/>
      <c r="O84" s="35"/>
    </row>
    <row r="85" spans="2:15" ht="12.75" customHeight="1">
      <c r="B85" s="54" t="n">
        <v>416</v>
      </c>
      <c r="C85" s="64" t="str">
        <f>VLOOKUP($B85,T_Aop[],5,1)</f>
        <v>nema konta</v>
      </c>
      <c r="D85" s="436" t="str">
        <f>VLOOKUP($B85,T_Aop[],6,1)</f>
        <v>  Prihodi ostvareni na bazi podugovaranja</v>
      </c>
      <c r="E85" s="437"/>
      <c r="F85" s="437"/>
      <c r="G85" s="437"/>
      <c r="H85" s="438"/>
      <c r="I85" s="65">
        <f>VLOOKUP($B85,T_Aop[],4,1)</f>
        <v>665</v>
      </c>
      <c r="J85" s="122"/>
      <c r="K85" s="123"/>
      <c r="O85" s="35"/>
    </row>
    <row r="86" spans="2:15" ht="12.75" customHeight="1">
      <c r="B86" s="54" t="n">
        <v>417</v>
      </c>
      <c r="C86" s="62" t="str">
        <f>VLOOKUP($B86,T_Aop[],5,1)</f>
        <v>nema konta</v>
      </c>
      <c r="D86" s="439" t="str">
        <f>VLOOKUP($B86,T_Aop[],6,1)</f>
        <v>  Plaćanja podugovaračima za rad, isporučene proizvode i usluge</v>
      </c>
      <c r="E86" s="440"/>
      <c r="F86" s="440"/>
      <c r="G86" s="440"/>
      <c r="H86" s="441"/>
      <c r="I86" s="63">
        <f>VLOOKUP($B86,T_Aop[],4,1)</f>
        <v>666</v>
      </c>
      <c r="J86" s="120"/>
      <c r="K86" s="121"/>
      <c r="O86" s="35"/>
    </row>
    <row r="87" spans="2:15" ht="12.75" customHeight="1">
      <c r="B87" s="54" t="n">
        <v>418</v>
      </c>
      <c r="C87" s="397" t="str">
        <f>VLOOKUP($B87,T_Aop[],5,1)</f>
        <v>nema konta</v>
      </c>
      <c r="D87" s="538" t="str">
        <f>VLOOKUP($B87,T_Aop[],6,1)</f>
        <v>  Ukupan broj odrađenih časova rada (efektivni časovi rada bez bolovanja, godišnjih odmora, državnih praznika i sl.)</v>
      </c>
      <c r="E87" s="539"/>
      <c r="F87" s="539"/>
      <c r="G87" s="539"/>
      <c r="H87" s="540"/>
      <c r="I87" s="398">
        <f>VLOOKUP($B87,T_Aop[],4,1)</f>
        <v>667</v>
      </c>
      <c r="J87" s="302" t="n">
        <v>11700</v>
      </c>
      <c r="K87" s="399" t="n">
        <v>11744</v>
      </c>
      <c r="O87" s="35"/>
    </row>
    <row r="88" spans="2:15" ht="12.75" customHeight="1">
      <c r="B88" s="54"/>
      <c r="C88" s="15"/>
      <c r="D88" s="407"/>
      <c r="E88" s="407"/>
      <c r="F88" s="407"/>
      <c r="G88" s="407"/>
      <c r="H88" s="407"/>
      <c r="I88" s="14"/>
      <c r="J88" s="408"/>
      <c r="K88" s="408"/>
      <c r="O88" s="35"/>
    </row>
    <row r="89" spans="2:15" ht="21.75" customHeight="1">
      <c r="B89" s="54" t="n">
        <v>419</v>
      </c>
      <c r="C89" s="407" t="str">
        <f>Prevod!G107</f>
        <v>1 Subvencije na proizvode obuhvataju subvencije koje se mogu iskazati po jedinici proizvoda, tj. iznos ovih subvencija zavisi od obima proizvodnje (npr. vozna karta, brašno, hljeb, mlijeko i sl.).</v>
      </c>
      <c r="D89" s="407"/>
      <c r="E89" s="407"/>
      <c r="F89" s="407"/>
      <c r="G89" s="407"/>
      <c r="H89" s="407"/>
      <c r="I89" s="407"/>
      <c r="J89" s="407"/>
      <c r="K89" s="407"/>
      <c r="O89" s="35"/>
    </row>
    <row r="90" spans="2:15" ht="21.75" customHeight="1">
      <c r="B90" s="54" t="n">
        <v>420</v>
      </c>
      <c r="C90" s="407" t="str">
        <f>Prevod!G108</f>
        <v>2 Subvencije na proizvodnju obuhvataju subvencije koje se ne mogu iskazati po jedinici proizvoda ili usluge  (npr. zapošljavanje, platu, kamatnu stopu, za smanjenje zagađenja i sl.).</v>
      </c>
      <c r="D90" s="407"/>
      <c r="E90" s="407"/>
      <c r="F90" s="407"/>
      <c r="G90" s="407"/>
      <c r="H90" s="407"/>
      <c r="I90" s="407"/>
      <c r="J90" s="407"/>
      <c r="K90" s="407"/>
      <c r="O90" s="35"/>
    </row>
    <row r="91" spans="2:15" ht="23.25" customHeight="1">
      <c r="B91" s="54" t="n">
        <v>421</v>
      </c>
      <c r="C91" s="407" t="str">
        <f>Prevod!G109</f>
        <v>3 Porezi na proizvode zavise od količine ili vrijednosti proizvedenih dobara i usluga (npr. carine, boravišne takse, porez na igre na sreću i sl.).</v>
      </c>
      <c r="D91" s="407"/>
      <c r="E91" s="407"/>
      <c r="F91" s="407"/>
      <c r="G91" s="407"/>
      <c r="H91" s="407"/>
      <c r="I91" s="407"/>
      <c r="J91" s="407"/>
      <c r="K91" s="407"/>
      <c r="O91" s="35"/>
    </row>
    <row r="92" spans="2:15" ht="21.75" customHeight="1">
      <c r="B92" s="54" t="n">
        <v>422</v>
      </c>
      <c r="C92" s="407"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407"/>
      <c r="E92" s="407"/>
      <c r="F92" s="407"/>
      <c r="G92" s="407"/>
      <c r="H92" s="407"/>
      <c r="I92" s="407"/>
      <c r="J92" s="407"/>
      <c r="K92" s="407"/>
      <c r="O92" s="35"/>
    </row>
    <row r="93" spans="3:11" ht="23.25" customHeight="1">
      <c r="C93" s="45"/>
      <c r="D93" s="48"/>
      <c r="E93" s="48"/>
      <c r="F93" s="48"/>
      <c r="G93" s="48"/>
      <c r="H93" s="48"/>
      <c r="I93" s="52"/>
      <c r="J93" s="45"/>
      <c r="K93" s="45"/>
    </row>
    <row r="94" spans="3:12">
      <c r="C94" s="140" t="str">
        <f aca="1">Podnozje_U</f>
        <v>U:</v>
      </c>
      <c r="D94" s="317" t="str">
        <f aca="1">Podatak_U</f>
        <v>Pelagićevu</v>
      </c>
      <c r="E94"/>
      <c r="F94" s="18" t="str">
        <f aca="1">Podnozje_Lice_sa_licencom</f>
        <v>Lice sa licencom:</v>
      </c>
      <c r="G94" s="18" t="str">
        <f aca="1">Podatak_Lice_sa_licencom</f>
        <v>Jokica Gavrić</v>
      </c>
      <c r="H94" s="45" t="str">
        <f aca="1">Podnozje_MP</f>
        <v>(M.P.)</v>
      </c>
      <c r="J94" s="19" t="str">
        <f aca="1">Podnozje_Direktor</f>
        <v>Lice ovlašćeno za zastupanje:</v>
      </c>
      <c r="K94" s="19"/>
      <c r="L94" s="19"/>
    </row>
    <row r="95" spans="3:11">
      <c r="C95" s="36"/>
      <c r="D95" s="25"/>
      <c r="E95"/>
      <c r="F95" s="22" t="str">
        <f aca="1">Podnozje_Broj_licence</f>
        <v>Broj licence:</v>
      </c>
      <c r="G95" s="22" t="str">
        <f aca="1">Podatak_Broj_Licence</f>
        <v>srt-0336/24</v>
      </c>
      <c r="H95"/>
      <c r="I95"/>
      <c r="J95" s="532" t="str">
        <f aca="1">Podatak_Direktor</f>
        <v>Obavezan unos podataka u formi!</v>
      </c>
      <c r="K95" s="532"/>
    </row>
    <row r="96" spans="3:11">
      <c r="C96" s="140" t="str">
        <f aca="1">Podnozje_Dana</f>
        <v>Dana:</v>
      </c>
      <c r="D96" s="317" t="str">
        <f aca="1">Podatak_Dana</f>
        <v>30.03.2024.</v>
      </c>
      <c r="E96"/>
      <c r="F96" s="493"/>
      <c r="G96" s="493"/>
      <c r="J96" s="493"/>
      <c r="K96" s="493"/>
    </row>
    <row r="97" spans="7:11">
      <c r="G97" s="47"/>
      <c r="H97" s="45"/>
      <c r="I97" s="141"/>
      <c r="J97" s="47"/>
      <c r="K97" s="47"/>
    </row>
    <row r="98" spans="6:11" hidden="1">
      <c r="F98" s="48"/>
      <c r="G98" s="48"/>
      <c r="H98" s="48"/>
      <c r="J98" s="45"/>
      <c r="K98" s="45"/>
      <extLst>
        <ext uri="smNativeData">
          <pm:rowDef xmlns:pm="smNativeData" id="1714042646" r="98" hidden="1" collapsedDB="0" collapsedOL="0"/>
        </ext>
      </extLst>
    </row>
    <row r="99" spans="1:1"/>
    <row r="100" spans="1:1"/>
    <row r="101" spans="1:1"/>
  </sheetData>
  <sheetProtection algorithmName="SHA-512" hashValue="TCUyHFUs3AzygGNTnmzExLRugv79lEEkIQ/JyFaRZtbiQ328w+3Um9E8ay3njFBcuT+RaMF2p1uz0yUICxDJAA==" saltValue="k6tz6EI3T3tCZ9n3lJ/IGg==" spinCount="100000" sheet="1" autoFilter="0"/>
  <mergeCells count="92">
    <mergeCell ref="J5:K5"/>
    <mergeCell ref="C5:E6"/>
    <mergeCell ref="C7:E7"/>
    <mergeCell ref="D8:E8"/>
    <mergeCell ref="C9:E9"/>
    <mergeCell ref="C10:E10"/>
    <mergeCell ref="C11:E11"/>
    <mergeCell ref="C12:E12"/>
    <mergeCell ref="C13:E13"/>
    <mergeCell ref="C14:K14"/>
    <mergeCell ref="C15:K15"/>
    <mergeCell ref="C16:K16"/>
    <mergeCell ref="J18:K18"/>
    <mergeCell ref="C18:C19"/>
    <mergeCell ref="D18:H19"/>
    <mergeCell ref="I18:I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C89:K89"/>
    <mergeCell ref="C90:K90"/>
    <mergeCell ref="C91:K91"/>
    <mergeCell ref="C92:K92"/>
    <mergeCell ref="J94:L94"/>
    <mergeCell ref="J95:K95"/>
    <mergeCell ref="F96:G96"/>
    <mergeCell ref="J96:K96"/>
  </mergeCells>
  <dataValidations count="2">
    <dataValidation sqref="J21:K36 J38:K55 J57:K65 J67:K88"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J37:K37 J56:K56 J66:K66" type="whole" operator="greaterThanOrEqual" errorStyle="stop" allowBlank="1" showInputMessage="1" showErrorMessage="1" prompt="U ovo polje se ne unosi iznos._x000a_Polje se automatski računa u skladu sa formulom." errorTitle="Graška" error="Unose se vrijednosti u konvertibilnim markama, bez decimalnih mjesta. Nije dozvoljen unos negativnih brojeva." view="0">
      <formula1>0</formula1>
      <formula2/>
    </dataValidation>
  </dataValidations>
  <printOptions>
    <extLst>
      <ext uri="smNativeData">
        <pm:pageFlags xmlns:pm="smNativeData" id="1714042646" printRowHead="0" printColHead="0" printHeadLine="0" printFootLine="1" autoHeightHeader="0" autoHeightFooter="0" fitToPageBoth="0"/>
      </ext>
    </extLst>
  </printOptions>
  <pageMargins left="0.393750" right="0.393750" top="0.393750" bottom="0.393750" header="0.315278" footer="0.236111"/>
  <pageSetup paperSize="9" scale="70" fitToWidth="0" fitToHeight="1"/>
  <headerFooter>
    <oddFooter>&amp;R&amp;"Verdana"&amp;8Strana &amp;P od &amp;N</odd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rowBreaks count="1" manualBreakCount="1">
    <brk id="52" man="1"/>
  </rowBreaks>
  <drawing r:id="rId1"/>
  <legacyDrawing r:id="rId2"/>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0000"/>
  </sheetPr>
  <dimension ref="A1:I110"/>
  <sheetViews>
    <sheetView showGridLines="0" showRowColHeaders="0" view="normal" workbookViewId="0">
      <pane xSplit="2" ySplit="1" topLeftCell="C50" activePane="bottomRight" state="frozen"/>
      <selection pane="bottomRight" activeCell="F65" sqref="F65"/>
    </sheetView>
  </sheetViews>
  <sheetFormatPr defaultRowHeight="14.20"/>
  <cols>
    <col min="1" max="1" width="16.138614" customWidth="1"/>
    <col min="2" max="2" width="27.425743" customWidth="1"/>
    <col min="3" max="3" width="46.287129" customWidth="1"/>
    <col min="4" max="5" width="42.712871" customWidth="1"/>
    <col min="6" max="7" width="38.287129" customWidth="1"/>
    <col min="8" max="8" width="31.287129" customWidth="1"/>
    <col min="9" max="9" width="12.564356" customWidth="1"/>
  </cols>
  <sheetData>
    <row r="1" spans="1:9">
      <c r="A1" s="19" t="s">
        <v>70</v>
      </c>
      <c r="B1" s="19" t="s">
        <v>71</v>
      </c>
      <c r="C1" s="19" t="s">
        <v>72</v>
      </c>
      <c r="D1" s="19" t="s">
        <v>73</v>
      </c>
      <c r="E1" s="19" t="s">
        <v>74</v>
      </c>
      <c r="F1" s="19" t="s">
        <v>75</v>
      </c>
      <c r="G1" s="44" t="s">
        <v>76</v>
      </c>
      <c r="H1" s="19" t="s">
        <v>77</v>
      </c>
      <c r="I1" s="19" t="s">
        <v>78</v>
      </c>
    </row>
    <row r="2" spans="1:9">
      <c r="A2" s="18" t="s">
        <v>79</v>
      </c>
      <c r="B2" s="18" t="s">
        <v>80</v>
      </c>
      <c r="C2" s="18" t="s">
        <v>81</v>
      </c>
      <c r="D2" s="18" t="s">
        <v>82</v>
      </c>
      <c r="E2" s="18" t="s">
        <v>83</v>
      </c>
      <c r="F2" t="s">
        <v>84</v>
      </c>
      <c r="G2" s="18" t="str">
        <f aca="1">CHOOSE(ID_Jezik,C2,D2,E2,F2)</f>
        <v>Podaci u zaglavlju:</v>
      </c>
      <c r="H2" s="18" t="str">
        <f>SUBSTITUTE(A2&amp;"_"&amp;B2," ","_")</f>
        <v>Objasnjenja_Zaglavlje</v>
      </c>
      <c r="I2">
        <f>COUNTIF($B$2:$B$1034,"="&amp;B2)</f>
        <v>1</v>
      </c>
    </row>
    <row r="3" spans="1:9">
      <c r="A3" s="18" t="s">
        <v>79</v>
      </c>
      <c r="B3" s="18" t="s">
        <v>85</v>
      </c>
      <c r="C3" s="18" t="s">
        <v>86</v>
      </c>
      <c r="D3" s="18" t="s">
        <v>87</v>
      </c>
      <c r="E3" s="18" t="s">
        <v>88</v>
      </c>
      <c r="F3" t="s">
        <v>89</v>
      </c>
      <c r="G3" s="18" t="str">
        <f aca="1">CHOOSE(ID_Jezik,C3,D3,E3,F3)</f>
        <v>Podaci ispod izvještaja:</v>
      </c>
      <c r="H3" s="18" t="str">
        <f>SUBSTITUTE(A3&amp;"_"&amp;B3," ","_")</f>
        <v>Objasnjenja_Podnozje</v>
      </c>
      <c r="I3">
        <f>COUNTIF($B$2:$B$1034,"="&amp;B3)</f>
        <v>1</v>
      </c>
    </row>
    <row r="4" spans="1:9">
      <c r="A4" s="18" t="s">
        <v>79</v>
      </c>
      <c r="B4" s="18" t="s">
        <v>90</v>
      </c>
      <c r="C4" s="18" t="s">
        <v>91</v>
      </c>
      <c r="D4" s="18" t="s">
        <v>92</v>
      </c>
      <c r="E4" s="18" t="s">
        <v>93</v>
      </c>
      <c r="F4" t="s">
        <v>94</v>
      </c>
      <c r="G4" s="18" t="str">
        <f aca="1">CHOOSE(ID_Jezik,C4,D4,E4,F4)</f>
        <v>Naziv banke</v>
      </c>
      <c r="H4" s="18" t="str">
        <f>SUBSTITUTE(A4&amp;"_"&amp;B4," ","_")</f>
        <v>Objasnjenja_Banka</v>
      </c>
      <c r="I4">
        <f>COUNTIF($B$2:$B$1034,"="&amp;B4)</f>
        <v>1</v>
      </c>
    </row>
    <row r="5" spans="1:9">
      <c r="A5" s="18" t="s">
        <v>79</v>
      </c>
      <c r="B5" s="18" t="s">
        <v>95</v>
      </c>
      <c r="C5" s="18" t="s">
        <v>96</v>
      </c>
      <c r="D5" s="18" t="s">
        <v>97</v>
      </c>
      <c r="E5" s="18" t="s">
        <v>98</v>
      </c>
      <c r="F5" t="s">
        <v>99</v>
      </c>
      <c r="G5" s="18" t="str">
        <f aca="1">CHOOSE(ID_Jezik,C5,D5,E5,F5)</f>
        <v>Računi u banci:</v>
      </c>
      <c r="H5" s="18" t="str">
        <f>SUBSTITUTE(A5&amp;"_"&amp;B5," ","_")</f>
        <v>Objasnjenja_Bankovni_racun</v>
      </c>
      <c r="I5">
        <f>COUNTIF($B$2:$B$1034,"="&amp;B5)</f>
        <v>1</v>
      </c>
    </row>
    <row r="6" spans="1:9">
      <c r="A6" s="18" t="s">
        <v>79</v>
      </c>
      <c r="B6" s="18" t="s">
        <v>100</v>
      </c>
      <c r="C6" s="18" t="s">
        <v>101</v>
      </c>
      <c r="D6" s="18" t="s">
        <v>102</v>
      </c>
      <c r="E6" s="18" t="s">
        <v>103</v>
      </c>
      <c r="F6" s="328" t="s">
        <v>104</v>
      </c>
      <c r="G6" s="18" t="str">
        <f aca="1">CHOOSE(ID_Jezik,C6,D6,E6,F6)</f>
        <v>Kontakt podaci:</v>
      </c>
      <c r="H6" s="18" t="str">
        <f>SUBSTITUTE(A6&amp;"_"&amp;B6," ","_")</f>
        <v>Objasnjenja_Kontakti</v>
      </c>
      <c r="I6">
        <f>COUNTIF($B$2:$B$1034,"="&amp;B6)</f>
        <v>1</v>
      </c>
    </row>
    <row r="7" spans="1:9">
      <c r="A7" s="18" t="s">
        <v>79</v>
      </c>
      <c r="B7" s="18" t="s">
        <v>105</v>
      </c>
      <c r="C7" s="18" t="s">
        <v>106</v>
      </c>
      <c r="D7" s="18" t="s">
        <v>107</v>
      </c>
      <c r="E7" s="18" t="s">
        <v>108</v>
      </c>
      <c r="F7" t="s">
        <v>109</v>
      </c>
      <c r="G7" s="18" t="str">
        <f aca="1">CHOOSE(ID_Jezik,C7,D7,E7,F7)</f>
        <v>Glavni račun:</v>
      </c>
      <c r="H7" s="18" t="str">
        <f>SUBSTITUTE(A7&amp;"_"&amp;B7," ","_")</f>
        <v>Objasnjenja_Glavni_racun</v>
      </c>
      <c r="I7">
        <f>COUNTIF($B$2:$B$1034,"="&amp;B7)</f>
        <v>1</v>
      </c>
    </row>
    <row r="8" spans="1:9">
      <c r="A8" s="18" t="s">
        <v>79</v>
      </c>
      <c r="B8" s="18" t="s">
        <v>110</v>
      </c>
      <c r="C8" s="18" t="s">
        <v>110</v>
      </c>
      <c r="D8" s="18" t="s">
        <v>111</v>
      </c>
      <c r="E8" s="18" t="s">
        <v>112</v>
      </c>
      <c r="F8" t="s">
        <v>113</v>
      </c>
      <c r="G8" s="18" t="str">
        <f aca="1">CHOOSE(ID_Jezik,C8,D8,E8,F8)</f>
        <v>Navigacija</v>
      </c>
      <c r="H8" s="18" t="str">
        <f>SUBSTITUTE(A8&amp;"_"&amp;B8," ","_")</f>
        <v>Objasnjenja_Navigacija</v>
      </c>
      <c r="I8">
        <f>COUNTIF($B$2:$B$1034,"="&amp;B8)</f>
        <v>1</v>
      </c>
    </row>
    <row r="9" spans="1:9">
      <c r="A9" s="18" t="s">
        <v>79</v>
      </c>
      <c r="B9" s="18" t="s">
        <v>114</v>
      </c>
      <c r="C9" s="18" t="s">
        <v>114</v>
      </c>
      <c r="D9" s="18" t="s">
        <v>115</v>
      </c>
      <c r="E9" s="18" t="s">
        <v>116</v>
      </c>
      <c r="F9" t="s">
        <v>117</v>
      </c>
      <c r="G9" s="18" t="str">
        <f aca="1">CHOOSE(ID_Jezik,C9,D9,E9,F9)</f>
        <v>Dan</v>
      </c>
      <c r="H9" s="18" t="str">
        <f>SUBSTITUTE(A9&amp;"_"&amp;B9," ","_")</f>
        <v>Objasnjenja_Dan</v>
      </c>
      <c r="I9">
        <f>COUNTIF($B$2:$B$1034,"="&amp;B9)</f>
        <v>1</v>
      </c>
    </row>
    <row r="10" spans="1:9">
      <c r="A10" s="18" t="s">
        <v>79</v>
      </c>
      <c r="B10" s="18" t="s">
        <v>118</v>
      </c>
      <c r="C10" s="18" t="s">
        <v>118</v>
      </c>
      <c r="D10" s="18" t="s">
        <v>119</v>
      </c>
      <c r="E10" s="18" t="s">
        <v>120</v>
      </c>
      <c r="F10" t="s">
        <v>121</v>
      </c>
      <c r="G10" s="18" t="str">
        <f aca="1">CHOOSE(ID_Jezik,C10,D10,E10,F10)</f>
        <v>Mjesec</v>
      </c>
      <c r="H10" s="18" t="str">
        <f>SUBSTITUTE(A10&amp;"_"&amp;B10," ","_")</f>
        <v>Objasnjenja_Mjesec</v>
      </c>
      <c r="I10">
        <f>COUNTIF($B$2:$B$1034,"="&amp;B10)</f>
        <v>1</v>
      </c>
    </row>
    <row r="11" spans="1:9">
      <c r="A11" s="18" t="s">
        <v>79</v>
      </c>
      <c r="B11" s="18" t="s">
        <v>122</v>
      </c>
      <c r="C11" s="18" t="s">
        <v>122</v>
      </c>
      <c r="D11" s="18" t="s">
        <v>123</v>
      </c>
      <c r="E11" s="18" t="s">
        <v>124</v>
      </c>
      <c r="F11" t="s">
        <v>125</v>
      </c>
      <c r="G11" s="18" t="str">
        <f aca="1">CHOOSE(ID_Jezik,C11,D11,E11,F11)</f>
        <v>Godina</v>
      </c>
      <c r="H11" s="18" t="str">
        <f>SUBSTITUTE(A11&amp;"_"&amp;B11," ","_")</f>
        <v>Objasnjenja_Godina</v>
      </c>
      <c r="I11">
        <f>COUNTIF($B$2:$B$1034,"="&amp;B11)</f>
        <v>1</v>
      </c>
    </row>
    <row r="12" spans="1:9">
      <c r="A12" s="18" t="s">
        <v>126</v>
      </c>
      <c r="B12" s="18" t="s">
        <v>127</v>
      </c>
      <c r="C12" s="18" t="s">
        <v>128</v>
      </c>
      <c r="D12" s="18" t="s">
        <v>129</v>
      </c>
      <c r="E12" s="18" t="s">
        <v>130</v>
      </c>
      <c r="F12" t="s">
        <v>131</v>
      </c>
      <c r="G12" s="18" t="str">
        <f aca="1">CHOOSE(ID_Jezik,C12,D12,E12,F12)</f>
        <v>Adresa i broj:</v>
      </c>
      <c r="H12" s="18" t="str">
        <f>SUBSTITUTE(A12&amp;"_"&amp;B12," ","_")</f>
        <v>Kontakt_Adresa</v>
      </c>
      <c r="I12">
        <f>COUNTIF($B$2:$B$1034,"="&amp;B12)</f>
        <v>1</v>
      </c>
    </row>
    <row r="13" spans="1:9">
      <c r="A13" s="18" t="s">
        <v>126</v>
      </c>
      <c r="B13" s="18" t="s">
        <v>132</v>
      </c>
      <c r="C13" s="18" t="s">
        <v>133</v>
      </c>
      <c r="D13" s="18" t="s">
        <v>134</v>
      </c>
      <c r="E13" s="18" t="s">
        <v>135</v>
      </c>
      <c r="F13" t="s">
        <v>136</v>
      </c>
      <c r="G13" s="18" t="str">
        <f aca="1">CHOOSE(ID_Jezik,C13,D13,E13,F13)</f>
        <v>Internet adresa:</v>
      </c>
      <c r="H13" s="18" t="str">
        <f>SUBSTITUTE(A13&amp;"_"&amp;B13," ","_")</f>
        <v>Kontakt_web</v>
      </c>
      <c r="I13">
        <f>COUNTIF($B$2:$B$1034,"="&amp;B13)</f>
        <v>1</v>
      </c>
    </row>
    <row r="14" spans="1:9">
      <c r="A14" s="18" t="s">
        <v>126</v>
      </c>
      <c r="B14" s="18" t="s">
        <v>137</v>
      </c>
      <c r="C14" s="18" t="s">
        <v>138</v>
      </c>
      <c r="D14" s="18" t="s">
        <v>139</v>
      </c>
      <c r="E14" s="18" t="s">
        <v>140</v>
      </c>
      <c r="F14" t="s">
        <v>141</v>
      </c>
      <c r="G14" s="18" t="str">
        <f aca="1">CHOOSE(ID_Jezik,C14,D14,E14,F14)</f>
        <v>Adresa e-pošte (email):</v>
      </c>
      <c r="H14" s="18" t="str">
        <f>SUBSTITUTE(A14&amp;"_"&amp;B14," ","_")</f>
        <v>Kontakt_email</v>
      </c>
      <c r="I14">
        <f>COUNTIF($B$2:$B$1034,"="&amp;B14)</f>
        <v>1</v>
      </c>
    </row>
    <row r="15" spans="1:9">
      <c r="A15" s="18" t="s">
        <v>126</v>
      </c>
      <c r="B15" s="18" t="s">
        <v>142</v>
      </c>
      <c r="C15" s="18" t="s">
        <v>143</v>
      </c>
      <c r="D15" s="18" t="s">
        <v>144</v>
      </c>
      <c r="E15" s="18" t="s">
        <v>145</v>
      </c>
      <c r="F15" t="s">
        <v>146</v>
      </c>
      <c r="G15" s="18" t="str">
        <f aca="1">CHOOSE(ID_Jezik,C15,D15,E15,F15)</f>
        <v>Telefon:</v>
      </c>
      <c r="H15" s="18" t="str">
        <f>SUBSTITUTE(A15&amp;"_"&amp;B15," ","_")</f>
        <v>Kontakt_tel</v>
      </c>
      <c r="I15">
        <f>COUNTIF($B$2:$B$1034,"="&amp;B15)</f>
        <v>1</v>
      </c>
    </row>
    <row r="16" spans="1:9">
      <c r="A16" s="18" t="s">
        <v>126</v>
      </c>
      <c r="B16" s="18" t="s">
        <v>147</v>
      </c>
      <c r="C16" s="18" t="s">
        <v>148</v>
      </c>
      <c r="D16" s="18" t="s">
        <v>149</v>
      </c>
      <c r="E16" s="18" t="s">
        <v>150</v>
      </c>
      <c r="F16" t="s">
        <v>151</v>
      </c>
      <c r="G16" s="18" t="str">
        <f aca="1">CHOOSE(ID_Jezik,C16,D16,E16,F16)</f>
        <v>Faks:</v>
      </c>
      <c r="H16" s="18" t="str">
        <f>SUBSTITUTE(A16&amp;"_"&amp;B16," ","_")</f>
        <v>Kontakt_fax</v>
      </c>
      <c r="I16">
        <f>COUNTIF($B$2:$B$1034,"="&amp;B16)</f>
        <v>1</v>
      </c>
    </row>
    <row r="17" spans="1:9">
      <c r="A17" s="18" t="s">
        <v>152</v>
      </c>
      <c r="B17" s="18" t="s">
        <v>153</v>
      </c>
      <c r="C17" s="18" t="s">
        <v>154</v>
      </c>
      <c r="D17" s="18" t="s">
        <v>155</v>
      </c>
      <c r="E17" s="18" t="s">
        <v>154</v>
      </c>
      <c r="F17" t="s">
        <v>156</v>
      </c>
      <c r="G17" s="18" t="str">
        <f aca="1">CHOOSE(ID_Jezik,C17,D17,E17,F17)</f>
        <v>Izaberite jezik | Choose language</v>
      </c>
      <c r="H17" s="18" t="str">
        <f>SUBSTITUTE(A17&amp;"_"&amp;B17," ","_")</f>
        <v>Osnovno_Izaberite_jezik</v>
      </c>
      <c r="I17">
        <f>COUNTIF($B$2:$B$1034,"="&amp;B17)</f>
        <v>1</v>
      </c>
    </row>
    <row r="18" spans="1:9">
      <c r="A18" s="18" t="s">
        <v>152</v>
      </c>
      <c r="B18" s="18" t="s">
        <v>157</v>
      </c>
      <c r="C18" s="18" t="s">
        <v>158</v>
      </c>
      <c r="D18" s="18" t="s">
        <v>159</v>
      </c>
      <c r="E18" s="18" t="s">
        <v>160</v>
      </c>
      <c r="F18" t="s">
        <v>161</v>
      </c>
      <c r="G18" s="18" t="str">
        <f aca="1">CHOOSE(ID_Jezik,C18,D18,E18,F18)</f>
        <v>Izvještajni period:</v>
      </c>
      <c r="H18" s="18" t="str">
        <f>SUBSTITUTE(A18&amp;"_"&amp;B18," ","_")</f>
        <v>Osnovno_Izvjestajni_period</v>
      </c>
      <c r="I18">
        <f>COUNTIF($B$2:$B$1034,"="&amp;B18)</f>
        <v>1</v>
      </c>
    </row>
    <row r="19" spans="1:9">
      <c r="A19" s="18" t="s">
        <v>152</v>
      </c>
      <c r="B19" s="18" t="s">
        <v>162</v>
      </c>
      <c r="C19" s="18" t="s">
        <v>163</v>
      </c>
      <c r="D19" s="18" t="s">
        <v>164</v>
      </c>
      <c r="E19" s="18" t="s">
        <v>165</v>
      </c>
      <c r="F19" t="s">
        <v>166</v>
      </c>
      <c r="G19" s="18" t="str">
        <f aca="1">CHOOSE(ID_Jezik,C19,D19,E19,F19)</f>
        <v>Početak izvještajnog perioda:</v>
      </c>
      <c r="H19" s="18" t="str">
        <f>SUBSTITUTE(A19&amp;"_"&amp;B19," ","_")</f>
        <v>Osnovno_Pocetak_perioda</v>
      </c>
      <c r="I19">
        <f>COUNTIF($B$2:$B$1034,"="&amp;B19)</f>
        <v>1</v>
      </c>
    </row>
    <row r="20" spans="1:9">
      <c r="A20" s="18" t="s">
        <v>152</v>
      </c>
      <c r="B20" s="18" t="s">
        <v>167</v>
      </c>
      <c r="C20" s="18" t="s">
        <v>168</v>
      </c>
      <c r="D20" s="18" t="s">
        <v>169</v>
      </c>
      <c r="E20" s="18" t="s">
        <v>170</v>
      </c>
      <c r="F20" t="s">
        <v>171</v>
      </c>
      <c r="G20" s="18" t="str">
        <f aca="1">CHOOSE(ID_Jezik,C20,D20,E20,F20)</f>
        <v>Kraj izvještajnog perioda:</v>
      </c>
      <c r="H20" s="18" t="str">
        <f>SUBSTITUTE(A20&amp;"_"&amp;B20," ","_")</f>
        <v>Osnovno_Kraj_perioda</v>
      </c>
      <c r="I20">
        <f>COUNTIF($B$2:$B$1034,"="&amp;B20)</f>
        <v>1</v>
      </c>
    </row>
    <row r="21" spans="1:9">
      <c r="A21" s="18" t="s">
        <v>152</v>
      </c>
      <c r="B21" s="18" t="s">
        <v>172</v>
      </c>
      <c r="C21" s="18" t="s">
        <v>173</v>
      </c>
      <c r="D21" s="18" t="s">
        <v>174</v>
      </c>
      <c r="E21" s="18" t="s">
        <v>175</v>
      </c>
      <c r="F21" t="s">
        <v>176</v>
      </c>
      <c r="G21" s="18" t="str">
        <f aca="1">CHOOSE(ID_Jezik,C21,D21,E21,F21)</f>
        <v>Vrsta izvještaja:</v>
      </c>
      <c r="H21" s="18" t="str">
        <f>SUBSTITUTE(A21&amp;"_"&amp;B21," ","_")</f>
        <v>Osnovno_Vrsta_izvjestaja</v>
      </c>
      <c r="I21">
        <f>COUNTIF($B$2:$B$1034,"="&amp;B21)</f>
        <v>1</v>
      </c>
    </row>
    <row r="22" spans="1:9">
      <c r="A22" s="18" t="s">
        <v>177</v>
      </c>
      <c r="B22" s="18" t="s">
        <v>178</v>
      </c>
      <c r="C22" s="18" t="s">
        <v>179</v>
      </c>
      <c r="D22" s="18" t="s">
        <v>180</v>
      </c>
      <c r="E22" s="18" t="s">
        <v>181</v>
      </c>
      <c r="F22" t="s">
        <v>182</v>
      </c>
      <c r="G22" s="18" t="str">
        <f aca="1">CHOOSE(ID_Jezik,C22,D22,E22,F22)</f>
        <v>Prvi kvartal</v>
      </c>
      <c r="H22" s="18" t="str">
        <f>SUBSTITUTE(A22&amp;"_"&amp;B22," ","_")</f>
        <v>Vrsta_izvjestaja_Prvi_kvartal</v>
      </c>
      <c r="I22">
        <f>COUNTIF($B$2:$B$1034,"="&amp;B22)</f>
        <v>1</v>
      </c>
    </row>
    <row r="23" spans="1:9">
      <c r="A23" s="18" t="s">
        <v>177</v>
      </c>
      <c r="B23" s="18" t="s">
        <v>183</v>
      </c>
      <c r="C23" s="18" t="s">
        <v>184</v>
      </c>
      <c r="D23" s="18" t="s">
        <v>185</v>
      </c>
      <c r="E23" s="18" t="s">
        <v>186</v>
      </c>
      <c r="F23" t="s">
        <v>187</v>
      </c>
      <c r="G23" s="18" t="str">
        <f aca="1">CHOOSE(ID_Jezik,C23,D23,E23,F23)</f>
        <v>Polugodišnji</v>
      </c>
      <c r="H23" s="18" t="str">
        <f>SUBSTITUTE(A23&amp;"_"&amp;B23," ","_")</f>
        <v>Vrsta_izvjestaja_Polugodisnji</v>
      </c>
      <c r="I23">
        <f>COUNTIF($B$2:$B$1034,"="&amp;B23)</f>
        <v>1</v>
      </c>
    </row>
    <row r="24" spans="1:9">
      <c r="A24" s="18" t="s">
        <v>177</v>
      </c>
      <c r="B24" s="18" t="s">
        <v>188</v>
      </c>
      <c r="C24" s="18" t="s">
        <v>189</v>
      </c>
      <c r="D24" s="18" t="s">
        <v>190</v>
      </c>
      <c r="E24" s="18" t="s">
        <v>191</v>
      </c>
      <c r="F24" t="s">
        <v>192</v>
      </c>
      <c r="G24" s="18" t="str">
        <f aca="1">CHOOSE(ID_Jezik,C24,D24,E24,F24)</f>
        <v>Treći kvartal</v>
      </c>
      <c r="H24" s="18" t="str">
        <f>SUBSTITUTE(A24&amp;"_"&amp;B24," ","_")</f>
        <v>Vrsta_izvjestaja_Treci_kvartal</v>
      </c>
      <c r="I24">
        <f>COUNTIF($B$2:$B$1034,"="&amp;B24)</f>
        <v>1</v>
      </c>
    </row>
    <row r="25" spans="1:9">
      <c r="A25" s="18" t="s">
        <v>177</v>
      </c>
      <c r="B25" s="18" t="s">
        <v>193</v>
      </c>
      <c r="C25" s="18" t="s">
        <v>194</v>
      </c>
      <c r="D25" s="18" t="s">
        <v>195</v>
      </c>
      <c r="E25" s="18" t="s">
        <v>196</v>
      </c>
      <c r="F25" t="s">
        <v>197</v>
      </c>
      <c r="G25" s="18" t="str">
        <f aca="1">CHOOSE(ID_Jezik,C25,D25,E25,F25)</f>
        <v>Godišnji</v>
      </c>
      <c r="H25" s="18" t="str">
        <f>SUBSTITUTE(A25&amp;"_"&amp;B25," ","_")</f>
        <v>Vrsta_izvjestaja_Godisnji</v>
      </c>
      <c r="I25">
        <f>COUNTIF($B$2:$B$1034,"="&amp;B25)</f>
        <v>1</v>
      </c>
    </row>
    <row r="26" spans="1:9">
      <c r="A26" s="18" t="s">
        <v>177</v>
      </c>
      <c r="B26" s="18" t="s">
        <v>198</v>
      </c>
      <c r="C26" s="18" t="s">
        <v>199</v>
      </c>
      <c r="D26" s="18" t="s">
        <v>200</v>
      </c>
      <c r="E26" s="18" t="s">
        <v>201</v>
      </c>
      <c r="F26" t="s">
        <v>202</v>
      </c>
      <c r="G26" s="18" t="str">
        <f aca="1">CHOOSE(ID_Jezik,C26,D26,E26,F26)</f>
        <v>Specifični</v>
      </c>
      <c r="H26" s="18" t="str">
        <f>SUBSTITUTE(A26&amp;"_"&amp;B26," ","_")</f>
        <v>Vrsta_izvjestaja_Specificni</v>
      </c>
      <c r="I26">
        <f>COUNTIF($B$2:$B$1034,"="&amp;B26)</f>
        <v>1</v>
      </c>
    </row>
    <row r="27" spans="1:9">
      <c r="A27" t="s">
        <v>80</v>
      </c>
      <c r="B27" t="s">
        <v>203</v>
      </c>
      <c r="C27" t="s">
        <v>204</v>
      </c>
      <c r="D27" t="s">
        <v>205</v>
      </c>
      <c r="E27" t="s">
        <v>206</v>
      </c>
      <c r="F27" t="s">
        <v>207</v>
      </c>
      <c r="G27" t="str">
        <f aca="1">CHOOSE(ID_Jezik,C27,D27,E27,F27)</f>
        <v>Matični broj</v>
      </c>
      <c r="H27" t="str">
        <f>SUBSTITUTE(A27&amp;"_"&amp;B27," ","_")</f>
        <v>Zaglavlje_MB</v>
      </c>
      <c r="I27">
        <f>COUNTIF($B$2:$B$1034,"="&amp;B27)</f>
        <v>1</v>
      </c>
    </row>
    <row r="28" spans="1:9">
      <c r="A28" t="s">
        <v>80</v>
      </c>
      <c r="B28" t="s">
        <v>208</v>
      </c>
      <c r="C28" t="s">
        <v>209</v>
      </c>
      <c r="D28" t="s">
        <v>210</v>
      </c>
      <c r="E28" t="s">
        <v>211</v>
      </c>
      <c r="F28" t="s">
        <v>212</v>
      </c>
      <c r="G28" t="str">
        <f aca="1">CHOOSE(ID_Jezik,C28,D28,E28,F28)</f>
        <v>Šifra djelatnosti</v>
      </c>
      <c r="H28" t="str">
        <f>SUBSTITUTE(A28&amp;"_"&amp;B28," ","_")</f>
        <v>Zaglavlje_Sifra_djelatnosti</v>
      </c>
      <c r="I28">
        <f>COUNTIF($B$2:$B$1034,"="&amp;B28)</f>
        <v>1</v>
      </c>
    </row>
    <row r="29" spans="1:9">
      <c r="A29" t="s">
        <v>80</v>
      </c>
      <c r="B29" t="s">
        <v>213</v>
      </c>
      <c r="C29" t="s">
        <v>214</v>
      </c>
      <c r="D29" t="s">
        <v>215</v>
      </c>
      <c r="E29" t="s">
        <v>216</v>
      </c>
      <c r="F29" t="s">
        <v>217</v>
      </c>
      <c r="G29" t="str">
        <f aca="1">CHOOSE(ID_Jezik,C29,D29,E29,F29)</f>
        <v>Naziv privrednog društva, zadruge, drugog pravnog lica ili preduzetnika: </v>
      </c>
      <c r="H29" t="str">
        <f>SUBSTITUTE(A29&amp;"_"&amp;B29," ","_")</f>
        <v>Zaglavlje_Naziv_preduzeca</v>
      </c>
      <c r="I29">
        <f>COUNTIF($B$2:$B$1034,"="&amp;B29)</f>
        <v>1</v>
      </c>
    </row>
    <row r="30" spans="1:9">
      <c r="A30" t="s">
        <v>80</v>
      </c>
      <c r="B30" t="s">
        <v>218</v>
      </c>
      <c r="C30" t="s">
        <v>219</v>
      </c>
      <c r="D30" t="s">
        <v>220</v>
      </c>
      <c r="E30" t="s">
        <v>221</v>
      </c>
      <c r="F30" t="s">
        <v>222</v>
      </c>
      <c r="G30" t="str">
        <f aca="1">CHOOSE(ID_Jezik,C30,D30,E30,F30)</f>
        <v>Sjedište:</v>
      </c>
      <c r="H30" t="str">
        <f>SUBSTITUTE(A30&amp;"_"&amp;B30," ","_")</f>
        <v>Zaglavlje_Sjediste</v>
      </c>
      <c r="I30">
        <f>COUNTIF($B$2:$B$1034,"="&amp;B30)</f>
        <v>1</v>
      </c>
    </row>
    <row r="31" spans="1:9">
      <c r="A31" t="s">
        <v>80</v>
      </c>
      <c r="B31" t="s">
        <v>223</v>
      </c>
      <c r="C31" t="s">
        <v>223</v>
      </c>
      <c r="D31" t="s">
        <v>224</v>
      </c>
      <c r="E31" t="s">
        <v>225</v>
      </c>
      <c r="F31" t="s">
        <v>226</v>
      </c>
      <c r="G31" t="str">
        <f aca="1">CHOOSE(ID_Jezik,C31,D31,E31,F31)</f>
        <v>JIB</v>
      </c>
      <c r="H31" t="str">
        <f>SUBSTITUTE(A31&amp;"_"&amp;B31," ","_")</f>
        <v>Zaglavlje_JIB</v>
      </c>
      <c r="I31">
        <f>COUNTIF($B$2:$B$1034,"="&amp;B31)</f>
        <v>1</v>
      </c>
    </row>
    <row r="32" spans="1:9">
      <c r="A32" t="s">
        <v>80</v>
      </c>
      <c r="B32" t="s">
        <v>227</v>
      </c>
      <c r="C32" t="s">
        <v>228</v>
      </c>
      <c r="D32" t="s">
        <v>229</v>
      </c>
      <c r="E32" t="s">
        <v>98</v>
      </c>
      <c r="F32" t="s">
        <v>230</v>
      </c>
      <c r="G32" t="str">
        <f aca="1">CHOOSE(ID_Jezik,C32,D32,E32,F32)</f>
        <v>Račun kod ovlašćene organizacije za platni promet:</v>
      </c>
      <c r="H32" t="str">
        <f>SUBSTITUTE(A32&amp;"_"&amp;B32," ","_")</f>
        <v>Zaglavlje_Ziro_racun</v>
      </c>
      <c r="I32">
        <f>COUNTIF($B$2:$B$1034,"="&amp;B32)</f>
        <v>1</v>
      </c>
    </row>
    <row r="33" spans="1:9">
      <c r="A33" t="s">
        <v>231</v>
      </c>
      <c r="B33" t="s">
        <v>232</v>
      </c>
      <c r="C33" t="s">
        <v>233</v>
      </c>
      <c r="D33" t="s">
        <v>234</v>
      </c>
      <c r="E33" t="s">
        <v>235</v>
      </c>
      <c r="F33" t="s">
        <v>236</v>
      </c>
      <c r="G33" t="str">
        <f aca="1">CHOOSE(ID_Jezik,C33,D33,E33,F33)</f>
        <v>Konsolidovan izvještaj:</v>
      </c>
      <c r="H33" t="str">
        <f>SUBSTITUTE(A33&amp;"_"&amp;B33," ","_")</f>
        <v>Konsolidovani_Konsolidavani_Izvjestaj</v>
      </c>
      <c r="I33">
        <f>COUNTIF($B$2:$B$1034,"="&amp;B33)</f>
        <v>1</v>
      </c>
    </row>
    <row r="34" spans="1:9">
      <c r="A34" t="s">
        <v>231</v>
      </c>
      <c r="B34" t="s">
        <v>231</v>
      </c>
      <c r="C34" t="s">
        <v>237</v>
      </c>
      <c r="D34" t="s">
        <v>238</v>
      </c>
      <c r="E34" t="s">
        <v>239</v>
      </c>
      <c r="F34" t="s">
        <v>240</v>
      </c>
      <c r="G34" t="str">
        <f aca="1">CHOOSE(ID_Jezik,C34,D34,E34,F34)</f>
        <v>Preduzeće konsolidacije</v>
      </c>
      <c r="H34" t="str">
        <f>SUBSTITUTE(A34&amp;"_"&amp;B34," ","_")</f>
        <v>Konsolidovani_Konsolidovani</v>
      </c>
      <c r="I34">
        <f>COUNTIF($B$2:$B$1034,"="&amp;B34)</f>
        <v>1</v>
      </c>
    </row>
    <row r="35" spans="1:9">
      <c r="A35" t="s">
        <v>85</v>
      </c>
      <c r="B35" t="s">
        <v>241</v>
      </c>
      <c r="C35" t="s">
        <v>242</v>
      </c>
      <c r="D35" t="s">
        <v>243</v>
      </c>
      <c r="E35" t="s">
        <v>244</v>
      </c>
      <c r="F35" t="s">
        <v>245</v>
      </c>
      <c r="G35" t="str">
        <f aca="1">CHOOSE(ID_Jezik,C35,D35,E35,F35)</f>
        <v>U:</v>
      </c>
      <c r="H35" t="str">
        <f>SUBSTITUTE(A35&amp;"_"&amp;B35," ","_")</f>
        <v>Podnozje_U</v>
      </c>
      <c r="I35">
        <f>COUNTIF($B$2:$B$1034,"="&amp;B35)</f>
        <v>1</v>
      </c>
    </row>
    <row r="36" spans="1:9">
      <c r="A36" t="s">
        <v>85</v>
      </c>
      <c r="B36" t="s">
        <v>246</v>
      </c>
      <c r="C36" t="s">
        <v>247</v>
      </c>
      <c r="D36" t="s">
        <v>248</v>
      </c>
      <c r="E36" t="s">
        <v>249</v>
      </c>
      <c r="F36" t="s">
        <v>250</v>
      </c>
      <c r="G36" t="str">
        <f aca="1">CHOOSE(ID_Jezik,C36,D36,E36,F36)</f>
        <v>Dana:</v>
      </c>
      <c r="H36" t="str">
        <f>SUBSTITUTE(A36&amp;"_"&amp;B36," ","_")</f>
        <v>Podnozje_Dana</v>
      </c>
      <c r="I36">
        <f>COUNTIF($B$2:$B$1034,"="&amp;B36)</f>
        <v>1</v>
      </c>
    </row>
    <row r="37" spans="1:9">
      <c r="A37" t="s">
        <v>85</v>
      </c>
      <c r="B37" t="s">
        <v>251</v>
      </c>
      <c r="C37" t="s">
        <v>252</v>
      </c>
      <c r="D37" t="s">
        <v>253</v>
      </c>
      <c r="E37" t="s">
        <v>254</v>
      </c>
      <c r="F37" t="s">
        <v>255</v>
      </c>
      <c r="G37" t="str">
        <f aca="1">CHOOSE(ID_Jezik,C37,D37,E37,F37)</f>
        <v>Lice sa licencom:</v>
      </c>
      <c r="H37" t="str">
        <f>SUBSTITUTE(A37&amp;"_"&amp;B37," ","_")</f>
        <v>Podnozje_Lice_sa_licencom</v>
      </c>
      <c r="I37">
        <f>COUNTIF($B$2:$B$1034,"="&amp;B37)</f>
        <v>1</v>
      </c>
    </row>
    <row r="38" spans="1:9">
      <c r="A38" t="s">
        <v>85</v>
      </c>
      <c r="B38" t="s">
        <v>256</v>
      </c>
      <c r="C38" t="s">
        <v>257</v>
      </c>
      <c r="D38" t="s">
        <v>258</v>
      </c>
      <c r="E38" t="s">
        <v>259</v>
      </c>
      <c r="F38" t="s">
        <v>260</v>
      </c>
      <c r="G38" t="str">
        <f aca="1">CHOOSE(ID_Jezik,C38,D38,E38,F38)</f>
        <v>Broj licence:</v>
      </c>
      <c r="H38" t="str">
        <f>SUBSTITUTE(A38&amp;"_"&amp;B38," ","_")</f>
        <v>Podnozje_Broj_licence</v>
      </c>
      <c r="I38">
        <f>COUNTIF($B$2:$B$1034,"="&amp;B38)</f>
        <v>1</v>
      </c>
    </row>
    <row r="39" spans="1:9">
      <c r="A39" t="s">
        <v>85</v>
      </c>
      <c r="B39" t="s">
        <v>261</v>
      </c>
      <c r="C39" t="s">
        <v>262</v>
      </c>
      <c r="D39" t="s">
        <v>263</v>
      </c>
      <c r="E39" t="s">
        <v>264</v>
      </c>
      <c r="F39" t="s">
        <v>265</v>
      </c>
      <c r="G39" t="str">
        <f aca="1">CHOOSE(ID_Jezik,C39,D39,E39,F39)</f>
        <v>Lice ovlašćeno za zastupanje:</v>
      </c>
      <c r="H39" t="str">
        <f>SUBSTITUTE(A39&amp;"_"&amp;B39," ","_")</f>
        <v>Podnozje_Direktor</v>
      </c>
      <c r="I39">
        <f>COUNTIF($B$2:$B$1034,"="&amp;B39)</f>
        <v>1</v>
      </c>
    </row>
    <row r="40" spans="1:9">
      <c r="A40" t="s">
        <v>85</v>
      </c>
      <c r="B40" t="s">
        <v>266</v>
      </c>
      <c r="D40" t="s">
        <v>267</v>
      </c>
      <c r="E40" t="s">
        <v>268</v>
      </c>
      <c r="F40" t="n">
        <v>1</v>
      </c>
      <c r="G40">
        <f aca="1">CHOOSE(ID_Jezik,C40,D40,E40,F40)</f>
        <v>0</v>
      </c>
      <c r="H40" t="str">
        <f>SUBSTITUTE(A40&amp;"_"&amp;B40," ","_")</f>
        <v>Podnozje_Napomena_1.</v>
      </c>
      <c r="I40">
        <f>COUNTIF($B$2:$B$1034,"="&amp;B40)</f>
        <v>1</v>
      </c>
    </row>
    <row r="41" spans="1:9">
      <c r="A41" t="s">
        <v>85</v>
      </c>
      <c r="B41" t="s">
        <v>269</v>
      </c>
      <c r="D41" t="s">
        <v>270</v>
      </c>
      <c r="E41" t="s">
        <v>271</v>
      </c>
      <c r="F41" t="n">
        <v>2</v>
      </c>
      <c r="G41">
        <f aca="1">CHOOSE(ID_Jezik,C41,D41,E41,F41)</f>
        <v>0</v>
      </c>
      <c r="H41" t="str">
        <f>SUBSTITUTE(A41&amp;"_"&amp;B41," ","_")</f>
        <v>Podnozje_Napomena_2.</v>
      </c>
      <c r="I41">
        <f>COUNTIF($B$2:$B$1034,"="&amp;B41)</f>
        <v>1</v>
      </c>
    </row>
    <row r="42" spans="1:9">
      <c r="A42" t="s">
        <v>85</v>
      </c>
      <c r="B42" t="s">
        <v>272</v>
      </c>
      <c r="D42" t="s">
        <v>273</v>
      </c>
      <c r="E42" t="s">
        <v>274</v>
      </c>
      <c r="F42" t="n">
        <v>3</v>
      </c>
      <c r="G42">
        <f aca="1">CHOOSE(ID_Jezik,C42,D42,E42,F42)</f>
        <v>0</v>
      </c>
      <c r="H42" t="str">
        <f>SUBSTITUTE(A42&amp;"_"&amp;B42," ","_")</f>
        <v>Podnozje_Napomena_3.</v>
      </c>
      <c r="I42">
        <f>COUNTIF($B$2:$B$1034,"="&amp;B42)</f>
        <v>1</v>
      </c>
    </row>
    <row r="43" spans="1:9">
      <c r="A43" t="s">
        <v>85</v>
      </c>
      <c r="B43" t="s">
        <v>275</v>
      </c>
      <c r="D43" t="s">
        <v>276</v>
      </c>
      <c r="E43" t="s">
        <v>277</v>
      </c>
      <c r="F43" t="n">
        <v>4</v>
      </c>
      <c r="G43">
        <f aca="1">CHOOSE(ID_Jezik,C43,D43,E43,F43)</f>
        <v>0</v>
      </c>
      <c r="H43" t="str">
        <f>SUBSTITUTE(A43&amp;"_"&amp;B43," ","_")</f>
        <v>Podnozje_Napomena_4.</v>
      </c>
      <c r="I43">
        <f>COUNTIF($B$2:$B$1034,"="&amp;B43)</f>
        <v>1</v>
      </c>
    </row>
    <row r="44" spans="1:9">
      <c r="A44" t="s">
        <v>85</v>
      </c>
      <c r="B44" t="s">
        <v>278</v>
      </c>
      <c r="C44" t="s">
        <v>279</v>
      </c>
      <c r="D44" t="s">
        <v>280</v>
      </c>
      <c r="E44" t="s">
        <v>281</v>
      </c>
      <c r="F44" t="s">
        <v>280</v>
      </c>
      <c r="G44" t="str">
        <f aca="1">CHOOSE(ID_Jezik,C44,D44,E44,F44)</f>
        <v>(M.P.)</v>
      </c>
      <c r="H44" t="str">
        <f>SUBSTITUTE(A44&amp;"_"&amp;B44," ","_")</f>
        <v>Podnozje_MP</v>
      </c>
      <c r="I44">
        <f>COUNTIF($B$2:$B$1034,"="&amp;B44)</f>
        <v>1</v>
      </c>
    </row>
    <row r="45" spans="1:9">
      <c r="A45" t="s">
        <v>282</v>
      </c>
      <c r="B45" t="s">
        <v>283</v>
      </c>
      <c r="C45" t="s">
        <v>284</v>
      </c>
      <c r="D45" t="s">
        <v>285</v>
      </c>
      <c r="E45" t="s">
        <v>286</v>
      </c>
      <c r="F45" t="s">
        <v>287</v>
      </c>
      <c r="G45" t="str">
        <f aca="1">CHOOSE(ID_Jezik,C45,D45,E45,F45)</f>
        <v>Konsolidovani </v>
      </c>
      <c r="H45" t="str">
        <f>SUBSTITUTE(A45&amp;"_"&amp;B45," ","_")</f>
        <v>Nazivi_bilansa_Konsolidovani_naziv</v>
      </c>
      <c r="I45">
        <f>COUNTIF($B$2:$B$1034,"="&amp;B45)</f>
        <v>1</v>
      </c>
    </row>
    <row r="46" spans="1:9">
      <c r="A46" t="s">
        <v>282</v>
      </c>
      <c r="B46" t="s">
        <v>288</v>
      </c>
      <c r="C46" t="s">
        <v>12</v>
      </c>
      <c r="D46" t="s">
        <v>289</v>
      </c>
      <c r="E46" t="s">
        <v>290</v>
      </c>
      <c r="F46" t="s">
        <v>291</v>
      </c>
      <c r="G46" t="str">
        <f aca="1">CHOOSE(ID_Jezik,C46,D46,E46,F46)</f>
        <v>Bilans stanja</v>
      </c>
      <c r="H46" t="str">
        <f>SUBSTITUTE(A46&amp;"_"&amp;B46," ","_")</f>
        <v>Nazivi_bilansa_BS</v>
      </c>
      <c r="I46">
        <f>COUNTIF($B$2:$B$1034,"="&amp;B46)</f>
        <v>1</v>
      </c>
    </row>
    <row r="47" spans="1:9">
      <c r="A47" t="s">
        <v>282</v>
      </c>
      <c r="B47" t="s">
        <v>292</v>
      </c>
      <c r="C47" t="s">
        <v>293</v>
      </c>
      <c r="D47" t="s">
        <v>294</v>
      </c>
      <c r="E47" t="s">
        <v>295</v>
      </c>
      <c r="F47" t="s">
        <v>296</v>
      </c>
      <c r="G47" t="str">
        <f aca="1">CHOOSE(ID_Jezik,C47,D47,E47,F47)</f>
        <v>(Izvještaj o finansijskom položaju)</v>
      </c>
      <c r="H47" t="str">
        <f>SUBSTITUTE(A47&amp;"_"&amp;B47," ","_")</f>
        <v>Nazivi_bilansa_BS1</v>
      </c>
      <c r="I47">
        <f>COUNTIF($B$2:$B$1034,"="&amp;B47)</f>
        <v>1</v>
      </c>
    </row>
    <row r="48" spans="1:9">
      <c r="A48" t="s">
        <v>282</v>
      </c>
      <c r="B48" t="s">
        <v>297</v>
      </c>
      <c r="C48" t="s">
        <v>16</v>
      </c>
      <c r="D48" t="s">
        <v>298</v>
      </c>
      <c r="E48" t="s">
        <v>299</v>
      </c>
      <c r="F48" t="s">
        <v>300</v>
      </c>
      <c r="G48" t="str">
        <f aca="1">CHOOSE(ID_Jezik,C48,D48,E48,F48)</f>
        <v>Bilans uspjeha</v>
      </c>
      <c r="H48" t="str">
        <f>SUBSTITUTE(A48&amp;"_"&amp;B48," ","_")</f>
        <v>Nazivi_bilansa_BUa</v>
      </c>
      <c r="I48">
        <f>COUNTIF($B$2:$B$1034,"="&amp;B48)</f>
        <v>1</v>
      </c>
    </row>
    <row r="49" spans="1:9">
      <c r="A49" t="s">
        <v>282</v>
      </c>
      <c r="B49" t="s">
        <v>301</v>
      </c>
      <c r="C49" t="s">
        <v>302</v>
      </c>
      <c r="D49" t="s">
        <v>303</v>
      </c>
      <c r="E49" t="s">
        <v>304</v>
      </c>
      <c r="F49" t="s">
        <v>305</v>
      </c>
      <c r="G49" t="str">
        <f aca="1">CHOOSE(ID_Jezik,C49,D49,E49,F49)</f>
        <v>(Izvještaj o ukupnom rezultatu u periodu)</v>
      </c>
      <c r="H49" t="str">
        <f>SUBSTITUTE(A49&amp;"_"&amp;B49," ","_")</f>
        <v>Nazivi_bilansa_BUa1</v>
      </c>
      <c r="I49">
        <f>COUNTIF($B$2:$B$1034,"="&amp;B49)</f>
        <v>1</v>
      </c>
    </row>
    <row r="50" spans="1:9">
      <c r="A50" t="s">
        <v>282</v>
      </c>
      <c r="B50" t="s">
        <v>306</v>
      </c>
      <c r="C50" t="s">
        <v>307</v>
      </c>
      <c r="D50" t="s">
        <v>308</v>
      </c>
      <c r="E50" t="s">
        <v>309</v>
      </c>
      <c r="F50" t="s">
        <v>310</v>
      </c>
      <c r="G50" t="str">
        <f aca="1">CHOOSE(ID_Jezik,C50,D50,E50,F50)</f>
        <v>Izvještaj</v>
      </c>
      <c r="H50" t="str">
        <f>SUBSTITUTE(A50&amp;"_"&amp;B50," ","_")</f>
        <v>Nazivi_bilansa_BUb</v>
      </c>
      <c r="I50">
        <f>COUNTIF($B$2:$B$1034,"="&amp;B50)</f>
        <v>1</v>
      </c>
    </row>
    <row r="51" spans="1:9">
      <c r="A51" t="s">
        <v>282</v>
      </c>
      <c r="B51" t="s">
        <v>311</v>
      </c>
      <c r="C51" t="s">
        <v>312</v>
      </c>
      <c r="D51" t="s">
        <v>313</v>
      </c>
      <c r="E51" t="s">
        <v>314</v>
      </c>
      <c r="F51" t="s">
        <v>315</v>
      </c>
      <c r="G51" t="str">
        <f aca="1">CHOOSE(ID_Jezik,C51,D51,E51,F51)</f>
        <v>o ostalom rezultatu u periodu</v>
      </c>
      <c r="H51" t="str">
        <f>SUBSTITUTE(A51&amp;"_"&amp;B51," ","_")</f>
        <v>Nazivi_bilansa_BUb1</v>
      </c>
      <c r="I51">
        <f>COUNTIF($B$2:$B$1034,"="&amp;B51)</f>
        <v>1</v>
      </c>
    </row>
    <row r="52" spans="1:9">
      <c r="A52" t="s">
        <v>282</v>
      </c>
      <c r="B52" t="s">
        <v>316</v>
      </c>
      <c r="C52" t="s">
        <v>20</v>
      </c>
      <c r="D52" t="s">
        <v>317</v>
      </c>
      <c r="E52" t="s">
        <v>318</v>
      </c>
      <c r="F52" t="s">
        <v>319</v>
      </c>
      <c r="G52" t="str">
        <f aca="1">CHOOSE(ID_Jezik,C52,D52,E52,F52)</f>
        <v>Bilans tokova gotovine</v>
      </c>
      <c r="H52" t="str">
        <f>SUBSTITUTE(A52&amp;"_"&amp;B52," ","_")</f>
        <v>Nazivi_bilansa_BTG</v>
      </c>
      <c r="I52">
        <f>COUNTIF($B$2:$B$1034,"="&amp;B52)</f>
        <v>1</v>
      </c>
    </row>
    <row r="53" spans="1:9">
      <c r="A53" t="s">
        <v>282</v>
      </c>
      <c r="B53" t="s">
        <v>320</v>
      </c>
      <c r="C53" t="s">
        <v>321</v>
      </c>
      <c r="D53" t="s">
        <v>322</v>
      </c>
      <c r="E53" t="s">
        <v>323</v>
      </c>
      <c r="F53" t="s">
        <v>324</v>
      </c>
      <c r="G53" t="str">
        <f aca="1">CHOOSE(ID_Jezik,C53,D53,E53,F53)</f>
        <v>(Izvještaj o tokovima gotovine)</v>
      </c>
      <c r="H53" t="str">
        <f>SUBSTITUTE(A53&amp;"_"&amp;B53," ","_")</f>
        <v>Nazivi_bilansa_BTG1</v>
      </c>
      <c r="I53">
        <f>COUNTIF($B$2:$B$1034,"="&amp;B53)</f>
        <v>1</v>
      </c>
    </row>
    <row r="54" spans="1:9">
      <c r="A54" t="s">
        <v>282</v>
      </c>
      <c r="B54" t="s">
        <v>22</v>
      </c>
      <c r="C54" t="s">
        <v>22</v>
      </c>
      <c r="D54" t="s">
        <v>325</v>
      </c>
      <c r="E54" t="s">
        <v>326</v>
      </c>
      <c r="F54" t="s">
        <v>327</v>
      </c>
      <c r="G54" t="str">
        <f aca="1">CHOOSE(ID_Jezik,C54,D54,E54,F54)</f>
        <v>Aneks</v>
      </c>
      <c r="H54" t="str">
        <f>SUBSTITUTE(A54&amp;"_"&amp;B54," ","_")</f>
        <v>Nazivi_bilansa_Aneks</v>
      </c>
      <c r="I54">
        <f>COUNTIF($B$2:$B$1034,"="&amp;B54)</f>
        <v>1</v>
      </c>
    </row>
    <row r="55" spans="1:9">
      <c r="A55" t="s">
        <v>282</v>
      </c>
      <c r="B55" t="s">
        <v>328</v>
      </c>
      <c r="C55" t="s">
        <v>329</v>
      </c>
      <c r="D55" t="s">
        <v>330</v>
      </c>
      <c r="E55" t="s">
        <v>331</v>
      </c>
      <c r="F55" t="s">
        <v>332</v>
      </c>
      <c r="G55" t="str">
        <f aca="1">CHOOSE(ID_Jezik,C55,D55,E55,F55)</f>
        <v>(Dodatni računovodstveni izvještaj)</v>
      </c>
      <c r="H55" t="str">
        <f>SUBSTITUTE(A55&amp;"_"&amp;B55," ","_")</f>
        <v>Nazivi_bilansa_Aneks1</v>
      </c>
      <c r="I55">
        <f>COUNTIF($B$2:$B$1034,"="&amp;B55)</f>
        <v>1</v>
      </c>
    </row>
    <row r="56" spans="1:9">
      <c r="A56" t="s">
        <v>282</v>
      </c>
      <c r="B56" t="s">
        <v>333</v>
      </c>
      <c r="C56" t="s">
        <v>334</v>
      </c>
      <c r="D56" t="s">
        <v>335</v>
      </c>
      <c r="E56" t="s">
        <v>336</v>
      </c>
      <c r="F56" t="s">
        <v>337</v>
      </c>
      <c r="G56" t="str">
        <f aca="1">CHOOSE(ID_Jezik,C56,D56,E56,F56)</f>
        <v>IZVJEŠTAJ O PROMJENAMA NA KAPITALU</v>
      </c>
      <c r="H56" t="str">
        <f>SUBSTITUTE(A56&amp;"_"&amp;B56," ","_")</f>
        <v>Nazivi_bilansa_BPK</v>
      </c>
      <c r="I56">
        <f>COUNTIF($B$2:$B$1034,"="&amp;B56)</f>
        <v>1</v>
      </c>
    </row>
    <row r="57" spans="1:9">
      <c r="A57" t="s">
        <v>338</v>
      </c>
      <c r="B57" t="s">
        <v>339</v>
      </c>
      <c r="C57" s="2" t="str">
        <f aca="1">CONCATENATE("na dan ",Datum_Format," godine")</f>
        <v>na dan 31.03.2024. godine</v>
      </c>
      <c r="D57" s="2" t="str">
        <f aca="1">CONCATENATE("нa дaн ",Datum_Format," гoдинe")</f>
        <v>нa дaн 31.03.2024. гoдинe</v>
      </c>
      <c r="E57" s="2" t="str">
        <f aca="1">CONCATENATE("date ",Datum_Format)</f>
        <v>date 31.03.2024.</v>
      </c>
      <c r="F57" s="2" t="str">
        <f aca="1">CONCATENATE("на дату ",Datum_Format," года")</f>
        <v>на дату 31.03.2024. года</v>
      </c>
      <c r="G57" t="str">
        <f aca="1">CHOOSE(ID_Jezik,C57,D57,E57,F57)</f>
        <v>na dan 31.03.2024. godine</v>
      </c>
      <c r="H57" t="str">
        <f>SUBSTITUTE(A57&amp;"_"&amp;B57," ","_")</f>
        <v>Datumi_Datum_BS</v>
      </c>
      <c r="I57">
        <f>COUNTIF($B$2:$B$1034,"="&amp;B57)</f>
        <v>1</v>
      </c>
    </row>
    <row r="58" spans="1:9">
      <c r="A58" t="s">
        <v>338</v>
      </c>
      <c r="B58" t="s">
        <v>340</v>
      </c>
      <c r="C58" s="2" t="str">
        <f aca="1">CONCATENATE("za period od 01.01. do ",Datum_Format," godine")</f>
        <v>za period od 01.01. do 31.03.2024. godine</v>
      </c>
      <c r="D58" s="2" t="str">
        <f aca="1">CONCATENATE("зa пeриoд oд 01.01. дo ",Datum_Format," гoдинe")</f>
        <v>зa пeриoд oд 01.01. дo 31.03.2024. гoдинe</v>
      </c>
      <c r="E58" s="2" t="str">
        <f aca="1">CONCATENATE("from 01.01. to ",Datum_Format)</f>
        <v>from 01.01. to 31.03.2024.</v>
      </c>
      <c r="F58" s="2" t="str">
        <f aca="1">CONCATENATE("за период с 01.01. to ",Datum_Format," года")</f>
        <v>за период с 01.01. to 31.03.2024. года</v>
      </c>
      <c r="G58" t="str">
        <f aca="1">CHOOSE(ID_Jezik,C58,D58,E58,F58)</f>
        <v>za period od 01.01. do 31.03.2024. godine</v>
      </c>
      <c r="H58" t="str">
        <f>SUBSTITUTE(A58&amp;"_"&amp;B58," ","_")</f>
        <v>Datumi_Datum_BU</v>
      </c>
      <c r="I58">
        <f>COUNTIF($B$2:$B$1034,"="&amp;B58)</f>
        <v>1</v>
      </c>
    </row>
    <row r="59" spans="1:9">
      <c r="A59" t="s">
        <v>338</v>
      </c>
      <c r="B59" t="s">
        <v>341</v>
      </c>
      <c r="C59" s="2" t="str">
        <f aca="1">CONCATENATE("za period od 01.01. do ",Datum_Format," godine")</f>
        <v>za period od 01.01. do 31.03.2024. godine</v>
      </c>
      <c r="D59" s="2" t="str">
        <f aca="1">CONCATENATE("зa пeриoд oд 01.01. дo ",Datum_Format," гoдинe")</f>
        <v>зa пeриoд oд 01.01. дo 31.03.2024. гoдинe</v>
      </c>
      <c r="E59" s="2" t="str">
        <f aca="1">CONCATENATE("from 01.01. to ",Datum_Format)</f>
        <v>from 01.01. to 31.03.2024.</v>
      </c>
      <c r="F59" s="2" t="str">
        <f aca="1">CONCATENATE("за период с 01.01. to ",Datum_Format," года")</f>
        <v>за период с 01.01. to 31.03.2024. года</v>
      </c>
      <c r="G59" t="str">
        <f aca="1">CHOOSE(ID_Jezik,C59,D59,E59,F59)</f>
        <v>za period od 01.01. do 31.03.2024. godine</v>
      </c>
      <c r="H59" t="str">
        <f>SUBSTITUTE(A59&amp;"_"&amp;B59," ","_")</f>
        <v>Datumi_Datum_BTG</v>
      </c>
      <c r="I59">
        <f>COUNTIF($B$2:$B$1034,"="&amp;B59)</f>
        <v>1</v>
      </c>
    </row>
    <row r="60" spans="1:9">
      <c r="A60" t="s">
        <v>338</v>
      </c>
      <c r="B60" t="s">
        <v>342</v>
      </c>
      <c r="C60" s="2" t="str">
        <f aca="1">CONCATENATE("od 01.01. do ",Datum_Format," godine")</f>
        <v>od 01.01. do 31.03.2024. godine</v>
      </c>
      <c r="D60" s="2" t="str">
        <f aca="1">CONCATENATE("oд 01.01. дo ",Datum_Format," гoдинe")</f>
        <v>oд 01.01. дo 31.03.2024. гoдинe</v>
      </c>
      <c r="E60" s="2" t="str">
        <f aca="1">CONCATENATE("from 01.01. to ",Datum_Format)</f>
        <v>from 01.01. to 31.03.2024.</v>
      </c>
      <c r="F60" s="2" t="str">
        <f aca="1">CONCATENATE("с 01.01. to ",Datum_Format," года")</f>
        <v>с 01.01. to 31.03.2024. года</v>
      </c>
      <c r="G60" t="str">
        <f aca="1">CHOOSE(ID_Jezik,C60,D60,E60,F60)</f>
        <v>od 01.01. do 31.03.2024. godine</v>
      </c>
      <c r="H60" t="str">
        <f>SUBSTITUTE(A60&amp;"_"&amp;B60," ","_")</f>
        <v>Datumi_Datum_ODGP</v>
      </c>
      <c r="I60">
        <f>COUNTIF($B$2:$B$1034,"="&amp;B60)</f>
        <v>1</v>
      </c>
    </row>
    <row r="61" spans="1:9">
      <c r="A61" t="s">
        <v>338</v>
      </c>
      <c r="B61" t="s">
        <v>343</v>
      </c>
      <c r="C61" s="2" t="str">
        <f aca="1">CONCATENATE("za period od 01.01. do ",Datum_Format," godine")</f>
        <v>za period od 01.01. do 31.03.2024. godine</v>
      </c>
      <c r="D61" s="2" t="str">
        <f aca="1">CONCATENATE("зa пeриoд oд 01.01. дo ",Datum_Format," гoдинe")</f>
        <v>зa пeриoд oд 01.01. дo 31.03.2024. гoдинe</v>
      </c>
      <c r="E61" s="2" t="str">
        <f aca="1">CONCATENATE("from 01.01. to ",Datum_Format)</f>
        <v>from 01.01. to 31.03.2024.</v>
      </c>
      <c r="F61" s="2" t="str">
        <f aca="1">CONCATENATE("за период с 01.01. to ",Datum_Format," года")</f>
        <v>за период с 01.01. to 31.03.2024. года</v>
      </c>
      <c r="G61" t="str">
        <f aca="1">CHOOSE(ID_Jezik,C61,D61,E61,F61)</f>
        <v>za period od 01.01. do 31.03.2024. godine</v>
      </c>
      <c r="H61" t="str">
        <f>SUBSTITUTE(A61&amp;"_"&amp;B61," ","_")</f>
        <v>Datumi_Datum_Aneks</v>
      </c>
      <c r="I61">
        <f>COUNTIF($B$2:$B$1034,"="&amp;B61)</f>
        <v>1</v>
      </c>
    </row>
    <row r="62" spans="1:9">
      <c r="A62" t="s">
        <v>338</v>
      </c>
      <c r="B62" t="s">
        <v>344</v>
      </c>
      <c r="C62" s="2" t="str">
        <f aca="1">CONCATENATE("za period koji se završava na dan ",Datum_Format," godine")</f>
        <v>za period koji se završava na dan 31.03.2024. godine</v>
      </c>
      <c r="D62" s="2" t="str">
        <f aca="1">CONCATENATE("зa пeриoд кojи сe зaвршaвa нa дaн ",Datum_Format," гoдинe")</f>
        <v>зa пeриoд кojи сe зaвршaвa нa дaн 31.03.2024. гoдинe</v>
      </c>
      <c r="E62" s="2" t="str">
        <f aca="1">CONCATENATE("for period ending ",Datum_Format)</f>
        <v>for period ending 31.03.2024.</v>
      </c>
      <c r="F62" s="2" t="str">
        <f aca="1">CONCATENATE("за период, закончившийся на дату ",Datum_Format," года")</f>
        <v>за период, закончившийся на дату 31.03.2024. года</v>
      </c>
      <c r="G62" t="str">
        <f aca="1">CHOOSE(ID_Jezik,C62,D62,E62,F62)</f>
        <v>za period koji se završava na dan 31.03.2024. godine</v>
      </c>
      <c r="H62" t="str">
        <f>SUBSTITUTE(A62&amp;"_"&amp;B62," ","_")</f>
        <v>Datumi_Datum_BPK</v>
      </c>
      <c r="I62">
        <f>COUNTIF($B$2:$B$1034,"="&amp;B62)</f>
        <v>1</v>
      </c>
    </row>
    <row r="63" spans="1:9">
      <c r="A63" t="s">
        <v>345</v>
      </c>
      <c r="B63" t="s">
        <v>346</v>
      </c>
      <c r="C63" t="s">
        <v>347</v>
      </c>
      <c r="D63" t="s">
        <v>348</v>
      </c>
      <c r="E63" t="s">
        <v>349</v>
      </c>
      <c r="F63" t="s">
        <v>350</v>
      </c>
      <c r="G63" t="str">
        <f aca="1">CHOOSE(ID_Jezik,C63,D63,E63,F63)</f>
        <v>Uputstvo za popunjavanje</v>
      </c>
      <c r="H63" t="str">
        <f>SUBSTITUTE(A63&amp;"_"&amp;B63," ","_")</f>
        <v>Linkovi_Link_Uputstvo</v>
      </c>
      <c r="I63">
        <f>COUNTIF($B$2:$B$1034,"="&amp;B63)</f>
        <v>1</v>
      </c>
    </row>
    <row r="64" spans="1:9">
      <c r="A64" t="s">
        <v>345</v>
      </c>
      <c r="B64" t="s">
        <v>351</v>
      </c>
      <c r="C64" t="s">
        <v>352</v>
      </c>
      <c r="D64" t="s">
        <v>353</v>
      </c>
      <c r="E64" t="s">
        <v>354</v>
      </c>
      <c r="F64" t="s">
        <v>355</v>
      </c>
      <c r="G64" t="str">
        <f aca="1">CHOOSE(ID_Jezik,C64,D64,E64,F64)</f>
        <v>Osnovni podaci</v>
      </c>
      <c r="H64" t="str">
        <f>SUBSTITUTE(A64&amp;"_"&amp;B64," ","_")</f>
        <v>Linkovi_Link_Osnovni_podaci</v>
      </c>
      <c r="I64">
        <f>COUNTIF($B$2:$B$1034,"="&amp;B64)</f>
        <v>1</v>
      </c>
    </row>
    <row r="65" spans="1:9">
      <c r="A65" t="s">
        <v>345</v>
      </c>
      <c r="B65" t="s">
        <v>356</v>
      </c>
      <c r="C65" t="s">
        <v>357</v>
      </c>
      <c r="D65" t="s">
        <v>358</v>
      </c>
      <c r="E65" t="s">
        <v>359</v>
      </c>
      <c r="F65" t="s">
        <v>360</v>
      </c>
      <c r="G65" t="str">
        <f aca="1">CHOOSE(ID_Jezik,C65,D65,E65,F65)</f>
        <v>01) Bilans stanja</v>
      </c>
      <c r="H65" t="str">
        <f>SUBSTITUTE(A65&amp;"_"&amp;B65," ","_")</f>
        <v>Linkovi_Link_BS</v>
      </c>
      <c r="I65">
        <f>COUNTIF($B$2:$B$1034,"="&amp;B65)</f>
        <v>1</v>
      </c>
    </row>
    <row r="66" spans="1:9">
      <c r="A66" t="s">
        <v>345</v>
      </c>
      <c r="B66" t="s">
        <v>361</v>
      </c>
      <c r="C66" t="s">
        <v>362</v>
      </c>
      <c r="D66" t="s">
        <v>363</v>
      </c>
      <c r="E66" t="s">
        <v>364</v>
      </c>
      <c r="F66" t="s">
        <v>365</v>
      </c>
      <c r="G66" t="str">
        <f aca="1">CHOOSE(ID_Jezik,C66,D66,E66,F66)</f>
        <v>02a) Bilans uspjeha</v>
      </c>
      <c r="H66" t="str">
        <f>SUBSTITUTE(A66&amp;"_"&amp;B66," ","_")</f>
        <v>Linkovi_Link_BU</v>
      </c>
      <c r="I66">
        <f>COUNTIF($B$2:$B$1034,"="&amp;B66)</f>
        <v>1</v>
      </c>
    </row>
    <row r="67" spans="1:9">
      <c r="A67" t="s">
        <v>345</v>
      </c>
      <c r="B67" t="s">
        <v>366</v>
      </c>
      <c r="C67" t="s">
        <v>367</v>
      </c>
      <c r="D67" t="s">
        <v>368</v>
      </c>
      <c r="E67" t="s">
        <v>369</v>
      </c>
      <c r="F67" t="s">
        <v>370</v>
      </c>
      <c r="G67" t="str">
        <f aca="1">CHOOSE(ID_Jezik,C67,D67,E67,F67)</f>
        <v>02b) Izvještaj o ostalim dobicima i gubicima u periodu</v>
      </c>
      <c r="H67" t="str">
        <f>SUBSTITUTE(A67&amp;"_"&amp;B67," ","_")</f>
        <v>Linkovi_Link_ODGP</v>
      </c>
      <c r="I67">
        <f>COUNTIF($B$2:$B$1034,"="&amp;B67)</f>
        <v>1</v>
      </c>
    </row>
    <row r="68" spans="1:9">
      <c r="A68" t="s">
        <v>345</v>
      </c>
      <c r="B68" t="s">
        <v>371</v>
      </c>
      <c r="C68" t="s">
        <v>372</v>
      </c>
      <c r="D68" t="s">
        <v>373</v>
      </c>
      <c r="E68" t="s">
        <v>374</v>
      </c>
      <c r="F68" t="s">
        <v>375</v>
      </c>
      <c r="G68" t="str">
        <f aca="1">CHOOSE(ID_Jezik,C68,D68,E68,F68)</f>
        <v>03) Bilans tokova gotovine</v>
      </c>
      <c r="H68" t="str">
        <f>SUBSTITUTE(A68&amp;"_"&amp;B68," ","_")</f>
        <v>Linkovi_Link_BTG</v>
      </c>
      <c r="I68">
        <f>COUNTIF($B$2:$B$1034,"="&amp;B68)</f>
        <v>1</v>
      </c>
    </row>
    <row r="69" spans="1:9">
      <c r="A69" t="s">
        <v>345</v>
      </c>
      <c r="B69" t="s">
        <v>376</v>
      </c>
      <c r="C69" t="s">
        <v>377</v>
      </c>
      <c r="D69" t="s">
        <v>378</v>
      </c>
      <c r="E69" t="s">
        <v>379</v>
      </c>
      <c r="F69" t="s">
        <v>380</v>
      </c>
      <c r="G69" t="str">
        <f aca="1">CHOOSE(ID_Jezik,C69,D69,E69,F69)</f>
        <v>04) Aneks</v>
      </c>
      <c r="H69" t="str">
        <f>SUBSTITUTE(A69&amp;"_"&amp;B69," ","_")</f>
        <v>Linkovi_Link_Aneks</v>
      </c>
      <c r="I69">
        <f>COUNTIF($B$2:$B$1034,"="&amp;B69)</f>
        <v>1</v>
      </c>
    </row>
    <row r="70" spans="1:9">
      <c r="A70" t="s">
        <v>345</v>
      </c>
      <c r="B70" t="s">
        <v>381</v>
      </c>
      <c r="C70" t="s">
        <v>382</v>
      </c>
      <c r="D70" t="s">
        <v>383</v>
      </c>
      <c r="E70" t="s">
        <v>384</v>
      </c>
      <c r="F70" t="s">
        <v>385</v>
      </c>
      <c r="G70" t="str">
        <f aca="1">CHOOSE(ID_Jezik,C70,D70,E70,F70)</f>
        <v>05) Izvještaj o promjenama u kapitalu</v>
      </c>
      <c r="H70" t="str">
        <f>SUBSTITUTE(A70&amp;"_"&amp;B70," ","_")</f>
        <v>Linkovi_Link_BPK</v>
      </c>
      <c r="I70">
        <f>COUNTIF($B$2:$B$1034,"="&amp;B70)</f>
        <v>1</v>
      </c>
    </row>
    <row r="71" spans="1:9">
      <c r="A71" t="s">
        <v>386</v>
      </c>
      <c r="B71" t="s">
        <v>387</v>
      </c>
      <c r="C71" t="s">
        <v>388</v>
      </c>
      <c r="D71" t="s">
        <v>389</v>
      </c>
      <c r="E71" t="s">
        <v>390</v>
      </c>
      <c r="F71" t="s">
        <v>391</v>
      </c>
      <c r="G71" t="str">
        <f aca="1">CHOOSE(ID_Jezik,C71,D71,E71,F71)</f>
        <v>Grupa računa, račun</v>
      </c>
      <c r="H71" t="str">
        <f>SUBSTITUTE(A71&amp;"_"&amp;B71," ","_")</f>
        <v>Tabele_zaglavlje_Grupa_racuna</v>
      </c>
      <c r="I71">
        <f>COUNTIF($B$2:$B$1034,"="&amp;B71)</f>
        <v>1</v>
      </c>
    </row>
    <row r="72" spans="1:9">
      <c r="A72" t="s">
        <v>386</v>
      </c>
      <c r="B72" t="s">
        <v>392</v>
      </c>
      <c r="C72" t="s">
        <v>393</v>
      </c>
      <c r="D72" t="s">
        <v>394</v>
      </c>
      <c r="E72" t="s">
        <v>395</v>
      </c>
      <c r="F72" t="s">
        <v>396</v>
      </c>
      <c r="G72" t="str">
        <f aca="1">CHOOSE(ID_Jezik,C72,D72,E72,F72)</f>
        <v>POZICIJA</v>
      </c>
      <c r="H72" t="str">
        <f>SUBSTITUTE(A72&amp;"_"&amp;B72," ","_")</f>
        <v>Tabele_zaglavlje_Pozicija</v>
      </c>
      <c r="I72">
        <f>COUNTIF($B$2:$B$1034,"="&amp;B72)</f>
        <v>1</v>
      </c>
    </row>
    <row r="73" spans="1:9">
      <c r="A73" t="s">
        <v>386</v>
      </c>
      <c r="B73" t="s">
        <v>397</v>
      </c>
      <c r="C73" t="s">
        <v>397</v>
      </c>
      <c r="D73" t="s">
        <v>398</v>
      </c>
      <c r="E73" t="s">
        <v>399</v>
      </c>
      <c r="F73" t="s">
        <v>400</v>
      </c>
      <c r="G73" t="str">
        <f aca="1">CHOOSE(ID_Jezik,C73,D73,E73,F73)</f>
        <v>Napomena</v>
      </c>
      <c r="H73" t="str">
        <f>SUBSTITUTE(A73&amp;"_"&amp;B73," ","_")</f>
        <v>Tabele_zaglavlje_Napomena</v>
      </c>
      <c r="I73">
        <f>COUNTIF($B$2:$B$1034,"="&amp;B73)</f>
        <v>1</v>
      </c>
    </row>
    <row r="74" spans="1:9">
      <c r="A74" t="s">
        <v>386</v>
      </c>
      <c r="B74" t="s">
        <v>401</v>
      </c>
      <c r="C74" t="s">
        <v>402</v>
      </c>
      <c r="D74" t="s">
        <v>403</v>
      </c>
      <c r="E74" t="s">
        <v>404</v>
      </c>
      <c r="F74" t="s">
        <v>405</v>
      </c>
      <c r="G74" t="str">
        <f aca="1">CHOOSE(ID_Jezik,C74,D74,E74,F74)</f>
        <v>Oznaka za AOP</v>
      </c>
      <c r="H74" t="str">
        <f>SUBSTITUTE(A74&amp;"_"&amp;B74," ","_")</f>
        <v>Tabele_zaglavlje_Oznaka_aop</v>
      </c>
      <c r="I74">
        <f>COUNTIF($B$2:$B$1034,"="&amp;B74)</f>
        <v>1</v>
      </c>
    </row>
    <row r="75" spans="1:9">
      <c r="A75" t="s">
        <v>386</v>
      </c>
      <c r="B75" t="s">
        <v>406</v>
      </c>
      <c r="C75" t="s">
        <v>407</v>
      </c>
      <c r="D75" t="s">
        <v>408</v>
      </c>
      <c r="E75" t="s">
        <v>409</v>
      </c>
      <c r="F75" t="s">
        <v>410</v>
      </c>
      <c r="G75" t="str">
        <f aca="1">CHOOSE(ID_Jezik,C75,D75,E75,F75)</f>
        <v>Redni broj</v>
      </c>
      <c r="H75" t="str">
        <f>SUBSTITUTE(A75&amp;"_"&amp;B75," ","_")</f>
        <v>Tabele_zaglavlje_Redni_broj</v>
      </c>
      <c r="I75">
        <f>COUNTIF($B$2:$B$1034,"="&amp;B75)</f>
        <v>1</v>
      </c>
    </row>
    <row r="76" spans="1:9">
      <c r="A76" t="s">
        <v>386</v>
      </c>
      <c r="B76" t="s">
        <v>411</v>
      </c>
      <c r="C76" t="s">
        <v>412</v>
      </c>
      <c r="D76" t="s">
        <v>413</v>
      </c>
      <c r="E76" t="s">
        <v>414</v>
      </c>
      <c r="F76" t="s">
        <v>415</v>
      </c>
      <c r="G76" t="str">
        <f aca="1">CHOOSE(ID_Jezik,C76,D76,E76,F76)</f>
        <v>Iznos na dan bilansa tekuće godine</v>
      </c>
      <c r="H76" t="str">
        <f>SUBSTITUTE(A76&amp;"_"&amp;B76," ","_")</f>
        <v>Tabele_zaglavlje_BS_iznos_tekuca</v>
      </c>
      <c r="I76">
        <f>COUNTIF($B$2:$B$1034,"="&amp;B76)</f>
        <v>1</v>
      </c>
    </row>
    <row r="77" spans="1:9">
      <c r="A77" t="s">
        <v>386</v>
      </c>
      <c r="B77" t="s">
        <v>416</v>
      </c>
      <c r="C77" t="s">
        <v>417</v>
      </c>
      <c r="D77" t="s">
        <v>418</v>
      </c>
      <c r="E77" t="s">
        <v>419</v>
      </c>
      <c r="F77" t="s">
        <v>420</v>
      </c>
      <c r="G77" t="str">
        <f aca="1">CHOOSE(ID_Jezik,C77,D77,E77,F77)</f>
        <v>Bruto</v>
      </c>
      <c r="H77" t="str">
        <f>SUBSTITUTE(A77&amp;"_"&amp;B77," ","_")</f>
        <v>Tabele_zaglavlje_BS_bruto</v>
      </c>
      <c r="I77">
        <f>COUNTIF($B$2:$B$1034,"="&amp;B77)</f>
        <v>1</v>
      </c>
    </row>
    <row r="78" spans="1:9">
      <c r="A78" t="s">
        <v>386</v>
      </c>
      <c r="B78" t="s">
        <v>421</v>
      </c>
      <c r="C78" t="s">
        <v>422</v>
      </c>
      <c r="D78" t="s">
        <v>423</v>
      </c>
      <c r="E78" t="s">
        <v>424</v>
      </c>
      <c r="F78" t="s">
        <v>425</v>
      </c>
      <c r="G78" t="str">
        <f aca="1">CHOOSE(ID_Jezik,C78,D78,E78,F78)</f>
        <v>Ispravka vrijednosti</v>
      </c>
      <c r="H78" t="str">
        <f>SUBSTITUTE(A78&amp;"_"&amp;B78," ","_")</f>
        <v>Tabele_zaglavlje_BS_ispravka</v>
      </c>
      <c r="I78">
        <f>COUNTIF($B$2:$B$1034,"="&amp;B78)</f>
        <v>1</v>
      </c>
    </row>
    <row r="79" spans="1:9">
      <c r="A79" t="s">
        <v>386</v>
      </c>
      <c r="B79" t="s">
        <v>426</v>
      </c>
      <c r="C79" t="s">
        <v>427</v>
      </c>
      <c r="D79" t="s">
        <v>428</v>
      </c>
      <c r="E79" t="s">
        <v>429</v>
      </c>
      <c r="F79" t="s">
        <v>430</v>
      </c>
      <c r="G79" t="str">
        <f aca="1">CHOOSE(ID_Jezik,C79,D79,E79,F79)</f>
        <v>Neto (5-6)</v>
      </c>
      <c r="H79" t="str">
        <f>SUBSTITUTE(A79&amp;"_"&amp;B79," ","_")</f>
        <v>Tabele_zaglavlje_BS_neto</v>
      </c>
      <c r="I79">
        <f>COUNTIF($B$2:$B$1034,"="&amp;B79)</f>
        <v>1</v>
      </c>
    </row>
    <row r="80" spans="1:9">
      <c r="A80" t="s">
        <v>386</v>
      </c>
      <c r="B80" t="s">
        <v>431</v>
      </c>
      <c r="C80" t="s">
        <v>432</v>
      </c>
      <c r="D80" t="s">
        <v>433</v>
      </c>
      <c r="E80" t="s">
        <v>434</v>
      </c>
      <c r="F80" t="s">
        <v>435</v>
      </c>
      <c r="G80" t="str">
        <f aca="1">CHOOSE(ID_Jezik,C80,D80,E80,F80)</f>
        <v>Iznos na dan bilansa prethodne godine (PS)</v>
      </c>
      <c r="H80" t="str">
        <f>SUBSTITUTE(A80&amp;"_"&amp;B80," ","_")</f>
        <v>Tabele_zaglavlje_BS_iznos_prethodna</v>
      </c>
      <c r="I80">
        <f>COUNTIF($B$2:$B$1034,"="&amp;B80)</f>
        <v>1</v>
      </c>
    </row>
    <row r="81" spans="1:9">
      <c r="A81" t="s">
        <v>386</v>
      </c>
      <c r="B81" t="s">
        <v>436</v>
      </c>
      <c r="C81" t="s">
        <v>436</v>
      </c>
      <c r="D81" t="s">
        <v>437</v>
      </c>
      <c r="E81" t="s">
        <v>438</v>
      </c>
      <c r="F81" t="s">
        <v>439</v>
      </c>
      <c r="G81" t="str">
        <f aca="1">CHOOSE(ID_Jezik,C81,D81,E81,F81)</f>
        <v>Iznos</v>
      </c>
      <c r="H81" t="str">
        <f>SUBSTITUTE(A81&amp;"_"&amp;B81," ","_")</f>
        <v>Tabele_zaglavlje_Iznos</v>
      </c>
      <c r="I81">
        <f>COUNTIF($B$2:$B$1034,"="&amp;B81)</f>
        <v>1</v>
      </c>
    </row>
    <row r="82" spans="1:9">
      <c r="A82" t="s">
        <v>386</v>
      </c>
      <c r="B82" t="s">
        <v>440</v>
      </c>
      <c r="C82" t="s">
        <v>441</v>
      </c>
      <c r="D82" t="s">
        <v>442</v>
      </c>
      <c r="E82" t="s">
        <v>443</v>
      </c>
      <c r="F82" t="s">
        <v>444</v>
      </c>
      <c r="G82" t="str">
        <f aca="1">CHOOSE(ID_Jezik,C82,D82,E82,F82)</f>
        <v>Tekuća godina</v>
      </c>
      <c r="H82" t="str">
        <f>SUBSTITUTE(A82&amp;"_"&amp;B82," ","_")</f>
        <v>Tabele_zaglavlje_Tekuca_godina</v>
      </c>
      <c r="I82">
        <f>COUNTIF($B$2:$B$1034,"="&amp;B82)</f>
        <v>1</v>
      </c>
    </row>
    <row r="83" spans="1:9">
      <c r="A83" t="s">
        <v>386</v>
      </c>
      <c r="B83" t="s">
        <v>445</v>
      </c>
      <c r="C83" t="s">
        <v>446</v>
      </c>
      <c r="D83" t="s">
        <v>447</v>
      </c>
      <c r="E83" t="s">
        <v>448</v>
      </c>
      <c r="F83" t="s">
        <v>449</v>
      </c>
      <c r="G83" t="str">
        <f aca="1">CHOOSE(ID_Jezik,C83,D83,E83,F83)</f>
        <v>Prethodna godina</v>
      </c>
      <c r="H83" t="str">
        <f>SUBSTITUTE(A83&amp;"_"&amp;B83," ","_")</f>
        <v>Tabele_zaglavlje_Prethodna_godina</v>
      </c>
      <c r="I83">
        <f>COUNTIF($B$2:$B$1034,"="&amp;B83)</f>
        <v>1</v>
      </c>
    </row>
    <row r="84" spans="1:9">
      <c r="A84" t="s">
        <v>386</v>
      </c>
      <c r="B84" t="s">
        <v>450</v>
      </c>
      <c r="C84" s="580" t="s">
        <v>451</v>
      </c>
      <c r="D84" s="580" t="s">
        <v>452</v>
      </c>
      <c r="E84" s="580" t="s">
        <v>453</v>
      </c>
      <c r="F84" t="s">
        <v>454</v>
      </c>
      <c r="G84" t="str">
        <f aca="1">CHOOSE(ID_Jezik,C84,D84,E84,F84)</f>
        <v>- u konvertibilnim markama -</v>
      </c>
      <c r="H84" t="str">
        <f>SUBSTITUTE(A84&amp;"_"&amp;B84," ","_")</f>
        <v>Tabele_zaglavlje_Valuta</v>
      </c>
      <c r="I84">
        <f>COUNTIF($B$2:$B$1034,"="&amp;B84)</f>
        <v>1</v>
      </c>
    </row>
    <row r="85" spans="1:9">
      <c r="A85" t="s">
        <v>386</v>
      </c>
      <c r="B85" t="s">
        <v>455</v>
      </c>
      <c r="C85" t="s">
        <v>456</v>
      </c>
      <c r="D85" s="189" t="s">
        <v>457</v>
      </c>
      <c r="E85" t="s">
        <v>458</v>
      </c>
      <c r="F85" t="s">
        <v>459</v>
      </c>
      <c r="G85" t="str">
        <f aca="1">CHOOSE(ID_Jezik,C85,D85,E85,F85)</f>
        <v>KAPITAL KOJI PRIPADA VLASNICIMA MATIČNOG DRUŠTVA</v>
      </c>
      <c r="H85" t="str">
        <f>SUBSTITUTE(A85&amp;"_"&amp;B85," ","_")</f>
        <v>Tabele_zaglavlje_BPK0</v>
      </c>
      <c r="I85">
        <f>COUNTIF($B$2:$B$1034,"="&amp;B85)</f>
        <v>1</v>
      </c>
    </row>
    <row r="86" spans="1:9" ht="60.75" customHeight="1">
      <c r="A86" t="s">
        <v>386</v>
      </c>
      <c r="B86" t="s">
        <v>460</v>
      </c>
      <c r="C86" t="s">
        <v>461</v>
      </c>
      <c r="D86" s="189" t="s">
        <v>462</v>
      </c>
      <c r="E86" t="s">
        <v>463</v>
      </c>
      <c r="F86" t="s">
        <v>464</v>
      </c>
      <c r="G86" t="str">
        <f aca="1">CHOOSE(ID_Jezik,C86,D86,E86,F86)</f>
        <v>VRSTA PROMJENE NA KAPITALU</v>
      </c>
      <c r="H86" t="str">
        <f>SUBSTITUTE(A86&amp;"_"&amp;B86," ","_")</f>
        <v>Tabele_zaglavlje_BPK1</v>
      </c>
      <c r="I86">
        <f>COUNTIF($B$2:$B$1034,"="&amp;B86)</f>
        <v>1</v>
      </c>
    </row>
    <row r="87" spans="1:9" ht="45" customHeight="1">
      <c r="A87" t="s">
        <v>386</v>
      </c>
      <c r="B87" t="s">
        <v>465</v>
      </c>
      <c r="C87" s="186" t="s">
        <v>466</v>
      </c>
      <c r="D87" s="188" t="s">
        <v>467</v>
      </c>
      <c r="E87" t="s">
        <v>468</v>
      </c>
      <c r="F87" t="s">
        <v>469</v>
      </c>
      <c r="G87" t="str">
        <f aca="1">CHOOSE(ID_Jezik,C87,D87,E87,F87)</f>
        <v>Akcijski kapital - 
vlasnički udjeli</v>
      </c>
      <c r="H87" t="str">
        <f>SUBSTITUTE(A87&amp;"_"&amp;B87," ","_")</f>
        <v>Tabele_zaglavlje_BPK3</v>
      </c>
      <c r="I87">
        <f>COUNTIF($B$2:$B$1034,"="&amp;B87)</f>
        <v>1</v>
      </c>
    </row>
    <row r="88" spans="1:9" ht="45" customHeight="1">
      <c r="A88" t="s">
        <v>386</v>
      </c>
      <c r="B88" t="s">
        <v>470</v>
      </c>
      <c r="C88" s="184" t="s">
        <v>471</v>
      </c>
      <c r="D88" s="189" t="s">
        <v>472</v>
      </c>
      <c r="E88" s="184" t="s">
        <v>473</v>
      </c>
      <c r="F88" t="s">
        <v>474</v>
      </c>
      <c r="G88" t="str">
        <f aca="1">CHOOSE(ID_Jezik,C88,D88,E88,F88)</f>
        <v>Emisiona premija</v>
      </c>
      <c r="H88" t="str">
        <f>SUBSTITUTE(A88&amp;"_"&amp;B88," ","_")</f>
        <v>Tabele_zaglavlje_BPK4</v>
      </c>
      <c r="I88">
        <f>COUNTIF($B$2:$B$1034,"="&amp;B88)</f>
        <v>1</v>
      </c>
    </row>
    <row r="89" spans="1:9" ht="45" customHeight="1">
      <c r="A89" t="s">
        <v>386</v>
      </c>
      <c r="B89" t="s">
        <v>475</v>
      </c>
      <c r="C89" s="184" t="s">
        <v>476</v>
      </c>
      <c r="D89" s="189" t="s">
        <v>477</v>
      </c>
      <c r="E89" s="184" t="s">
        <v>478</v>
      </c>
      <c r="F89" t="s">
        <v>479</v>
      </c>
      <c r="G89" t="str">
        <f aca="1">CHOOSE(ID_Jezik,C89,D89,E89,F89)</f>
        <v>Rezerve</v>
      </c>
      <c r="H89" t="str">
        <f>SUBSTITUTE(A89&amp;"_"&amp;B89," ","_")</f>
        <v>Tabele_zaglavlje_BPK5</v>
      </c>
      <c r="I89">
        <f>COUNTIF($B$2:$B$1034,"="&amp;B89)</f>
        <v>1</v>
      </c>
    </row>
    <row r="90" spans="1:9" ht="35.25" customHeight="1">
      <c r="A90" t="s">
        <v>386</v>
      </c>
      <c r="B90" t="s">
        <v>480</v>
      </c>
      <c r="C90" s="185" t="s">
        <v>481</v>
      </c>
      <c r="D90" s="190" t="s">
        <v>482</v>
      </c>
      <c r="E90" s="184" t="s">
        <v>483</v>
      </c>
      <c r="F90" t="s">
        <v>484</v>
      </c>
      <c r="G90" t="str">
        <f aca="1">CHOOSE(ID_Jezik,C90,D90,E90,F90)</f>
        <v>Revalorizacione 
rezerve za 
nekretnine, 
postrojenja i opremu</v>
      </c>
      <c r="H90" t="str">
        <f>SUBSTITUTE(A90&amp;"_"&amp;B90," ","_")</f>
        <v>Tabele_zaglavlje_BPK6</v>
      </c>
      <c r="I90">
        <f>COUNTIF($B$2:$B$1034,"="&amp;B90)</f>
        <v>1</v>
      </c>
    </row>
    <row r="91" spans="1:9">
      <c r="A91" t="s">
        <v>386</v>
      </c>
      <c r="B91" t="s">
        <v>485</v>
      </c>
      <c r="C91" s="185" t="s">
        <v>486</v>
      </c>
      <c r="D91" s="190" t="s">
        <v>487</v>
      </c>
      <c r="E91" s="184" t="s">
        <v>488</v>
      </c>
      <c r="F91" t="s">
        <v>489</v>
      </c>
      <c r="G91" t="str">
        <f aca="1">CHOOSE(ID_Jezik,C91,D91,E91,F91)</f>
        <v>Revalorizacione rezerve za finansijska sredstva vrednovana po fer vrijednosti kroz ostali ukupni rezultat</v>
      </c>
      <c r="H91" t="str">
        <f>SUBSTITUTE(A91&amp;"_"&amp;B91," ","_")</f>
        <v>Tabele_zaglavlje_BPK7</v>
      </c>
      <c r="I91">
        <f>COUNTIF($B$2:$B$1034,"="&amp;B91)</f>
        <v>1</v>
      </c>
    </row>
    <row r="92" spans="1:9">
      <c r="A92" t="s">
        <v>386</v>
      </c>
      <c r="B92" t="s">
        <v>490</v>
      </c>
      <c r="C92" s="185" t="s">
        <v>491</v>
      </c>
      <c r="D92" s="190" t="s">
        <v>492</v>
      </c>
      <c r="E92" s="184" t="s">
        <v>493</v>
      </c>
      <c r="F92" t="s">
        <v>494</v>
      </c>
      <c r="G92" t="str">
        <f aca="1">CHOOSE(ID_Jezik,C92,D92,E92,F92)</f>
        <v>Ostale revalorizacione rezerve</v>
      </c>
      <c r="H92" t="str">
        <f>SUBSTITUTE(A92&amp;"_"&amp;B92," ","_")</f>
        <v>Tabele_zaglavlje_BPK8</v>
      </c>
      <c r="I92">
        <f>COUNTIF($B$2:$B$1034,"="&amp;B92)</f>
        <v>1</v>
      </c>
    </row>
    <row r="93" spans="1:9">
      <c r="A93" t="s">
        <v>386</v>
      </c>
      <c r="B93" t="s">
        <v>495</v>
      </c>
      <c r="C93" s="185" t="s">
        <v>496</v>
      </c>
      <c r="D93" s="190" t="s">
        <v>497</v>
      </c>
      <c r="E93" s="184" t="s">
        <v>498</v>
      </c>
      <c r="F93" t="s">
        <v>499</v>
      </c>
      <c r="G93" t="str">
        <f aca="1">CHOOSE(ID_Jezik,C93,D93,E93,F93)</f>
        <v>Akumulirana neraspoređena dobit/(nepokriveni gubitak)</v>
      </c>
      <c r="H93" t="str">
        <f>SUBSTITUTE(A93&amp;"_"&amp;B93," ","_")</f>
        <v>Tabele_zaglavlje_BPK9</v>
      </c>
      <c r="I93">
        <f>COUNTIF($B$2:$B$1034,"="&amp;B93)</f>
        <v>1</v>
      </c>
    </row>
    <row r="94" spans="1:9">
      <c r="A94" t="s">
        <v>386</v>
      </c>
      <c r="B94" t="s">
        <v>500</v>
      </c>
      <c r="C94" s="186" t="s">
        <v>501</v>
      </c>
      <c r="D94" s="188" t="s">
        <v>502</v>
      </c>
      <c r="E94" s="143" t="s">
        <v>503</v>
      </c>
      <c r="F94" s="143" t="s">
        <v>504</v>
      </c>
      <c r="G94" t="str">
        <f aca="1">CHOOSE(ID_Jezik,C94,D94,E94,F94)</f>
        <v>Ukupno 
(3+4+5+6±7± 8 ± 9)</v>
      </c>
      <c r="H94" t="str">
        <f>SUBSTITUTE(A94&amp;"_"&amp;B94," ","_")</f>
        <v>Tabele_zaglavlje_BPK10</v>
      </c>
      <c r="I94">
        <f>COUNTIF($B$2:$B$1034,"="&amp;B94)</f>
        <v>1</v>
      </c>
    </row>
    <row r="95" spans="1:9">
      <c r="A95" t="s">
        <v>386</v>
      </c>
      <c r="B95" t="s">
        <v>505</v>
      </c>
      <c r="C95" t="s">
        <v>506</v>
      </c>
      <c r="D95" s="189" t="s">
        <v>507</v>
      </c>
      <c r="E95" t="s">
        <v>508</v>
      </c>
      <c r="F95" t="s">
        <v>509</v>
      </c>
      <c r="G95" t="str">
        <f aca="1">CHOOSE(ID_Jezik,C95,D95,E95,F95)</f>
        <v>UDJELI KOJI NEMAJU KONTROLU (MANJINSKI INTERESI)</v>
      </c>
      <c r="H95" t="str">
        <f>SUBSTITUTE(A95&amp;"_"&amp;B95," ","_")</f>
        <v>Tabele_zaglavlje_BPK11</v>
      </c>
      <c r="I95">
        <f>COUNTIF($B$2:$B$1034,"="&amp;B95)</f>
        <v>1</v>
      </c>
    </row>
    <row r="96" spans="1:9">
      <c r="A96" t="s">
        <v>386</v>
      </c>
      <c r="B96" t="s">
        <v>510</v>
      </c>
      <c r="C96" s="143" t="s">
        <v>511</v>
      </c>
      <c r="D96" s="188" t="s">
        <v>512</v>
      </c>
      <c r="E96" t="s">
        <v>513</v>
      </c>
      <c r="F96" t="s">
        <v>514</v>
      </c>
      <c r="G96" t="str">
        <f aca="1">CHOOSE(ID_Jezik,C96,D96,E96,F96)</f>
        <v>UKUPNI KAPITAL
(10+11)</v>
      </c>
      <c r="H96" t="str">
        <f>SUBSTITUTE(A96&amp;"_"&amp;B96," ","_")</f>
        <v>Tabele_zaglavlje_BPK12</v>
      </c>
      <c r="I96">
        <f>COUNTIF($B$2:$B$1034,"="&amp;B96)</f>
        <v>1</v>
      </c>
    </row>
    <row r="97" spans="1:9">
      <c r="A97" t="s">
        <v>515</v>
      </c>
      <c r="B97" t="s">
        <v>516</v>
      </c>
      <c r="C97" t="s">
        <v>68</v>
      </c>
      <c r="D97" t="s">
        <v>517</v>
      </c>
      <c r="E97" t="s">
        <v>518</v>
      </c>
      <c r="F97" t="s">
        <v>519</v>
      </c>
      <c r="G97" t="str">
        <f aca="1">CHOOSE(ID_Jezik,C97,D97,E97,F97)</f>
        <v>Obavezan unos podataka u formi!</v>
      </c>
      <c r="H97" t="str">
        <f>SUBSTITUTE(A97&amp;"_"&amp;B97," ","_")</f>
        <v>Kontrola_Obavezno</v>
      </c>
      <c r="I97">
        <f>COUNTIF($B$2:$B$1034,"="&amp;B97)</f>
        <v>1</v>
      </c>
    </row>
    <row r="98" spans="1:9">
      <c r="A98" t="s">
        <v>515</v>
      </c>
      <c r="B98" t="s">
        <v>520</v>
      </c>
      <c r="C98" t="s">
        <v>521</v>
      </c>
      <c r="D98" t="s">
        <v>522</v>
      </c>
      <c r="E98" t="s">
        <v>523</v>
      </c>
      <c r="F98" t="s">
        <v>524</v>
      </c>
      <c r="G98" t="str">
        <f aca="1">CHOOSE(ID_Jezik,C98,D98,E98,F98)</f>
        <v>Neispravan unos podataka!</v>
      </c>
      <c r="H98" t="str">
        <f>SUBSTITUTE(A98&amp;"_"&amp;B98," ","_")</f>
        <v>Kontrola_Neispravno</v>
      </c>
      <c r="I98">
        <f>COUNTIF($B$2:$B$1034,"="&amp;B98)</f>
        <v>1</v>
      </c>
    </row>
    <row r="99" spans="1:9">
      <c r="A99" t="s">
        <v>525</v>
      </c>
      <c r="B99" t="s">
        <v>526</v>
      </c>
      <c r="C99" t="s">
        <v>527</v>
      </c>
      <c r="D99" t="s">
        <v>528</v>
      </c>
      <c r="E99" t="s">
        <v>529</v>
      </c>
      <c r="F99" t="s">
        <v>530</v>
      </c>
      <c r="G99" t="str">
        <f aca="1">CHOOSE(ID_Jezik,C99,D99,E99,F99)</f>
        <v>Revidiran izvještaj:</v>
      </c>
      <c r="H99" t="str">
        <f>SUBSTITUTE(A99&amp;"_"&amp;B99," ","_")</f>
        <v>Revizija_Revidiran_izvjestaj</v>
      </c>
      <c r="I99">
        <f>COUNTIF($B$2:$B$1034,"="&amp;B99)</f>
        <v>1</v>
      </c>
    </row>
    <row r="100" spans="1:9">
      <c r="A100" t="s">
        <v>525</v>
      </c>
      <c r="B100" t="s">
        <v>531</v>
      </c>
      <c r="C100" t="s">
        <v>532</v>
      </c>
      <c r="D100" t="s">
        <v>533</v>
      </c>
      <c r="E100" t="s">
        <v>534</v>
      </c>
      <c r="F100" t="s">
        <v>535</v>
      </c>
      <c r="G100" t="str">
        <f aca="1">CHOOSE(ID_Jezik,C100,D100,E100,F100)</f>
        <v>Mišljenje revizora:</v>
      </c>
      <c r="H100" t="str">
        <f>SUBSTITUTE(A100&amp;"_"&amp;B100," ","_")</f>
        <v>Revizija_Misljenje</v>
      </c>
      <c r="I100">
        <f>COUNTIF($B$2:$B$1034,"="&amp;B100)</f>
        <v>1</v>
      </c>
    </row>
    <row r="101" spans="1:9">
      <c r="A101" t="s">
        <v>525</v>
      </c>
      <c r="B101" t="s">
        <v>536</v>
      </c>
      <c r="C101" t="s">
        <v>537</v>
      </c>
      <c r="D101" t="s">
        <v>538</v>
      </c>
      <c r="E101" t="s">
        <v>539</v>
      </c>
      <c r="F101" t="s">
        <v>540</v>
      </c>
      <c r="G101" t="str">
        <f aca="1">CHOOSE(ID_Jezik,C101,D101,E101,F101)</f>
        <v>Podaci o revizorskoj firmi:</v>
      </c>
      <c r="H101" t="str">
        <f>SUBSTITUTE(A101&amp;"_"&amp;B101," ","_")</f>
        <v>Revizija_Podaci_o_revizorskoj_firmi</v>
      </c>
      <c r="I101">
        <f>COUNTIF($B$2:$B$1034,"="&amp;B101)</f>
        <v>1</v>
      </c>
    </row>
    <row r="102" spans="1:9">
      <c r="A102" t="s">
        <v>525</v>
      </c>
      <c r="B102" t="s">
        <v>541</v>
      </c>
      <c r="C102" t="s">
        <v>542</v>
      </c>
      <c r="D102" t="s">
        <v>543</v>
      </c>
      <c r="E102" t="s">
        <v>544</v>
      </c>
      <c r="F102" t="s">
        <v>545</v>
      </c>
      <c r="G102" t="str">
        <f aca="1">CHOOSE(ID_Jezik,C102,D102,E102,F102)</f>
        <v>Naziv revizorske firme:</v>
      </c>
      <c r="H102" t="str">
        <f>SUBSTITUTE(A102&amp;"_"&amp;B102," ","_")</f>
        <v>Revizija_Naziv_revizorske_firme</v>
      </c>
      <c r="I102">
        <f>COUNTIF($B$2:$B$1034,"="&amp;B102)</f>
        <v>1</v>
      </c>
    </row>
    <row r="103" spans="1:9">
      <c r="A103" t="s">
        <v>525</v>
      </c>
      <c r="B103" t="s">
        <v>546</v>
      </c>
      <c r="C103" t="s">
        <v>547</v>
      </c>
      <c r="D103" t="s">
        <v>548</v>
      </c>
      <c r="E103" t="s">
        <v>549</v>
      </c>
      <c r="F103" t="s">
        <v>550</v>
      </c>
      <c r="G103" t="str">
        <f aca="1">CHOOSE(ID_Jezik,C103,D103,E103,F103)</f>
        <v>Pozitivno mišljenje</v>
      </c>
      <c r="H103" t="str">
        <f>SUBSTITUTE(A103&amp;"_"&amp;B103," ","_")</f>
        <v>Revizija_Pozitivno</v>
      </c>
      <c r="I103">
        <f>COUNTIF($B$2:$B$1034,"="&amp;B103)</f>
        <v>1</v>
      </c>
    </row>
    <row r="104" spans="1:9">
      <c r="A104" t="s">
        <v>525</v>
      </c>
      <c r="B104" t="s">
        <v>551</v>
      </c>
      <c r="C104" t="s">
        <v>552</v>
      </c>
      <c r="D104" t="s">
        <v>553</v>
      </c>
      <c r="E104" t="s">
        <v>554</v>
      </c>
      <c r="F104" t="s">
        <v>555</v>
      </c>
      <c r="G104" t="str">
        <f aca="1">CHOOSE(ID_Jezik,C104,D104,E104,F104)</f>
        <v>Mišljenje sa rezervom</v>
      </c>
      <c r="H104" t="str">
        <f>SUBSTITUTE(A104&amp;"_"&amp;B104," ","_")</f>
        <v>Revizija_Sa_rezervom</v>
      </c>
      <c r="I104">
        <f>COUNTIF($B$2:$B$1034,"="&amp;B104)</f>
        <v>1</v>
      </c>
    </row>
    <row r="105" spans="1:9">
      <c r="A105" t="s">
        <v>525</v>
      </c>
      <c r="B105" t="s">
        <v>556</v>
      </c>
      <c r="C105" t="s">
        <v>557</v>
      </c>
      <c r="D105" t="s">
        <v>558</v>
      </c>
      <c r="E105" t="s">
        <v>559</v>
      </c>
      <c r="F105" t="s">
        <v>560</v>
      </c>
      <c r="G105" t="str">
        <f aca="1">CHOOSE(ID_Jezik,C105,D105,E105,F105)</f>
        <v>Negativno mišljenje</v>
      </c>
      <c r="H105" t="str">
        <f>SUBSTITUTE(A105&amp;"_"&amp;B105," ","_")</f>
        <v>Revizija_Negativno</v>
      </c>
      <c r="I105">
        <f>COUNTIF($B$2:$B$1034,"="&amp;B105)</f>
        <v>1</v>
      </c>
    </row>
    <row r="106" spans="1:9">
      <c r="A106" t="s">
        <v>525</v>
      </c>
      <c r="B106" t="s">
        <v>561</v>
      </c>
      <c r="C106" t="s">
        <v>562</v>
      </c>
      <c r="D106" t="s">
        <v>563</v>
      </c>
      <c r="E106" t="s">
        <v>564</v>
      </c>
      <c r="F106" t="s">
        <v>565</v>
      </c>
      <c r="G106" t="str">
        <f aca="1">CHOOSE(ID_Jezik,C106,D106,E106,F106)</f>
        <v>Uzdržavanje od mišljenja</v>
      </c>
      <c r="H106" t="str">
        <f>SUBSTITUTE(A106&amp;"_"&amp;B106," ","_")</f>
        <v>Revizija_Uzdrzavanje</v>
      </c>
      <c r="I106">
        <f>COUNTIF($B$2:$B$1034,"="&amp;B106)</f>
        <v>1</v>
      </c>
    </row>
    <row r="107" spans="1:9">
      <c r="A107" t="s">
        <v>566</v>
      </c>
      <c r="B107" t="s">
        <v>567</v>
      </c>
      <c r="C107" s="184" t="s">
        <v>568</v>
      </c>
      <c r="D107" s="184" t="s">
        <v>569</v>
      </c>
      <c r="E107" t="s">
        <v>570</v>
      </c>
      <c r="F107" t="s">
        <v>571</v>
      </c>
      <c r="G107" t="str">
        <f aca="1">CHOOSE(ID_Jezik,C107,D107,E107,F107)</f>
        <v>1 Subvencije na proizvode obuhvataju subvencije koje se mogu iskazati po jedinici proizvoda, tj. iznos ovih subvencija zavisi od obima proizvodnje (npr. vozna karta, brašno, hljeb, mlijeko i sl.).</v>
      </c>
      <c r="H107" t="str">
        <f>SUBSTITUTE(A107&amp;"_"&amp;B107," ","_")</f>
        <v>Napomene_Nota_1</v>
      </c>
      <c r="I107">
        <f>COUNTIF($B$2:$B$1034,"="&amp;B107)</f>
        <v>1</v>
      </c>
    </row>
    <row r="108" spans="1:9">
      <c r="A108" t="s">
        <v>566</v>
      </c>
      <c r="B108" t="s">
        <v>572</v>
      </c>
      <c r="C108" s="184" t="s">
        <v>573</v>
      </c>
      <c r="D108" s="184" t="s">
        <v>574</v>
      </c>
      <c r="E108" t="s">
        <v>575</v>
      </c>
      <c r="F108" t="s">
        <v>576</v>
      </c>
      <c r="G108" t="str">
        <f aca="1">CHOOSE(ID_Jezik,C108,D108,E108,F108)</f>
        <v>2 Subvencije na proizvodnju obuhvataju subvencije koje se ne mogu iskazati po jedinici proizvoda ili usluge  (npr. zapošljavanje, platu, kamatnu stopu, za smanjenje zagađenja i sl.).</v>
      </c>
      <c r="H108" t="str">
        <f>SUBSTITUTE(A108&amp;"_"&amp;B108," ","_")</f>
        <v>Napomene_Nota_2</v>
      </c>
      <c r="I108">
        <f>COUNTIF($B$2:$B$1034,"="&amp;B108)</f>
        <v>1</v>
      </c>
    </row>
    <row r="109" spans="1:9">
      <c r="A109" t="s">
        <v>566</v>
      </c>
      <c r="B109" t="s">
        <v>577</v>
      </c>
      <c r="C109" s="184" t="s">
        <v>578</v>
      </c>
      <c r="D109" s="184" t="s">
        <v>579</v>
      </c>
      <c r="E109" t="s">
        <v>580</v>
      </c>
      <c r="F109" t="s">
        <v>581</v>
      </c>
      <c r="G109" t="str">
        <f aca="1">CHOOSE(ID_Jezik,C109,D109,E109,F109)</f>
        <v>3 Porezi na proizvode zavise od količine ili vrijednosti proizvedenih dobara i usluga (npr. carine, boravišne takse, porez na igre na sreću i sl.).</v>
      </c>
      <c r="H109" t="str">
        <f>SUBSTITUTE(A109&amp;"_"&amp;B109," ","_")</f>
        <v>Napomene_Nota_3</v>
      </c>
      <c r="I109">
        <f>COUNTIF($B$2:$B$1034,"="&amp;B109)</f>
        <v>1</v>
      </c>
    </row>
    <row r="110" spans="1:9">
      <c r="A110" t="s">
        <v>566</v>
      </c>
      <c r="B110" t="s">
        <v>582</v>
      </c>
      <c r="C110" s="184" t="s">
        <v>583</v>
      </c>
      <c r="D110" s="184" t="s">
        <v>584</v>
      </c>
      <c r="E110" t="s">
        <v>585</v>
      </c>
      <c r="F110" t="s">
        <v>586</v>
      </c>
      <c r="G110" t="str">
        <f aca="1">CHOOSE(ID_Jezik,C110,D110,E110,F110)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t="str">
        <f>SUBSTITUTE(A110&amp;"_"&amp;B110," ","_")</f>
        <v>Napomene_Nota_4</v>
      </c>
      <c r="I110">
        <f>COUNTIF($B$2:$B$1034,"="&amp;B110)</f>
        <v>1</v>
      </c>
    </row>
  </sheetData>
  <sheetProtection algorithmName="SHA-512" hashValue="gzU7BH1JvJEVvSKLS3PkHUbOyrjaJsQU8YtO1W9M79HTzUCnkLs3qs+DpC0MspzyEgoGcO06qdxeIpEZTYVK3g==" saltValue="45uQAYiDdcYrueHi+ldFcA==" spinCount="100000" sheet="1" autoFilter="0"/>
  <conditionalFormatting sqref="C2:F73 C74:E87 F75:F91 C88:D89 C90:E104 F94:F106 C105:F106">
    <cfRule type="containsBlanks" dxfId="10" priority="1" stopIfTrue="1">
      <formula>LEN(TRIM(C2))=0</formula>
    </cfRule>
  </conditionalFormatting>
  <printOptions>
    <extLst>
      <ext uri="smNativeData">
        <pm:pageFlags xmlns:pm="smNativeData" id="1714042646" printRowHead="0" printColHead="0" printHeadLine="0" printFootLine="0" autoHeightHeader="0" autoHeightFooter="0" fitToPageBoth="0"/>
      </ext>
    </extLst>
  </printOptions>
  <pageMargins left="0.700000" right="0.700000" top="0.750000" bottom="0.750000" header="0.300000" footer="0.300000"/>
  <pageSetup paperSize="1" fitToWidth="0" fitToHeight="1"/>
  <header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tableParts count="1">
    <tablePart r:id="rId1"/>
  </tableParts>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0000"/>
  </sheetPr>
  <dimension ref="A1:P453"/>
  <sheetViews>
    <sheetView showGridLines="0" showRowColHeaders="0" view="normal" workbookViewId="0">
      <pane xSplit="5" ySplit="1" topLeftCell="J38" activePane="bottomRight" state="frozen"/>
      <selection pane="bottomRight" activeCell="I11" sqref="I11"/>
    </sheetView>
  </sheetViews>
  <sheetFormatPr defaultRowHeight="14.20"/>
  <cols>
    <col min="1" max="1" width="8.000000" customWidth="1"/>
    <col min="2" max="2" width="8.564356" customWidth="1"/>
    <col min="3" max="3" width="10.138614" customWidth="1"/>
    <col min="4" max="4" width="7.138614" customWidth="1"/>
    <col min="5" max="5" width="18.564356" customWidth="1"/>
    <col min="6" max="6" width="125.712871" customWidth="1"/>
    <col min="7" max="7" width="76.425743" customWidth="1" style="222"/>
    <col min="8" max="8" width="94.425743" customWidth="1" style="222"/>
    <col min="9" max="9" width="73.000000" customWidth="1" style="222"/>
    <col min="10" max="10" width="67.851485" customWidth="1" style="222"/>
    <col min="11" max="13" width="19.712871" customWidth="1" style="60"/>
    <col min="14" max="14" width="24.287129" customWidth="1" style="19"/>
    <col min="15" max="16" width="8.851485" customWidth="1"/>
    <col min="17" max="16384" width="9.138614" customWidth="1" style="0"/>
  </cols>
  <sheetData>
    <row r="1" spans="1:16" ht="25.50" customHeight="1">
      <c r="A1" s="266" t="s">
        <v>66</v>
      </c>
      <c r="B1" s="266" t="s">
        <v>587</v>
      </c>
      <c r="C1" s="266" t="s">
        <v>588</v>
      </c>
      <c r="D1" s="266" t="s">
        <v>404</v>
      </c>
      <c r="E1" s="267" t="s">
        <v>589</v>
      </c>
      <c r="F1" s="267" t="s">
        <v>590</v>
      </c>
      <c r="G1" s="221" t="s">
        <v>591</v>
      </c>
      <c r="H1" s="221" t="s">
        <v>592</v>
      </c>
      <c r="I1" s="221" t="s">
        <v>593</v>
      </c>
      <c r="J1" s="221" t="s">
        <v>594</v>
      </c>
      <c r="K1" s="221" t="s">
        <v>595</v>
      </c>
      <c r="L1" s="221" t="s">
        <v>596</v>
      </c>
      <c r="M1" s="221" t="s">
        <v>597</v>
      </c>
      <c r="N1" s="266" t="s">
        <v>598</v>
      </c>
      <c r="O1" s="266" t="s">
        <v>599</v>
      </c>
      <c r="P1" s="266" t="s">
        <v>600</v>
      </c>
    </row>
    <row r="2" spans="1:16" ht="36.75" customHeight="1">
      <c r="A2">
        <f>ROW()-ROW($A$1)</f>
        <v>1</v>
      </c>
      <c r="B2" t="s">
        <v>601</v>
      </c>
      <c r="C2" t="n">
        <v>1</v>
      </c>
      <c r="D2" s="173" t="n">
        <v>1</v>
      </c>
      <c r="E2" s="568">
        <f aca="1">VLOOKUP(T_Aop[[#This Row],[Id]],T_Aop[],ID_Jezik+10,1)</f>
        <v>0</v>
      </c>
      <c r="F2" t="str">
        <f aca="1">REPT("  ",T_Aop[[#This Row],[Aop nivo]])&amp;VLOOKUP(T_Aop[[#This Row],[Id]],T_Aop[],ID_Jezik+6,1)</f>
        <v>  BILANSNA AKTIVA
A. STALNA SREDSTVA (002+008+015+016+017+022+034)</v>
      </c>
      <c r="G2" s="214" t="s">
        <v>602</v>
      </c>
      <c r="H2" s="214" t="s">
        <v>603</v>
      </c>
      <c r="I2" s="214" t="s">
        <v>604</v>
      </c>
      <c r="J2" s="214" t="s">
        <v>605</v>
      </c>
      <c r="K2" s="265" t="n">
        <v>0</v>
      </c>
      <c r="L2" s="265" t="n">
        <v>0</v>
      </c>
      <c r="O2" s="19" t="n">
        <v>1</v>
      </c>
      <c r="P2" s="19"/>
    </row>
    <row r="3" spans="1:16">
      <c r="A3">
        <f>ROW()-ROW($A$1)</f>
        <v>2</v>
      </c>
      <c r="B3" t="s">
        <v>601</v>
      </c>
      <c r="C3" t="n">
        <v>1</v>
      </c>
      <c r="D3" s="173" t="n">
        <v>2</v>
      </c>
      <c r="E3" s="19" t="str">
        <f aca="1">VLOOKUP(T_Aop[[#This Row],[Id]],T_Aop[],ID_Jezik+10,1)</f>
        <v>01</v>
      </c>
      <c r="F3" t="str">
        <f aca="1">REPT("  ",T_Aop[[#This Row],[Aop nivo]])&amp;VLOOKUP(T_Aop[[#This Row],[Id]],T_Aop[],ID_Jezik+6,1)</f>
        <v>  I  NEMATERIJALNA SREDSTVA  (003 do 007)</v>
      </c>
      <c r="G3" s="215" t="s">
        <v>606</v>
      </c>
      <c r="H3" s="215" t="s">
        <v>607</v>
      </c>
      <c r="I3" s="222" t="s">
        <v>608</v>
      </c>
      <c r="J3" s="222" t="s">
        <v>609</v>
      </c>
      <c r="K3" s="279" t="s">
        <v>610</v>
      </c>
      <c r="L3" s="201" t="s">
        <v>610</v>
      </c>
      <c r="M3" s="223" t="s">
        <v>610</v>
      </c>
      <c r="N3" s="200" t="s">
        <v>610</v>
      </c>
      <c r="O3" s="19" t="n">
        <v>1</v>
      </c>
      <c r="P3" s="19"/>
    </row>
    <row r="4" spans="1:16">
      <c r="A4">
        <f>ROW()-ROW($A$1)</f>
        <v>3</v>
      </c>
      <c r="B4" t="s">
        <v>601</v>
      </c>
      <c r="C4" t="n">
        <v>2</v>
      </c>
      <c r="D4" s="173" t="n">
        <v>3</v>
      </c>
      <c r="E4" s="19" t="str">
        <f aca="1">VLOOKUP(T_Aop[[#This Row],[Id]],T_Aop[],ID_Jezik+10,1)</f>
        <v>010, dio 019</v>
      </c>
      <c r="F4" t="str">
        <f aca="1">REPT("  ",T_Aop[[#This Row],[Aop nivo]])&amp;VLOOKUP(T_Aop[[#This Row],[Id]],T_Aop[],ID_Jezik+6,1)</f>
        <v>    1. Ulaganja u razvoj</v>
      </c>
      <c r="G4" s="222" t="s">
        <v>611</v>
      </c>
      <c r="H4" s="214" t="s">
        <v>612</v>
      </c>
      <c r="I4" s="222" t="s">
        <v>613</v>
      </c>
      <c r="J4" s="281" t="s">
        <v>614</v>
      </c>
      <c r="K4" s="280" t="s">
        <v>615</v>
      </c>
      <c r="L4" s="203" t="s">
        <v>616</v>
      </c>
      <c r="M4" s="223" t="s">
        <v>617</v>
      </c>
      <c r="N4" s="193" t="s">
        <v>618</v>
      </c>
      <c r="O4" s="19"/>
      <c r="P4" s="19"/>
    </row>
    <row r="5" spans="1:16">
      <c r="A5">
        <f>ROW()-ROW($A$1)</f>
        <v>4</v>
      </c>
      <c r="B5" t="s">
        <v>601</v>
      </c>
      <c r="C5" t="n">
        <v>2</v>
      </c>
      <c r="D5" s="173" t="n">
        <v>4</v>
      </c>
      <c r="E5" s="19" t="str">
        <f aca="1">VLOOKUP(T_Aop[[#This Row],[Id]],T_Aop[],ID_Jezik+10,1)</f>
        <v>011, 013 dio 019</v>
      </c>
      <c r="F5" t="str">
        <f aca="1">REPT("  ",T_Aop[[#This Row],[Aop nivo]])&amp;VLOOKUP(T_Aop[[#This Row],[Id]],T_Aop[],ID_Jezik+6,1)</f>
        <v>    2. Koncesije, patenti, licence, softver i ostala prava</v>
      </c>
      <c r="G5" s="222" t="s">
        <v>619</v>
      </c>
      <c r="H5" s="215" t="s">
        <v>620</v>
      </c>
      <c r="I5" s="222" t="s">
        <v>621</v>
      </c>
      <c r="J5" s="281" t="s">
        <v>622</v>
      </c>
      <c r="K5" s="280" t="s">
        <v>623</v>
      </c>
      <c r="L5" s="202" t="s">
        <v>624</v>
      </c>
      <c r="M5" s="223" t="s">
        <v>625</v>
      </c>
      <c r="N5" s="193" t="s">
        <v>626</v>
      </c>
      <c r="O5" s="19"/>
      <c r="P5" s="19"/>
    </row>
    <row r="6" spans="1:16">
      <c r="A6">
        <f>ROW()-ROW($A$1)</f>
        <v>5</v>
      </c>
      <c r="B6" t="s">
        <v>601</v>
      </c>
      <c r="C6" t="n">
        <v>2</v>
      </c>
      <c r="D6" s="173" t="n">
        <v>5</v>
      </c>
      <c r="E6" s="19" t="str">
        <f aca="1">VLOOKUP(T_Aop[[#This Row],[Id]],T_Aop[],ID_Jezik+10,1)</f>
        <v>012, dio 019</v>
      </c>
      <c r="F6" t="str">
        <f aca="1">REPT("  ",T_Aop[[#This Row],[Aop nivo]])&amp;VLOOKUP(T_Aop[[#This Row],[Id]],T_Aop[],ID_Jezik+6,1)</f>
        <v>    3. Goodwill</v>
      </c>
      <c r="G6" s="222" t="s">
        <v>627</v>
      </c>
      <c r="H6" s="214" t="s">
        <v>628</v>
      </c>
      <c r="I6" s="222" t="s">
        <v>627</v>
      </c>
      <c r="J6" s="281" t="s">
        <v>627</v>
      </c>
      <c r="K6" s="280" t="s">
        <v>629</v>
      </c>
      <c r="L6" s="202" t="s">
        <v>630</v>
      </c>
      <c r="M6" s="223" t="s">
        <v>631</v>
      </c>
      <c r="N6" s="193" t="s">
        <v>632</v>
      </c>
      <c r="O6" s="19"/>
      <c r="P6" s="19"/>
    </row>
    <row r="7" spans="1:16">
      <c r="A7">
        <f>ROW()-ROW($A$1)</f>
        <v>6</v>
      </c>
      <c r="B7" t="s">
        <v>601</v>
      </c>
      <c r="C7" t="n">
        <v>2</v>
      </c>
      <c r="D7" s="173" t="n">
        <v>6</v>
      </c>
      <c r="E7" s="19" t="str">
        <f aca="1">VLOOKUP(T_Aop[[#This Row],[Id]],T_Aop[],ID_Jezik+10,1)</f>
        <v>014, dio 019</v>
      </c>
      <c r="F7" t="str">
        <f aca="1">REPT("  ",T_Aop[[#This Row],[Aop nivo]])&amp;VLOOKUP(T_Aop[[#This Row],[Id]],T_Aop[],ID_Jezik+6,1)</f>
        <v>    4. Ostala nematerijalna sredstva</v>
      </c>
      <c r="G7" s="222" t="s">
        <v>633</v>
      </c>
      <c r="H7" s="215" t="s">
        <v>634</v>
      </c>
      <c r="I7" s="222" t="s">
        <v>635</v>
      </c>
      <c r="J7" s="281" t="s">
        <v>636</v>
      </c>
      <c r="K7" s="280" t="s">
        <v>637</v>
      </c>
      <c r="L7" s="202" t="s">
        <v>638</v>
      </c>
      <c r="M7" s="223" t="s">
        <v>639</v>
      </c>
      <c r="N7" s="193" t="s">
        <v>640</v>
      </c>
      <c r="O7" s="19"/>
      <c r="P7" s="19"/>
    </row>
    <row r="8" spans="1:16">
      <c r="A8">
        <f>ROW()-ROW($A$1)</f>
        <v>7</v>
      </c>
      <c r="B8" t="s">
        <v>601</v>
      </c>
      <c r="C8" t="n">
        <v>2</v>
      </c>
      <c r="D8" s="173" t="n">
        <v>7</v>
      </c>
      <c r="E8" s="19" t="str">
        <f aca="1">VLOOKUP(T_Aop[[#This Row],[Id]],T_Aop[],ID_Jezik+10,1)</f>
        <v>015, 016, dio 019</v>
      </c>
      <c r="F8" t="str">
        <f aca="1">REPT("  ",T_Aop[[#This Row],[Aop nivo]])&amp;VLOOKUP(T_Aop[[#This Row],[Id]],T_Aop[],ID_Jezik+6,1)</f>
        <v>    5. Avansi i nematerijalna sredstva u pripremi </v>
      </c>
      <c r="G8" s="222" t="s">
        <v>641</v>
      </c>
      <c r="H8" s="214" t="s">
        <v>642</v>
      </c>
      <c r="I8" s="222" t="s">
        <v>643</v>
      </c>
      <c r="J8" s="281" t="s">
        <v>644</v>
      </c>
      <c r="K8" s="280" t="s">
        <v>645</v>
      </c>
      <c r="L8" s="202" t="s">
        <v>646</v>
      </c>
      <c r="M8" s="223" t="s">
        <v>647</v>
      </c>
      <c r="N8" s="193" t="s">
        <v>648</v>
      </c>
      <c r="O8" s="19"/>
      <c r="P8" s="19"/>
    </row>
    <row r="9" spans="1:16">
      <c r="A9">
        <f>ROW()-ROW($A$1)</f>
        <v>8</v>
      </c>
      <c r="B9" t="s">
        <v>601</v>
      </c>
      <c r="C9" t="n">
        <v>1</v>
      </c>
      <c r="D9" s="173" t="n">
        <v>8</v>
      </c>
      <c r="E9" s="19" t="str">
        <f aca="1">VLOOKUP(T_Aop[[#This Row],[Id]],T_Aop[],ID_Jezik+10,1)</f>
        <v>02</v>
      </c>
      <c r="F9" t="str">
        <f aca="1">REPT("  ",T_Aop[[#This Row],[Aop nivo]])&amp;VLOOKUP(T_Aop[[#This Row],[Id]],T_Aop[],ID_Jezik+6,1)</f>
        <v>  II  NEKRETNINE, POSTROJENJA I OPREMA (009 do 014) </v>
      </c>
      <c r="G9" s="215" t="s">
        <v>649</v>
      </c>
      <c r="H9" s="215" t="s">
        <v>650</v>
      </c>
      <c r="I9" s="222" t="s">
        <v>651</v>
      </c>
      <c r="J9" s="281" t="s">
        <v>652</v>
      </c>
      <c r="K9" s="279" t="s">
        <v>653</v>
      </c>
      <c r="L9" s="201" t="s">
        <v>653</v>
      </c>
      <c r="M9" s="223" t="s">
        <v>653</v>
      </c>
      <c r="N9" s="200" t="s">
        <v>653</v>
      </c>
      <c r="O9" s="19" t="n">
        <v>1</v>
      </c>
      <c r="P9" s="19"/>
    </row>
    <row r="10" spans="1:16">
      <c r="A10">
        <f>ROW()-ROW($A$1)</f>
        <v>9</v>
      </c>
      <c r="B10" t="s">
        <v>601</v>
      </c>
      <c r="C10" t="n">
        <v>2</v>
      </c>
      <c r="D10" s="173" t="n">
        <v>9</v>
      </c>
      <c r="E10" s="19" t="str">
        <f aca="1">VLOOKUP(T_Aop[[#This Row],[Id]],T_Aop[],ID_Jezik+10,1)</f>
        <v>020, dio 029</v>
      </c>
      <c r="F10" t="str">
        <f aca="1">REPT("  ",T_Aop[[#This Row],[Aop nivo]])&amp;VLOOKUP(T_Aop[[#This Row],[Id]],T_Aop[],ID_Jezik+6,1)</f>
        <v>    1. Zemljište</v>
      </c>
      <c r="G10" s="222" t="s">
        <v>654</v>
      </c>
      <c r="H10" s="214" t="s">
        <v>655</v>
      </c>
      <c r="I10" s="222" t="s">
        <v>656</v>
      </c>
      <c r="J10" s="281" t="s">
        <v>657</v>
      </c>
      <c r="K10" s="280" t="s">
        <v>658</v>
      </c>
      <c r="L10" s="202" t="s">
        <v>659</v>
      </c>
      <c r="M10" s="223" t="s">
        <v>660</v>
      </c>
      <c r="N10" s="193" t="s">
        <v>661</v>
      </c>
      <c r="O10" s="19"/>
      <c r="P10" s="19"/>
    </row>
    <row r="11" spans="1:16">
      <c r="A11">
        <f>ROW()-ROW($A$1)</f>
        <v>10</v>
      </c>
      <c r="B11" t="s">
        <v>601</v>
      </c>
      <c r="C11" t="n">
        <v>2</v>
      </c>
      <c r="D11" s="173" t="n">
        <v>10</v>
      </c>
      <c r="E11" s="19" t="str">
        <f aca="1">VLOOKUP(T_Aop[[#This Row],[Id]],T_Aop[],ID_Jezik+10,1)</f>
        <v>021, dio 029</v>
      </c>
      <c r="F11" t="str">
        <f aca="1">REPT("  ",T_Aop[[#This Row],[Aop nivo]])&amp;VLOOKUP(T_Aop[[#This Row],[Id]],T_Aop[],ID_Jezik+6,1)</f>
        <v>    2. Građevinski objekti</v>
      </c>
      <c r="G11" s="222" t="s">
        <v>662</v>
      </c>
      <c r="H11" s="215" t="s">
        <v>663</v>
      </c>
      <c r="I11" s="222" t="s">
        <v>664</v>
      </c>
      <c r="J11" s="281" t="s">
        <v>665</v>
      </c>
      <c r="K11" s="280" t="s">
        <v>666</v>
      </c>
      <c r="L11" s="202" t="s">
        <v>667</v>
      </c>
      <c r="M11" s="223" t="s">
        <v>668</v>
      </c>
      <c r="N11" s="193" t="s">
        <v>669</v>
      </c>
      <c r="O11" s="19"/>
      <c r="P11" s="19"/>
    </row>
    <row r="12" spans="1:16">
      <c r="A12">
        <f>ROW()-ROW($A$1)</f>
        <v>11</v>
      </c>
      <c r="B12" t="s">
        <v>601</v>
      </c>
      <c r="C12" t="n">
        <v>2</v>
      </c>
      <c r="D12" s="173" t="n">
        <v>11</v>
      </c>
      <c r="E12" s="19" t="str">
        <f aca="1">VLOOKUP(T_Aop[[#This Row],[Id]],T_Aop[],ID_Jezik+10,1)</f>
        <v>022, dio 029</v>
      </c>
      <c r="F12" t="str">
        <f aca="1">REPT("  ",T_Aop[[#This Row],[Aop nivo]])&amp;VLOOKUP(T_Aop[[#This Row],[Id]],T_Aop[],ID_Jezik+6,1)</f>
        <v>    3. Postrojenja i oprema</v>
      </c>
      <c r="G12" s="222" t="s">
        <v>670</v>
      </c>
      <c r="H12" s="214" t="s">
        <v>671</v>
      </c>
      <c r="I12" s="222" t="s">
        <v>672</v>
      </c>
      <c r="J12" s="281" t="s">
        <v>673</v>
      </c>
      <c r="K12" s="280" t="s">
        <v>674</v>
      </c>
      <c r="L12" s="202" t="s">
        <v>675</v>
      </c>
      <c r="M12" s="223" t="s">
        <v>676</v>
      </c>
      <c r="N12" s="193" t="s">
        <v>677</v>
      </c>
      <c r="O12" s="19"/>
      <c r="P12" s="19"/>
    </row>
    <row r="13" spans="1:16">
      <c r="A13">
        <f>ROW()-ROW($A$1)</f>
        <v>12</v>
      </c>
      <c r="B13" t="s">
        <v>601</v>
      </c>
      <c r="C13" t="n">
        <v>2</v>
      </c>
      <c r="D13" s="173" t="n">
        <v>12</v>
      </c>
      <c r="E13" s="19" t="str">
        <f aca="1">VLOOKUP(T_Aop[[#This Row],[Id]],T_Aop[],ID_Jezik+10,1)</f>
        <v>023, dio 029</v>
      </c>
      <c r="F13" t="str">
        <f aca="1">REPT("  ",T_Aop[[#This Row],[Aop nivo]])&amp;VLOOKUP(T_Aop[[#This Row],[Id]],T_Aop[],ID_Jezik+6,1)</f>
        <v>    4. Ostale nekretnine, postrojenja i oprema</v>
      </c>
      <c r="G13" s="222" t="s">
        <v>678</v>
      </c>
      <c r="H13" s="215" t="s">
        <v>679</v>
      </c>
      <c r="I13" s="222" t="s">
        <v>680</v>
      </c>
      <c r="J13" s="281" t="s">
        <v>681</v>
      </c>
      <c r="K13" s="280" t="s">
        <v>682</v>
      </c>
      <c r="L13" s="202" t="s">
        <v>683</v>
      </c>
      <c r="M13" s="223" t="s">
        <v>684</v>
      </c>
      <c r="N13" s="193" t="s">
        <v>685</v>
      </c>
      <c r="O13" s="19"/>
      <c r="P13" s="19"/>
    </row>
    <row r="14" spans="1:16">
      <c r="A14">
        <f>ROW()-ROW($A$1)</f>
        <v>13</v>
      </c>
      <c r="B14" t="s">
        <v>601</v>
      </c>
      <c r="C14" t="n">
        <v>2</v>
      </c>
      <c r="D14" s="173" t="n">
        <v>13</v>
      </c>
      <c r="E14" s="19" t="str">
        <f aca="1">VLOOKUP(T_Aop[[#This Row],[Id]],T_Aop[],ID_Jezik+10,1)</f>
        <v>024, dio 029</v>
      </c>
      <c r="F14" t="str">
        <f aca="1">REPT("  ",T_Aop[[#This Row],[Aop nivo]])&amp;VLOOKUP(T_Aop[[#This Row],[Id]],T_Aop[],ID_Jezik+6,1)</f>
        <v>    5. Ulaganje na tuđim nekretninama, postrojenjima i opremi</v>
      </c>
      <c r="G14" s="222" t="s">
        <v>686</v>
      </c>
      <c r="H14" s="214" t="s">
        <v>687</v>
      </c>
      <c r="I14" s="222" t="s">
        <v>688</v>
      </c>
      <c r="J14" s="281" t="s">
        <v>689</v>
      </c>
      <c r="K14" s="280" t="s">
        <v>690</v>
      </c>
      <c r="L14" s="202" t="s">
        <v>691</v>
      </c>
      <c r="M14" s="223" t="s">
        <v>692</v>
      </c>
      <c r="N14" s="193" t="s">
        <v>693</v>
      </c>
      <c r="O14" s="19"/>
      <c r="P14" s="19"/>
    </row>
    <row r="15" spans="1:16">
      <c r="A15">
        <f>ROW()-ROW($A$1)</f>
        <v>14</v>
      </c>
      <c r="B15" t="s">
        <v>601</v>
      </c>
      <c r="C15" t="n">
        <v>2</v>
      </c>
      <c r="D15" s="173" t="n">
        <v>14</v>
      </c>
      <c r="E15" s="19" t="str">
        <f aca="1">VLOOKUP(T_Aop[[#This Row],[Id]],T_Aop[],ID_Jezik+10,1)</f>
        <v>025, 026, dio 029</v>
      </c>
      <c r="F15" t="str">
        <f aca="1">REPT("  ",T_Aop[[#This Row],[Aop nivo]])&amp;VLOOKUP(T_Aop[[#This Row],[Id]],T_Aop[],ID_Jezik+6,1)</f>
        <v>    6. Avansi i nekretnine, postrojenja i oprema u pripremi</v>
      </c>
      <c r="G15" s="222" t="s">
        <v>694</v>
      </c>
      <c r="H15" s="215" t="s">
        <v>695</v>
      </c>
      <c r="I15" s="222" t="s">
        <v>696</v>
      </c>
      <c r="J15" s="281" t="s">
        <v>697</v>
      </c>
      <c r="K15" s="280" t="s">
        <v>698</v>
      </c>
      <c r="L15" s="202" t="s">
        <v>699</v>
      </c>
      <c r="M15" s="223" t="s">
        <v>700</v>
      </c>
      <c r="N15" s="193" t="s">
        <v>701</v>
      </c>
      <c r="O15" s="19"/>
      <c r="P15" s="19"/>
    </row>
    <row r="16" spans="1:16">
      <c r="A16">
        <f>ROW()-ROW($A$1)</f>
        <v>15</v>
      </c>
      <c r="B16" t="s">
        <v>601</v>
      </c>
      <c r="C16" t="n">
        <v>1</v>
      </c>
      <c r="D16" s="173" t="n">
        <v>15</v>
      </c>
      <c r="E16" s="19" t="str">
        <f aca="1">VLOOKUP(T_Aop[[#This Row],[Id]],T_Aop[],ID_Jezik+10,1)</f>
        <v>03</v>
      </c>
      <c r="F16" t="str">
        <f aca="1">REPT("  ",T_Aop[[#This Row],[Aop nivo]])&amp;VLOOKUP(T_Aop[[#This Row],[Id]],T_Aop[],ID_Jezik+6,1)</f>
        <v>  III INVESTICIONE NEKRETNINE</v>
      </c>
      <c r="G16" s="215" t="s">
        <v>702</v>
      </c>
      <c r="H16" s="214" t="s">
        <v>703</v>
      </c>
      <c r="I16" s="222" t="s">
        <v>704</v>
      </c>
      <c r="J16" s="281" t="s">
        <v>705</v>
      </c>
      <c r="K16" s="581" t="s">
        <v>706</v>
      </c>
      <c r="L16" s="203" t="s">
        <v>706</v>
      </c>
      <c r="M16" s="223" t="s">
        <v>706</v>
      </c>
      <c r="N16" s="200" t="s">
        <v>706</v>
      </c>
      <c r="O16" s="19"/>
      <c r="P16" s="19"/>
    </row>
    <row r="17" spans="1:16">
      <c r="A17">
        <f>ROW()-ROW($A$1)</f>
        <v>16</v>
      </c>
      <c r="B17" t="s">
        <v>601</v>
      </c>
      <c r="C17" t="n">
        <v>1</v>
      </c>
      <c r="D17" s="173" t="n">
        <v>16</v>
      </c>
      <c r="E17" s="19" t="str">
        <f aca="1">VLOOKUP(T_Aop[[#This Row],[Id]],T_Aop[],ID_Jezik+10,1)</f>
        <v>04</v>
      </c>
      <c r="F17" t="str">
        <f aca="1">REPT("  ",T_Aop[[#This Row],[Aop nivo]])&amp;VLOOKUP(T_Aop[[#This Row],[Id]],T_Aop[],ID_Jezik+6,1)</f>
        <v>  IV SREDSTVA UZETA U ZAKUP </v>
      </c>
      <c r="G17" s="215" t="s">
        <v>707</v>
      </c>
      <c r="H17" s="215" t="s">
        <v>708</v>
      </c>
      <c r="I17" s="222" t="s">
        <v>709</v>
      </c>
      <c r="J17" s="281" t="s">
        <v>710</v>
      </c>
      <c r="K17" s="280" t="s">
        <v>711</v>
      </c>
      <c r="L17" s="203" t="s">
        <v>711</v>
      </c>
      <c r="M17" s="223" t="s">
        <v>711</v>
      </c>
      <c r="N17" s="200" t="s">
        <v>711</v>
      </c>
      <c r="O17" s="19"/>
      <c r="P17" s="19"/>
    </row>
    <row r="18" spans="1:16">
      <c r="A18">
        <f>ROW()-ROW($A$1)</f>
        <v>17</v>
      </c>
      <c r="B18" t="s">
        <v>601</v>
      </c>
      <c r="C18" t="n">
        <v>1</v>
      </c>
      <c r="D18" s="173" t="n">
        <v>17</v>
      </c>
      <c r="E18" s="19" t="str">
        <f aca="1">VLOOKUP(T_Aop[[#This Row],[Id]],T_Aop[],ID_Jezik+10,1)</f>
        <v>05</v>
      </c>
      <c r="F18" t="str">
        <f aca="1">REPT("  ",T_Aop[[#This Row],[Aop nivo]])&amp;VLOOKUP(T_Aop[[#This Row],[Id]],T_Aop[],ID_Jezik+6,1)</f>
        <v>  V BIOLOŠKA SREDSTVA   (018 do 021)</v>
      </c>
      <c r="G18" s="215" t="s">
        <v>712</v>
      </c>
      <c r="H18" s="214" t="s">
        <v>713</v>
      </c>
      <c r="I18" s="222" t="s">
        <v>714</v>
      </c>
      <c r="J18" s="281" t="s">
        <v>715</v>
      </c>
      <c r="K18" s="280" t="s">
        <v>716</v>
      </c>
      <c r="L18" s="203" t="s">
        <v>716</v>
      </c>
      <c r="M18" s="223" t="s">
        <v>716</v>
      </c>
      <c r="N18" s="200" t="s">
        <v>716</v>
      </c>
      <c r="O18" s="19" t="n">
        <v>1</v>
      </c>
      <c r="P18" s="19"/>
    </row>
    <row r="19" spans="1:16">
      <c r="A19">
        <f>ROW()-ROW($A$1)</f>
        <v>18</v>
      </c>
      <c r="B19" t="s">
        <v>601</v>
      </c>
      <c r="C19" t="n">
        <v>2</v>
      </c>
      <c r="D19" s="173" t="n">
        <v>18</v>
      </c>
      <c r="E19" s="19" t="str">
        <f aca="1">VLOOKUP(T_Aop[[#This Row],[Id]],T_Aop[],ID_Jezik+10,1)</f>
        <v>050, dio 059</v>
      </c>
      <c r="F19" t="str">
        <f aca="1">REPT("  ",T_Aop[[#This Row],[Aop nivo]])&amp;VLOOKUP(T_Aop[[#This Row],[Id]],T_Aop[],ID_Jezik+6,1)</f>
        <v>    1. Šume</v>
      </c>
      <c r="G19" s="222" t="s">
        <v>717</v>
      </c>
      <c r="H19" s="215" t="s">
        <v>718</v>
      </c>
      <c r="I19" s="222" t="s">
        <v>719</v>
      </c>
      <c r="J19" s="281" t="s">
        <v>720</v>
      </c>
      <c r="K19" s="280" t="s">
        <v>721</v>
      </c>
      <c r="L19" s="202" t="s">
        <v>722</v>
      </c>
      <c r="M19" s="223" t="s">
        <v>723</v>
      </c>
      <c r="N19" s="193" t="s">
        <v>724</v>
      </c>
      <c r="O19" s="19"/>
      <c r="P19" s="19"/>
    </row>
    <row r="20" spans="1:16">
      <c r="A20">
        <f>ROW()-ROW($A$1)</f>
        <v>19</v>
      </c>
      <c r="B20" t="s">
        <v>601</v>
      </c>
      <c r="C20" t="n">
        <v>2</v>
      </c>
      <c r="D20" s="173" t="n">
        <v>19</v>
      </c>
      <c r="E20" s="19" t="str">
        <f aca="1">VLOOKUP(T_Aop[[#This Row],[Id]],T_Aop[],ID_Jezik+10,1)</f>
        <v>051, dio 059</v>
      </c>
      <c r="F20" t="str">
        <f aca="1">REPT("  ",T_Aop[[#This Row],[Aop nivo]])&amp;VLOOKUP(T_Aop[[#This Row],[Id]],T_Aop[],ID_Jezik+6,1)</f>
        <v>    2. Višegodišnji zasadi</v>
      </c>
      <c r="G20" s="222" t="s">
        <v>725</v>
      </c>
      <c r="H20" s="214" t="s">
        <v>726</v>
      </c>
      <c r="I20" s="222" t="s">
        <v>727</v>
      </c>
      <c r="J20" s="281" t="s">
        <v>728</v>
      </c>
      <c r="K20" s="280" t="s">
        <v>729</v>
      </c>
      <c r="L20" s="202" t="s">
        <v>730</v>
      </c>
      <c r="M20" s="223" t="s">
        <v>731</v>
      </c>
      <c r="N20" s="193" t="s">
        <v>732</v>
      </c>
      <c r="O20" s="19"/>
      <c r="P20" s="19"/>
    </row>
    <row r="21" spans="1:16">
      <c r="A21">
        <f>ROW()-ROW($A$1)</f>
        <v>20</v>
      </c>
      <c r="B21" t="s">
        <v>601</v>
      </c>
      <c r="C21" t="n">
        <v>2</v>
      </c>
      <c r="D21" s="173" t="n">
        <v>20</v>
      </c>
      <c r="E21" s="19" t="str">
        <f aca="1">VLOOKUP(T_Aop[[#This Row],[Id]],T_Aop[],ID_Jezik+10,1)</f>
        <v>052, 053 dio 059</v>
      </c>
      <c r="F21" t="str">
        <f aca="1">REPT("  ",T_Aop[[#This Row],[Aop nivo]])&amp;VLOOKUP(T_Aop[[#This Row],[Id]],T_Aop[],ID_Jezik+6,1)</f>
        <v>    3. Osnovno stado i ostala biološka sredstva</v>
      </c>
      <c r="G21" s="222" t="s">
        <v>733</v>
      </c>
      <c r="H21" s="215" t="s">
        <v>734</v>
      </c>
      <c r="I21" s="222" t="s">
        <v>735</v>
      </c>
      <c r="J21" s="281" t="s">
        <v>736</v>
      </c>
      <c r="K21" s="280" t="s">
        <v>737</v>
      </c>
      <c r="L21" s="202" t="s">
        <v>738</v>
      </c>
      <c r="M21" s="223" t="s">
        <v>739</v>
      </c>
      <c r="N21" s="193" t="s">
        <v>740</v>
      </c>
      <c r="O21" s="19"/>
      <c r="P21" s="19"/>
    </row>
    <row r="22" spans="1:16">
      <c r="A22">
        <f>ROW()-ROW($A$1)</f>
        <v>21</v>
      </c>
      <c r="B22" t="s">
        <v>601</v>
      </c>
      <c r="C22" t="n">
        <v>2</v>
      </c>
      <c r="D22" s="173" t="n">
        <v>21</v>
      </c>
      <c r="E22" s="19" t="str">
        <f aca="1">VLOOKUP(T_Aop[[#This Row],[Id]],T_Aop[],ID_Jezik+10,1)</f>
        <v>055, 056 i dio 059</v>
      </c>
      <c r="F22" t="str">
        <f aca="1">REPT("  ",T_Aop[[#This Row],[Aop nivo]])&amp;VLOOKUP(T_Aop[[#This Row],[Id]],T_Aop[],ID_Jezik+6,1)</f>
        <v>    4. Avansi i biološka sredstva u pripremi </v>
      </c>
      <c r="G22" s="222" t="s">
        <v>741</v>
      </c>
      <c r="H22" s="214" t="s">
        <v>742</v>
      </c>
      <c r="I22" s="222" t="s">
        <v>743</v>
      </c>
      <c r="J22" s="281" t="s">
        <v>744</v>
      </c>
      <c r="K22" s="280" t="s">
        <v>745</v>
      </c>
      <c r="L22" s="202" t="s">
        <v>746</v>
      </c>
      <c r="M22" s="223" t="s">
        <v>747</v>
      </c>
      <c r="N22" s="193" t="s">
        <v>748</v>
      </c>
      <c r="O22" s="19"/>
      <c r="P22" s="19"/>
    </row>
    <row r="23" spans="1:16" ht="12.75" customHeight="1">
      <c r="A23">
        <f>ROW()-ROW($A$1)</f>
        <v>22</v>
      </c>
      <c r="B23" t="s">
        <v>601</v>
      </c>
      <c r="C23" t="n">
        <v>1</v>
      </c>
      <c r="D23" s="173" t="n">
        <v>22</v>
      </c>
      <c r="E23" s="19" t="str">
        <f aca="1">VLOOKUP(T_Aop[[#This Row],[Id]],T_Aop[],ID_Jezik+10,1)</f>
        <v>06</v>
      </c>
      <c r="F23" t="str">
        <f aca="1">REPT("  ",T_Aop[[#This Row],[Aop nivo]])&amp;VLOOKUP(T_Aop[[#This Row],[Id]],T_Aop[],ID_Jezik+6,1)</f>
        <v>  VI  DUGOROČNI FINANSIJSKI PLASMANI (023+024+025+030+033)</v>
      </c>
      <c r="G23" s="215" t="s">
        <v>749</v>
      </c>
      <c r="H23" s="215" t="s">
        <v>750</v>
      </c>
      <c r="I23" s="222" t="s">
        <v>751</v>
      </c>
      <c r="J23" s="281" t="s">
        <v>752</v>
      </c>
      <c r="K23" s="582" t="s">
        <v>753</v>
      </c>
      <c r="L23" s="583" t="s">
        <v>753</v>
      </c>
      <c r="M23" s="584" t="s">
        <v>753</v>
      </c>
      <c r="N23" s="200" t="s">
        <v>753</v>
      </c>
      <c r="O23" s="19" t="n">
        <v>1</v>
      </c>
      <c r="P23" s="19"/>
    </row>
    <row r="24" spans="1:16">
      <c r="A24">
        <f>ROW()-ROW($A$1)</f>
        <v>23</v>
      </c>
      <c r="B24" t="s">
        <v>601</v>
      </c>
      <c r="C24" t="n">
        <v>2</v>
      </c>
      <c r="D24" s="173" t="n">
        <v>23</v>
      </c>
      <c r="E24" s="19" t="str">
        <f aca="1">VLOOKUP(T_Aop[[#This Row],[Id]],T_Aop[],ID_Jezik+10,1)</f>
        <v>060, dio 069</v>
      </c>
      <c r="F24" t="str">
        <f aca="1">REPT("  ",T_Aop[[#This Row],[Aop nivo]])&amp;VLOOKUP(T_Aop[[#This Row],[Id]],T_Aop[],ID_Jezik+6,1)</f>
        <v>    1. Učešće u kapitalu zavisnih subjekata</v>
      </c>
      <c r="G24" s="222" t="s">
        <v>754</v>
      </c>
      <c r="H24" s="214" t="s">
        <v>755</v>
      </c>
      <c r="I24" s="222" t="s">
        <v>756</v>
      </c>
      <c r="J24" s="281" t="s">
        <v>757</v>
      </c>
      <c r="K24" s="280" t="s">
        <v>758</v>
      </c>
      <c r="L24" s="202" t="s">
        <v>759</v>
      </c>
      <c r="M24" s="223" t="s">
        <v>760</v>
      </c>
      <c r="N24" s="193" t="s">
        <v>761</v>
      </c>
      <c r="O24" s="19"/>
      <c r="P24" s="19"/>
    </row>
    <row r="25" spans="1:16" ht="12.75" customHeight="1">
      <c r="A25">
        <f>ROW()-ROW($A$1)</f>
        <v>24</v>
      </c>
      <c r="B25" t="s">
        <v>601</v>
      </c>
      <c r="C25" t="n">
        <v>2</v>
      </c>
      <c r="D25" s="173" t="n">
        <v>24</v>
      </c>
      <c r="E25" s="19" t="str">
        <f aca="1">VLOOKUP(T_Aop[[#This Row],[Id]],T_Aop[],ID_Jezik+10,1)</f>
        <v>061, dio 069</v>
      </c>
      <c r="F25" t="str">
        <f aca="1">REPT("  ",T_Aop[[#This Row],[Aop nivo]])&amp;VLOOKUP(T_Aop[[#This Row],[Id]],T_Aop[],ID_Jezik+6,1)</f>
        <v>    2. Učešće u kapitalu pridruženih subjekata i zajedničkih poduhvata</v>
      </c>
      <c r="G25" s="222" t="s">
        <v>762</v>
      </c>
      <c r="H25" s="215" t="s">
        <v>763</v>
      </c>
      <c r="I25" s="222" t="s">
        <v>764</v>
      </c>
      <c r="J25" s="281" t="s">
        <v>765</v>
      </c>
      <c r="K25" s="280" t="s">
        <v>766</v>
      </c>
      <c r="L25" s="202" t="s">
        <v>767</v>
      </c>
      <c r="M25" s="223" t="s">
        <v>768</v>
      </c>
      <c r="N25" s="193" t="s">
        <v>769</v>
      </c>
      <c r="O25" s="19"/>
      <c r="P25" s="19"/>
    </row>
    <row r="26" spans="1:16" ht="15" customHeight="1">
      <c r="A26">
        <f>ROW()-ROW($A$1)</f>
        <v>25</v>
      </c>
      <c r="B26" t="s">
        <v>601</v>
      </c>
      <c r="C26" t="n">
        <v>2</v>
      </c>
      <c r="D26" s="173" t="n">
        <v>25</v>
      </c>
      <c r="E26" s="19" t="str">
        <f aca="1">VLOOKUP(T_Aop[[#This Row],[Id]],T_Aop[],ID_Jezik+10,1)</f>
        <v>dio 06</v>
      </c>
      <c r="F26" t="str">
        <f aca="1">REPT("  ",T_Aop[[#This Row],[Aop nivo]])&amp;VLOOKUP(T_Aop[[#This Row],[Id]],T_Aop[],ID_Jezik+6,1)</f>
        <v>    3. Finansijska sredstva po amortizovanoj vrijednosti (026 do 029)</v>
      </c>
      <c r="G26" s="222" t="s">
        <v>770</v>
      </c>
      <c r="H26" s="220" t="s">
        <v>771</v>
      </c>
      <c r="I26" s="222" t="s">
        <v>772</v>
      </c>
      <c r="J26" s="281" t="s">
        <v>773</v>
      </c>
      <c r="K26" s="280" t="s">
        <v>774</v>
      </c>
      <c r="L26" s="202" t="s">
        <v>775</v>
      </c>
      <c r="M26" s="223" t="s">
        <v>776</v>
      </c>
      <c r="N26" s="193" t="s">
        <v>777</v>
      </c>
      <c r="O26" s="19" t="n">
        <v>1</v>
      </c>
      <c r="P26" s="19"/>
    </row>
    <row r="27" spans="1:16">
      <c r="A27">
        <f>ROW()-ROW($A$1)</f>
        <v>26</v>
      </c>
      <c r="B27" t="s">
        <v>601</v>
      </c>
      <c r="C27" t="n">
        <v>3</v>
      </c>
      <c r="D27" s="173" t="n">
        <v>26</v>
      </c>
      <c r="E27" s="19" t="str">
        <f aca="1">VLOOKUP(T_Aop[[#This Row],[Id]],T_Aop[],ID_Jezik+10,1)</f>
        <v>062, dio 069</v>
      </c>
      <c r="F27" t="str">
        <f aca="1">REPT("  ",T_Aop[[#This Row],[Aop nivo]])&amp;VLOOKUP(T_Aop[[#This Row],[Id]],T_Aop[],ID_Jezik+6,1)</f>
        <v>      3.1. Dugoročni krediti povezanim pravnim licima</v>
      </c>
      <c r="G27" s="222" t="s">
        <v>778</v>
      </c>
      <c r="H27" s="215" t="s">
        <v>779</v>
      </c>
      <c r="I27" s="222" t="s">
        <v>780</v>
      </c>
      <c r="J27" s="281" t="s">
        <v>781</v>
      </c>
      <c r="K27" s="280" t="s">
        <v>782</v>
      </c>
      <c r="L27" s="202" t="s">
        <v>783</v>
      </c>
      <c r="M27" s="223" t="s">
        <v>784</v>
      </c>
      <c r="N27" s="193" t="s">
        <v>785</v>
      </c>
      <c r="O27" s="19"/>
      <c r="P27" s="19"/>
    </row>
    <row r="28" spans="1:16">
      <c r="A28">
        <f>ROW()-ROW($A$1)</f>
        <v>27</v>
      </c>
      <c r="B28" t="s">
        <v>601</v>
      </c>
      <c r="C28" t="n">
        <v>3</v>
      </c>
      <c r="D28" s="173" t="n">
        <v>27</v>
      </c>
      <c r="E28" s="19" t="str">
        <f aca="1">VLOOKUP(T_Aop[[#This Row],[Id]],T_Aop[],ID_Jezik+10,1)</f>
        <v>063, dio 069</v>
      </c>
      <c r="F28" t="str">
        <f aca="1">REPT("  ",T_Aop[[#This Row],[Aop nivo]])&amp;VLOOKUP(T_Aop[[#This Row],[Id]],T_Aop[],ID_Jezik+6,1)</f>
        <v>      3.2. Dugoročni krediti u zemlji</v>
      </c>
      <c r="G28" s="222" t="s">
        <v>786</v>
      </c>
      <c r="H28" s="214" t="s">
        <v>787</v>
      </c>
      <c r="I28" s="222" t="s">
        <v>788</v>
      </c>
      <c r="J28" s="281" t="s">
        <v>789</v>
      </c>
      <c r="K28" s="280" t="s">
        <v>790</v>
      </c>
      <c r="L28" s="202" t="s">
        <v>791</v>
      </c>
      <c r="M28" s="223" t="s">
        <v>792</v>
      </c>
      <c r="N28" s="193" t="s">
        <v>793</v>
      </c>
      <c r="O28" s="19"/>
      <c r="P28" s="19"/>
    </row>
    <row r="29" spans="1:16">
      <c r="A29">
        <f>ROW()-ROW($A$1)</f>
        <v>28</v>
      </c>
      <c r="B29" t="s">
        <v>601</v>
      </c>
      <c r="C29" t="n">
        <v>3</v>
      </c>
      <c r="D29" s="173" t="n">
        <v>28</v>
      </c>
      <c r="E29" s="19" t="str">
        <f aca="1">VLOOKUP(T_Aop[[#This Row],[Id]],T_Aop[],ID_Jezik+10,1)</f>
        <v>064, dio 069</v>
      </c>
      <c r="F29" t="str">
        <f aca="1">REPT("  ",T_Aop[[#This Row],[Aop nivo]])&amp;VLOOKUP(T_Aop[[#This Row],[Id]],T_Aop[],ID_Jezik+6,1)</f>
        <v>      3.3. Dugoročni krediti u inostranstvu</v>
      </c>
      <c r="G29" s="222" t="s">
        <v>794</v>
      </c>
      <c r="H29" s="215" t="s">
        <v>795</v>
      </c>
      <c r="I29" s="222" t="s">
        <v>796</v>
      </c>
      <c r="J29" s="281" t="s">
        <v>797</v>
      </c>
      <c r="K29" s="280" t="s">
        <v>798</v>
      </c>
      <c r="L29" s="202" t="s">
        <v>799</v>
      </c>
      <c r="M29" s="223" t="s">
        <v>800</v>
      </c>
      <c r="N29" s="193" t="s">
        <v>801</v>
      </c>
      <c r="O29" s="19"/>
      <c r="P29" s="19"/>
    </row>
    <row r="30" spans="1:16" ht="12.75" customHeight="1">
      <c r="A30">
        <f>ROW()-ROW($A$1)</f>
        <v>29</v>
      </c>
      <c r="B30" t="s">
        <v>601</v>
      </c>
      <c r="C30" t="n">
        <v>3</v>
      </c>
      <c r="D30" s="173" t="n">
        <v>29</v>
      </c>
      <c r="E30" s="19" t="str">
        <f aca="1">VLOOKUP(T_Aop[[#This Row],[Id]],T_Aop[],ID_Jezik+10,1)</f>
        <v>065, dio 069</v>
      </c>
      <c r="F30" t="str">
        <f aca="1">REPT("  ",T_Aop[[#This Row],[Aop nivo]])&amp;VLOOKUP(T_Aop[[#This Row],[Id]],T_Aop[],ID_Jezik+6,1)</f>
        <v>      3.4. Ostala finansijska sredstva po amortizovanoj vrijednosti</v>
      </c>
      <c r="G30" s="222" t="s">
        <v>802</v>
      </c>
      <c r="H30" s="214" t="s">
        <v>803</v>
      </c>
      <c r="I30" s="222" t="s">
        <v>804</v>
      </c>
      <c r="J30" s="281" t="s">
        <v>805</v>
      </c>
      <c r="K30" s="280" t="s">
        <v>806</v>
      </c>
      <c r="L30" s="202" t="s">
        <v>807</v>
      </c>
      <c r="M30" s="223" t="s">
        <v>808</v>
      </c>
      <c r="N30" s="193" t="s">
        <v>809</v>
      </c>
      <c r="O30" s="19"/>
      <c r="P30" s="19"/>
    </row>
    <row r="31" spans="1:16" ht="15" customHeight="1">
      <c r="A31">
        <f>ROW()-ROW($A$1)</f>
        <v>30</v>
      </c>
      <c r="B31" t="s">
        <v>601</v>
      </c>
      <c r="C31" t="n">
        <v>2</v>
      </c>
      <c r="D31" s="173" t="n">
        <v>30</v>
      </c>
      <c r="E31" s="19" t="str">
        <f aca="1">VLOOKUP(T_Aop[[#This Row],[Id]],T_Aop[],ID_Jezik+10,1)</f>
        <v>dio 06</v>
      </c>
      <c r="F31" t="str">
        <f aca="1">REPT("  ",T_Aop[[#This Row],[Aop nivo]])&amp;VLOOKUP(T_Aop[[#This Row],[Id]],T_Aop[],ID_Jezik+6,1)</f>
        <v>    4. Finansijska sredstva po fer vrijednosti kroz ostali ukupan rezultat (031+032)</v>
      </c>
      <c r="G31" s="215" t="s">
        <v>810</v>
      </c>
      <c r="H31" s="215" t="s">
        <v>811</v>
      </c>
      <c r="I31" s="222" t="s">
        <v>812</v>
      </c>
      <c r="J31" s="281" t="s">
        <v>813</v>
      </c>
      <c r="K31" s="280" t="s">
        <v>774</v>
      </c>
      <c r="L31" s="202" t="s">
        <v>775</v>
      </c>
      <c r="M31" s="223" t="s">
        <v>776</v>
      </c>
      <c r="N31" s="193" t="s">
        <v>777</v>
      </c>
      <c r="O31" s="19" t="n">
        <v>1</v>
      </c>
      <c r="P31" s="19"/>
    </row>
    <row r="32" spans="1:16">
      <c r="A32">
        <f>ROW()-ROW($A$1)</f>
        <v>31</v>
      </c>
      <c r="B32" t="s">
        <v>601</v>
      </c>
      <c r="C32" t="n">
        <v>3</v>
      </c>
      <c r="D32" s="173" t="n">
        <v>31</v>
      </c>
      <c r="E32" s="19" t="str">
        <f aca="1">VLOOKUP(T_Aop[[#This Row],[Id]],T_Aop[],ID_Jezik+10,1)</f>
        <v>066, dio 069</v>
      </c>
      <c r="F32" t="str">
        <f aca="1">REPT("  ",T_Aop[[#This Row],[Aop nivo]])&amp;VLOOKUP(T_Aop[[#This Row],[Id]],T_Aop[],ID_Jezik+6,1)</f>
        <v>      4.1. Vlasnički instrumenti</v>
      </c>
      <c r="G32" s="222" t="s">
        <v>814</v>
      </c>
      <c r="H32" s="214" t="s">
        <v>815</v>
      </c>
      <c r="I32" s="222" t="s">
        <v>816</v>
      </c>
      <c r="J32" s="281" t="s">
        <v>817</v>
      </c>
      <c r="K32" s="280" t="s">
        <v>818</v>
      </c>
      <c r="L32" s="202" t="s">
        <v>819</v>
      </c>
      <c r="M32" s="223" t="s">
        <v>820</v>
      </c>
      <c r="N32" s="193" t="s">
        <v>821</v>
      </c>
      <c r="O32" s="19"/>
      <c r="P32" s="19"/>
    </row>
    <row r="33" spans="1:16">
      <c r="A33">
        <f>ROW()-ROW($A$1)</f>
        <v>32</v>
      </c>
      <c r="B33" t="s">
        <v>601</v>
      </c>
      <c r="C33" t="n">
        <v>3</v>
      </c>
      <c r="D33" s="173" t="n">
        <v>32</v>
      </c>
      <c r="E33" s="19" t="str">
        <f aca="1">VLOOKUP(T_Aop[[#This Row],[Id]],T_Aop[],ID_Jezik+10,1)</f>
        <v>067, dio 069</v>
      </c>
      <c r="F33" t="str">
        <f aca="1">REPT("  ",T_Aop[[#This Row],[Aop nivo]])&amp;VLOOKUP(T_Aop[[#This Row],[Id]],T_Aop[],ID_Jezik+6,1)</f>
        <v>      4.2. Dužnički instrumenti</v>
      </c>
      <c r="G33" s="222" t="s">
        <v>822</v>
      </c>
      <c r="H33" s="215" t="s">
        <v>823</v>
      </c>
      <c r="I33" s="222" t="s">
        <v>824</v>
      </c>
      <c r="J33" s="281" t="s">
        <v>825</v>
      </c>
      <c r="K33" s="280" t="s">
        <v>826</v>
      </c>
      <c r="L33" s="202" t="s">
        <v>827</v>
      </c>
      <c r="M33" s="223" t="s">
        <v>828</v>
      </c>
      <c r="N33" s="193" t="s">
        <v>829</v>
      </c>
      <c r="O33" s="19"/>
      <c r="P33" s="19"/>
    </row>
    <row r="34" spans="1:16">
      <c r="A34">
        <f>ROW()-ROW($A$1)</f>
        <v>33</v>
      </c>
      <c r="B34" t="s">
        <v>601</v>
      </c>
      <c r="C34" t="n">
        <v>2</v>
      </c>
      <c r="D34" s="173" t="n">
        <v>33</v>
      </c>
      <c r="E34" s="19" t="str">
        <f aca="1">VLOOKUP(T_Aop[[#This Row],[Id]],T_Aop[],ID_Jezik+10,1)</f>
        <v>068, dio 069</v>
      </c>
      <c r="F34" t="str">
        <f aca="1">REPT("  ",T_Aop[[#This Row],[Aop nivo]])&amp;VLOOKUP(T_Aop[[#This Row],[Id]],T_Aop[],ID_Jezik+6,1)</f>
        <v>    5. Potraživanja po finansijskom lizingu</v>
      </c>
      <c r="G34" s="222" t="s">
        <v>830</v>
      </c>
      <c r="H34" s="214" t="s">
        <v>831</v>
      </c>
      <c r="I34" s="222" t="s">
        <v>832</v>
      </c>
      <c r="J34" s="281" t="s">
        <v>833</v>
      </c>
      <c r="K34" s="280" t="s">
        <v>834</v>
      </c>
      <c r="L34" s="202" t="s">
        <v>835</v>
      </c>
      <c r="M34" s="223" t="s">
        <v>836</v>
      </c>
      <c r="N34" s="193" t="s">
        <v>837</v>
      </c>
      <c r="O34" s="19"/>
      <c r="P34" s="19"/>
    </row>
    <row r="35" spans="1:16">
      <c r="A35">
        <f>ROW()-ROW($A$1)</f>
        <v>34</v>
      </c>
      <c r="B35" t="s">
        <v>601</v>
      </c>
      <c r="C35" t="n">
        <v>1</v>
      </c>
      <c r="D35" s="173" t="n">
        <v>34</v>
      </c>
      <c r="E35" s="19" t="str">
        <f aca="1">VLOOKUP(T_Aop[[#This Row],[Id]],T_Aop[],ID_Jezik+10,1)</f>
        <v>07 i 08</v>
      </c>
      <c r="F35" t="str">
        <f aca="1">REPT("  ",T_Aop[[#This Row],[Aop nivo]])&amp;VLOOKUP(T_Aop[[#This Row],[Id]],T_Aop[],ID_Jezik+6,1)</f>
        <v>  VII OSTALA DUGOROČNA SREDSTVA I RAZGRANIČENJA</v>
      </c>
      <c r="G35" s="215" t="s">
        <v>838</v>
      </c>
      <c r="H35" s="215" t="s">
        <v>839</v>
      </c>
      <c r="I35" s="222" t="s">
        <v>840</v>
      </c>
      <c r="J35" s="281" t="s">
        <v>841</v>
      </c>
      <c r="K35" s="280" t="s">
        <v>842</v>
      </c>
      <c r="L35" s="202" t="s">
        <v>843</v>
      </c>
      <c r="M35" s="223" t="s">
        <v>844</v>
      </c>
      <c r="N35" s="193" t="s">
        <v>843</v>
      </c>
      <c r="O35" s="19"/>
      <c r="P35" s="19"/>
    </row>
    <row r="36" spans="1:16">
      <c r="A36">
        <f>ROW()-ROW($A$1)</f>
        <v>35</v>
      </c>
      <c r="B36" t="s">
        <v>601</v>
      </c>
      <c r="C36" t="n">
        <v>1</v>
      </c>
      <c r="D36" s="173" t="n">
        <v>35</v>
      </c>
      <c r="E36" s="19" t="str">
        <f aca="1">VLOOKUP(T_Aop[[#This Row],[Id]],T_Aop[],ID_Jezik+10,1)</f>
        <v>090</v>
      </c>
      <c r="F36" t="str">
        <f aca="1">REPT("  ",T_Aop[[#This Row],[Aop nivo]])&amp;VLOOKUP(T_Aop[[#This Row],[Id]],T_Aop[],ID_Jezik+6,1)</f>
        <v>  B. ODLOŽENA PORESKA SREDSTVA</v>
      </c>
      <c r="G36" s="215" t="s">
        <v>845</v>
      </c>
      <c r="H36" s="214" t="s">
        <v>846</v>
      </c>
      <c r="I36" s="222" t="s">
        <v>847</v>
      </c>
      <c r="J36" s="281" t="s">
        <v>848</v>
      </c>
      <c r="K36" s="581" t="s">
        <v>849</v>
      </c>
      <c r="L36" s="585" t="s">
        <v>849</v>
      </c>
      <c r="M36" s="584" t="s">
        <v>849</v>
      </c>
      <c r="N36" s="200" t="s">
        <v>849</v>
      </c>
      <c r="O36" s="19"/>
      <c r="P36" s="19"/>
    </row>
    <row r="37" spans="1:16">
      <c r="A37">
        <f>ROW()-ROW($A$1)</f>
        <v>36</v>
      </c>
      <c r="B37" t="s">
        <v>601</v>
      </c>
      <c r="C37" t="n">
        <v>1</v>
      </c>
      <c r="D37" s="173" t="n">
        <v>36</v>
      </c>
      <c r="E37" s="19" t="str">
        <f aca="1">VLOOKUP(T_Aop[[#This Row],[Id]],T_Aop[],ID_Jezik+10,1)</f>
        <v> </v>
      </c>
      <c r="F37" t="str">
        <f aca="1">REPT("  ",T_Aop[[#This Row],[Aop nivo]])&amp;VLOOKUP(T_Aop[[#This Row],[Id]],T_Aop[],ID_Jezik+6,1)</f>
        <v>  V. TEKUĆA SREDSTVA (037+044)</v>
      </c>
      <c r="G37" s="215" t="s">
        <v>850</v>
      </c>
      <c r="H37" s="215" t="s">
        <v>851</v>
      </c>
      <c r="I37" s="222" t="s">
        <v>852</v>
      </c>
      <c r="J37" s="281" t="s">
        <v>853</v>
      </c>
      <c r="K37" s="280" t="s">
        <v>50</v>
      </c>
      <c r="L37" s="203" t="s">
        <v>50</v>
      </c>
      <c r="M37" s="223" t="s">
        <v>50</v>
      </c>
      <c r="N37" s="193"/>
      <c r="O37" s="19" t="n">
        <v>1</v>
      </c>
      <c r="P37" s="19"/>
    </row>
    <row r="38" spans="1:16" ht="15" customHeight="1">
      <c r="A38">
        <f>ROW()-ROW($A$1)</f>
        <v>37</v>
      </c>
      <c r="B38" t="s">
        <v>601</v>
      </c>
      <c r="C38" t="n">
        <v>1</v>
      </c>
      <c r="D38" s="173" t="n">
        <v>37</v>
      </c>
      <c r="E38" s="19" t="str">
        <f aca="1">VLOOKUP(T_Aop[[#This Row],[Id]],T_Aop[],ID_Jezik+10,1)</f>
        <v>10 do 15</v>
      </c>
      <c r="F38" t="str">
        <f aca="1">REPT("  ",T_Aop[[#This Row],[Aop nivo]])&amp;VLOOKUP(T_Aop[[#This Row],[Id]],T_Aop[],ID_Jezik+6,1)</f>
        <v>  I   ZALIHE, STALNA SREDSTVA NAMIJENJENA PRODAJI I SREDSTVA POSLOVANJA KOJE SE OBUSTAVLJA (038 do 043)</v>
      </c>
      <c r="G38" s="215" t="s">
        <v>854</v>
      </c>
      <c r="H38" s="214" t="s">
        <v>855</v>
      </c>
      <c r="I38" s="222" t="s">
        <v>856</v>
      </c>
      <c r="J38" s="281" t="s">
        <v>857</v>
      </c>
      <c r="K38" s="280" t="s">
        <v>858</v>
      </c>
      <c r="L38" s="202" t="s">
        <v>859</v>
      </c>
      <c r="M38" s="223" t="s">
        <v>860</v>
      </c>
      <c r="N38" s="193" t="s">
        <v>859</v>
      </c>
      <c r="O38" s="19" t="n">
        <v>1</v>
      </c>
      <c r="P38" s="19"/>
    </row>
    <row r="39" spans="1:16">
      <c r="A39">
        <f>ROW()-ROW($A$1)</f>
        <v>38</v>
      </c>
      <c r="B39" t="s">
        <v>601</v>
      </c>
      <c r="C39" t="n">
        <v>2</v>
      </c>
      <c r="D39" s="173" t="n">
        <v>38</v>
      </c>
      <c r="E39" s="19" t="str">
        <f aca="1">VLOOKUP(T_Aop[[#This Row],[Id]],T_Aop[],ID_Jezik+10,1)</f>
        <v>100 do 109</v>
      </c>
      <c r="F39" t="str">
        <f aca="1">REPT("  ",T_Aop[[#This Row],[Aop nivo]])&amp;VLOOKUP(T_Aop[[#This Row],[Id]],T_Aop[],ID_Jezik+6,1)</f>
        <v>    1. Zalihe materijala</v>
      </c>
      <c r="G39" s="222" t="s">
        <v>861</v>
      </c>
      <c r="H39" s="215" t="s">
        <v>862</v>
      </c>
      <c r="I39" s="222" t="s">
        <v>863</v>
      </c>
      <c r="J39" s="281" t="s">
        <v>864</v>
      </c>
      <c r="K39" s="280" t="s">
        <v>865</v>
      </c>
      <c r="L39" s="202" t="s">
        <v>866</v>
      </c>
      <c r="M39" s="223" t="s">
        <v>867</v>
      </c>
      <c r="N39" s="193" t="s">
        <v>866</v>
      </c>
      <c r="O39" s="19"/>
      <c r="P39" s="19"/>
    </row>
    <row r="40" spans="1:16" ht="12.75" customHeight="1">
      <c r="A40">
        <f>ROW()-ROW($A$1)</f>
        <v>39</v>
      </c>
      <c r="B40" t="s">
        <v>601</v>
      </c>
      <c r="C40" t="n">
        <v>2</v>
      </c>
      <c r="D40" s="173" t="n">
        <v>39</v>
      </c>
      <c r="E40" s="19" t="str">
        <f aca="1">VLOOKUP(T_Aop[[#This Row],[Id]],T_Aop[],ID_Jezik+10,1)</f>
        <v>110 do 119</v>
      </c>
      <c r="F40" t="str">
        <f aca="1">REPT("  ",T_Aop[[#This Row],[Aop nivo]])&amp;VLOOKUP(T_Aop[[#This Row],[Id]],T_Aop[],ID_Jezik+6,1)</f>
        <v>    2. Zalihe nedovršene proizvodnje, poluproizvoda i nedovršenih usluga</v>
      </c>
      <c r="G40" s="222" t="s">
        <v>868</v>
      </c>
      <c r="H40" s="214" t="s">
        <v>869</v>
      </c>
      <c r="I40" s="222" t="s">
        <v>870</v>
      </c>
      <c r="J40" s="281" t="s">
        <v>871</v>
      </c>
      <c r="K40" s="280" t="s">
        <v>872</v>
      </c>
      <c r="L40" s="202" t="s">
        <v>873</v>
      </c>
      <c r="M40" s="223" t="s">
        <v>874</v>
      </c>
      <c r="N40" s="193" t="s">
        <v>873</v>
      </c>
      <c r="O40" s="19"/>
      <c r="P40" s="19"/>
    </row>
    <row r="41" spans="1:16">
      <c r="A41">
        <f>ROW()-ROW($A$1)</f>
        <v>40</v>
      </c>
      <c r="B41" t="s">
        <v>601</v>
      </c>
      <c r="C41" t="n">
        <v>2</v>
      </c>
      <c r="D41" s="173" t="n">
        <v>40</v>
      </c>
      <c r="E41" s="19" t="str">
        <f aca="1">VLOOKUP(T_Aop[[#This Row],[Id]],T_Aop[],ID_Jezik+10,1)</f>
        <v>120 do 129</v>
      </c>
      <c r="F41" t="str">
        <f aca="1">REPT("  ",T_Aop[[#This Row],[Aop nivo]])&amp;VLOOKUP(T_Aop[[#This Row],[Id]],T_Aop[],ID_Jezik+6,1)</f>
        <v>    3. Zalihe gotovih proizvoda</v>
      </c>
      <c r="G41" s="222" t="s">
        <v>875</v>
      </c>
      <c r="H41" s="215" t="s">
        <v>876</v>
      </c>
      <c r="I41" s="222" t="s">
        <v>877</v>
      </c>
      <c r="J41" s="281" t="s">
        <v>878</v>
      </c>
      <c r="K41" s="280" t="s">
        <v>879</v>
      </c>
      <c r="L41" s="202" t="s">
        <v>880</v>
      </c>
      <c r="M41" s="223" t="s">
        <v>881</v>
      </c>
      <c r="N41" s="193" t="s">
        <v>880</v>
      </c>
      <c r="O41" s="19"/>
      <c r="P41" s="19"/>
    </row>
    <row r="42" spans="1:16">
      <c r="A42">
        <f>ROW()-ROW($A$1)</f>
        <v>41</v>
      </c>
      <c r="B42" t="s">
        <v>601</v>
      </c>
      <c r="C42" t="n">
        <v>2</v>
      </c>
      <c r="D42" s="173" t="n">
        <v>41</v>
      </c>
      <c r="E42" s="19" t="str">
        <f aca="1">VLOOKUP(T_Aop[[#This Row],[Id]],T_Aop[],ID_Jezik+10,1)</f>
        <v>130 do 139</v>
      </c>
      <c r="F42" t="str">
        <f aca="1">REPT("  ",T_Aop[[#This Row],[Aop nivo]])&amp;VLOOKUP(T_Aop[[#This Row],[Id]],T_Aop[],ID_Jezik+6,1)</f>
        <v>    4. Zalihe robe</v>
      </c>
      <c r="G42" s="222" t="s">
        <v>882</v>
      </c>
      <c r="H42" s="214" t="s">
        <v>883</v>
      </c>
      <c r="I42" s="222" t="s">
        <v>884</v>
      </c>
      <c r="J42" s="281" t="s">
        <v>885</v>
      </c>
      <c r="K42" s="280" t="s">
        <v>886</v>
      </c>
      <c r="L42" s="202" t="s">
        <v>887</v>
      </c>
      <c r="M42" s="223" t="s">
        <v>888</v>
      </c>
      <c r="N42" s="193" t="s">
        <v>887</v>
      </c>
      <c r="O42" s="19"/>
      <c r="P42" s="19"/>
    </row>
    <row r="43" spans="1:16" ht="12.75" customHeight="1">
      <c r="A43">
        <f>ROW()-ROW($A$1)</f>
        <v>42</v>
      </c>
      <c r="B43" t="s">
        <v>601</v>
      </c>
      <c r="C43" t="n">
        <v>2</v>
      </c>
      <c r="D43" s="173" t="n">
        <v>42</v>
      </c>
      <c r="E43" s="19" t="str">
        <f aca="1">VLOOKUP(T_Aop[[#This Row],[Id]],T_Aop[],ID_Jezik+10,1)</f>
        <v>140 do 149</v>
      </c>
      <c r="F43" t="str">
        <f aca="1">REPT("  ",T_Aop[[#This Row],[Aop nivo]])&amp;VLOOKUP(T_Aop[[#This Row],[Id]],T_Aop[],ID_Jezik+6,1)</f>
        <v>    5. Stalna sredstva namijenjena prodaji i sredstva poslovanja koje se obustavlja</v>
      </c>
      <c r="G43" s="222" t="s">
        <v>889</v>
      </c>
      <c r="H43" s="215" t="s">
        <v>890</v>
      </c>
      <c r="I43" s="222" t="s">
        <v>891</v>
      </c>
      <c r="J43" s="281" t="s">
        <v>892</v>
      </c>
      <c r="K43" s="280" t="s">
        <v>893</v>
      </c>
      <c r="L43" s="202" t="s">
        <v>894</v>
      </c>
      <c r="M43" s="223" t="s">
        <v>895</v>
      </c>
      <c r="N43" s="193" t="s">
        <v>894</v>
      </c>
      <c r="O43" s="19"/>
      <c r="P43" s="19"/>
    </row>
    <row r="44" spans="1:16">
      <c r="A44">
        <f>ROW()-ROW($A$1)</f>
        <v>43</v>
      </c>
      <c r="B44" t="s">
        <v>601</v>
      </c>
      <c r="C44" t="n">
        <v>2</v>
      </c>
      <c r="D44" s="173" t="n">
        <v>43</v>
      </c>
      <c r="E44" s="19" t="str">
        <f aca="1">VLOOKUP(T_Aop[[#This Row],[Id]],T_Aop[],ID_Jezik+10,1)</f>
        <v>150 do 159</v>
      </c>
      <c r="F44" t="str">
        <f aca="1">REPT("  ",T_Aop[[#This Row],[Aop nivo]])&amp;VLOOKUP(T_Aop[[#This Row],[Id]],T_Aop[],ID_Jezik+6,1)</f>
        <v>    6. Dati avansi</v>
      </c>
      <c r="G44" s="222" t="s">
        <v>896</v>
      </c>
      <c r="H44" s="214" t="s">
        <v>897</v>
      </c>
      <c r="I44" s="222" t="s">
        <v>898</v>
      </c>
      <c r="J44" s="281" t="s">
        <v>899</v>
      </c>
      <c r="K44" s="280" t="s">
        <v>900</v>
      </c>
      <c r="L44" s="202" t="s">
        <v>901</v>
      </c>
      <c r="M44" s="223" t="s">
        <v>902</v>
      </c>
      <c r="N44" s="193" t="s">
        <v>901</v>
      </c>
      <c r="O44" s="19"/>
      <c r="P44" s="19"/>
    </row>
    <row r="45" spans="1:16" ht="15" customHeight="1">
      <c r="A45">
        <f>ROW()-ROW($A$1)</f>
        <v>44</v>
      </c>
      <c r="B45" t="s">
        <v>601</v>
      </c>
      <c r="C45" t="n">
        <v>1</v>
      </c>
      <c r="D45" s="173" t="n">
        <v>44</v>
      </c>
      <c r="E45" s="19" t="str">
        <f aca="1">VLOOKUP(T_Aop[[#This Row],[Id]],T_Aop[],ID_Jezik+10,1)</f>
        <v> </v>
      </c>
      <c r="F45" t="str">
        <f aca="1">REPT("  ",T_Aop[[#This Row],[Aop nivo]])&amp;VLOOKUP(T_Aop[[#This Row],[Id]],T_Aop[],ID_Jezik+6,1)</f>
        <v>  II  KRATKOROČNA SREDSTVA IZUZEV ZALIHA I STALNIH SREDSTAVA NAMIJENJENIH PRODAJI (045+052+061+064+065)</v>
      </c>
      <c r="G45" s="222" t="s">
        <v>903</v>
      </c>
      <c r="H45" s="215" t="s">
        <v>904</v>
      </c>
      <c r="I45" s="222" t="s">
        <v>905</v>
      </c>
      <c r="J45" s="222" t="s">
        <v>906</v>
      </c>
      <c r="K45" s="203" t="s">
        <v>50</v>
      </c>
      <c r="L45" s="202"/>
      <c r="M45" s="223" t="s">
        <v>50</v>
      </c>
      <c r="N45" s="193"/>
      <c r="O45" s="19" t="n">
        <v>1</v>
      </c>
      <c r="P45" s="19"/>
    </row>
    <row r="46" spans="1:16">
      <c r="A46">
        <f>ROW()-ROW($A$1)</f>
        <v>45</v>
      </c>
      <c r="B46" t="s">
        <v>601</v>
      </c>
      <c r="C46" t="n">
        <v>2</v>
      </c>
      <c r="D46" s="173" t="n">
        <v>45</v>
      </c>
      <c r="E46" s="19" t="str">
        <f aca="1">VLOOKUP(T_Aop[[#This Row],[Id]],T_Aop[],ID_Jezik+10,1)</f>
        <v> </v>
      </c>
      <c r="F46" t="str">
        <f aca="1">REPT("  ",T_Aop[[#This Row],[Aop nivo]])&amp;VLOOKUP(T_Aop[[#This Row],[Id]],T_Aop[],ID_Jezik+6,1)</f>
        <v>    1. Kratkoročna potraživanja (046 do 051)</v>
      </c>
      <c r="G46" s="222" t="s">
        <v>907</v>
      </c>
      <c r="H46" s="214" t="s">
        <v>908</v>
      </c>
      <c r="I46" s="222" t="s">
        <v>909</v>
      </c>
      <c r="J46" s="281" t="s">
        <v>910</v>
      </c>
      <c r="K46" s="280" t="s">
        <v>50</v>
      </c>
      <c r="L46" s="202"/>
      <c r="M46" s="223" t="s">
        <v>50</v>
      </c>
      <c r="N46" s="193"/>
      <c r="O46" s="19"/>
      <c r="P46" s="19"/>
    </row>
    <row r="47" spans="1:16">
      <c r="A47">
        <f>ROW()-ROW($A$1)</f>
        <v>46</v>
      </c>
      <c r="B47" t="s">
        <v>601</v>
      </c>
      <c r="C47" t="n">
        <v>3</v>
      </c>
      <c r="D47" s="173" t="n">
        <v>46</v>
      </c>
      <c r="E47" s="19" t="str">
        <f aca="1">VLOOKUP(T_Aop[[#This Row],[Id]],T_Aop[],ID_Jezik+10,1)</f>
        <v>200, dio 209</v>
      </c>
      <c r="F47" t="str">
        <f aca="1">REPT("  ",T_Aop[[#This Row],[Aop nivo]])&amp;VLOOKUP(T_Aop[[#This Row],[Id]],T_Aop[],ID_Jezik+6,1)</f>
        <v>      1.1. Kupci - povezana pravna lica</v>
      </c>
      <c r="G47" s="222" t="s">
        <v>911</v>
      </c>
      <c r="H47" s="215" t="s">
        <v>912</v>
      </c>
      <c r="I47" s="222" t="s">
        <v>913</v>
      </c>
      <c r="J47" s="281" t="s">
        <v>914</v>
      </c>
      <c r="K47" s="280" t="s">
        <v>915</v>
      </c>
      <c r="L47" s="202" t="s">
        <v>916</v>
      </c>
      <c r="M47" s="223" t="s">
        <v>917</v>
      </c>
      <c r="N47" s="193" t="s">
        <v>918</v>
      </c>
      <c r="O47" s="19"/>
      <c r="P47" s="19"/>
    </row>
    <row r="48" spans="1:16">
      <c r="A48">
        <f>ROW()-ROW($A$1)</f>
        <v>47</v>
      </c>
      <c r="B48" t="s">
        <v>601</v>
      </c>
      <c r="C48" t="n">
        <v>3</v>
      </c>
      <c r="D48" s="173" t="n">
        <v>47</v>
      </c>
      <c r="E48" s="19" t="str">
        <f aca="1">VLOOKUP(T_Aop[[#This Row],[Id]],T_Aop[],ID_Jezik+10,1)</f>
        <v>201, 202, 203, dio 209</v>
      </c>
      <c r="F48" t="str">
        <f aca="1">REPT("  ",T_Aop[[#This Row],[Aop nivo]])&amp;VLOOKUP(T_Aop[[#This Row],[Id]],T_Aop[],ID_Jezik+6,1)</f>
        <v>      1.2. Kupci u zemlji</v>
      </c>
      <c r="G48" s="222" t="s">
        <v>919</v>
      </c>
      <c r="H48" s="214" t="s">
        <v>920</v>
      </c>
      <c r="I48" s="222" t="s">
        <v>921</v>
      </c>
      <c r="J48" s="281" t="s">
        <v>922</v>
      </c>
      <c r="K48" s="280" t="s">
        <v>923</v>
      </c>
      <c r="L48" s="202" t="s">
        <v>924</v>
      </c>
      <c r="M48" s="223" t="s">
        <v>925</v>
      </c>
      <c r="N48" s="193" t="s">
        <v>926</v>
      </c>
      <c r="O48" s="19"/>
      <c r="P48" s="19"/>
    </row>
    <row r="49" spans="1:16">
      <c r="A49">
        <f>ROW()-ROW($A$1)</f>
        <v>48</v>
      </c>
      <c r="B49" t="s">
        <v>601</v>
      </c>
      <c r="C49" t="n">
        <v>3</v>
      </c>
      <c r="D49" s="173" t="n">
        <v>48</v>
      </c>
      <c r="E49" s="19" t="str">
        <f aca="1">VLOOKUP(T_Aop[[#This Row],[Id]],T_Aop[],ID_Jezik+10,1)</f>
        <v>204, dio 209</v>
      </c>
      <c r="F49" t="str">
        <f aca="1">REPT("  ",T_Aop[[#This Row],[Aop nivo]])&amp;VLOOKUP(T_Aop[[#This Row],[Id]],T_Aop[],ID_Jezik+6,1)</f>
        <v>      1.3. Kupci iz inostranstva</v>
      </c>
      <c r="G49" s="222" t="s">
        <v>927</v>
      </c>
      <c r="H49" s="215" t="s">
        <v>928</v>
      </c>
      <c r="I49" s="222" t="s">
        <v>929</v>
      </c>
      <c r="J49" s="281" t="s">
        <v>930</v>
      </c>
      <c r="K49" s="280" t="s">
        <v>931</v>
      </c>
      <c r="L49" s="202" t="s">
        <v>932</v>
      </c>
      <c r="M49" s="223" t="s">
        <v>933</v>
      </c>
      <c r="N49" s="193" t="s">
        <v>934</v>
      </c>
      <c r="O49" s="19"/>
      <c r="P49" s="19"/>
    </row>
    <row r="50" spans="1:16">
      <c r="A50">
        <f>ROW()-ROW($A$1)</f>
        <v>49</v>
      </c>
      <c r="B50" t="s">
        <v>601</v>
      </c>
      <c r="C50" t="n">
        <v>3</v>
      </c>
      <c r="D50" s="173" t="n">
        <v>49</v>
      </c>
      <c r="E50" s="19" t="str">
        <f aca="1">VLOOKUP(T_Aop[[#This Row],[Id]],T_Aop[],ID_Jezik+10,1)</f>
        <v>grupa 21, osim 214</v>
      </c>
      <c r="F50" t="str">
        <f aca="1">REPT("  ",T_Aop[[#This Row],[Aop nivo]])&amp;VLOOKUP(T_Aop[[#This Row],[Id]],T_Aop[],ID_Jezik+6,1)</f>
        <v>      1.4.Potraživanja iz specifičnih poslova</v>
      </c>
      <c r="G50" s="222" t="s">
        <v>935</v>
      </c>
      <c r="H50" s="214" t="s">
        <v>936</v>
      </c>
      <c r="I50" s="222" t="s">
        <v>937</v>
      </c>
      <c r="J50" s="281" t="s">
        <v>938</v>
      </c>
      <c r="K50" s="280" t="s">
        <v>939</v>
      </c>
      <c r="L50" s="202" t="s">
        <v>940</v>
      </c>
      <c r="M50" s="223" t="s">
        <v>941</v>
      </c>
      <c r="N50" s="193" t="s">
        <v>942</v>
      </c>
      <c r="O50" s="19"/>
      <c r="P50" s="19"/>
    </row>
    <row r="51" spans="1:16">
      <c r="A51">
        <f>ROW()-ROW($A$1)</f>
        <v>50</v>
      </c>
      <c r="B51" t="s">
        <v>601</v>
      </c>
      <c r="C51" t="n">
        <v>3</v>
      </c>
      <c r="D51" s="173" t="n">
        <v>50</v>
      </c>
      <c r="E51" s="19" t="str">
        <f aca="1">VLOOKUP(T_Aop[[#This Row],[Id]],T_Aop[],ID_Jezik+10,1)</f>
        <v>grupa 22, osim 224</v>
      </c>
      <c r="F51" t="str">
        <f aca="1">REPT("  ",T_Aop[[#This Row],[Aop nivo]])&amp;VLOOKUP(T_Aop[[#This Row],[Id]],T_Aop[],ID_Jezik+6,1)</f>
        <v>      1.5. Ostala kratkoročna potraživanja</v>
      </c>
      <c r="G51" s="222" t="s">
        <v>943</v>
      </c>
      <c r="H51" s="215" t="s">
        <v>944</v>
      </c>
      <c r="I51" s="222" t="s">
        <v>945</v>
      </c>
      <c r="J51" s="281" t="s">
        <v>946</v>
      </c>
      <c r="K51" s="280" t="s">
        <v>947</v>
      </c>
      <c r="L51" s="202" t="s">
        <v>948</v>
      </c>
      <c r="M51" s="223" t="s">
        <v>949</v>
      </c>
      <c r="N51" s="193" t="s">
        <v>950</v>
      </c>
      <c r="O51" s="19"/>
      <c r="P51" s="19"/>
    </row>
    <row r="52" spans="1:16">
      <c r="A52">
        <f>ROW()-ROW($A$1)</f>
        <v>51</v>
      </c>
      <c r="B52" t="s">
        <v>601</v>
      </c>
      <c r="C52" t="n">
        <v>3</v>
      </c>
      <c r="D52" s="173" t="n">
        <v>51</v>
      </c>
      <c r="E52" s="568">
        <f aca="1">VLOOKUP(T_Aop[[#This Row],[Id]],T_Aop[],ID_Jezik+10,1)</f>
        <v>224</v>
      </c>
      <c r="F52" t="str">
        <f aca="1">REPT("  ",T_Aop[[#This Row],[Aop nivo]])&amp;VLOOKUP(T_Aop[[#This Row],[Id]],T_Aop[],ID_Jezik+6,1)</f>
        <v>      1.6. Potraživanja za više plaćen porez na dobit</v>
      </c>
      <c r="G52" s="222" t="s">
        <v>951</v>
      </c>
      <c r="H52" s="214" t="s">
        <v>952</v>
      </c>
      <c r="I52" s="222" t="s">
        <v>953</v>
      </c>
      <c r="J52" s="281" t="s">
        <v>954</v>
      </c>
      <c r="K52" s="280" t="n">
        <v>224</v>
      </c>
      <c r="L52" s="202" t="n">
        <v>224</v>
      </c>
      <c r="M52" s="223" t="n">
        <v>224</v>
      </c>
      <c r="N52" s="193" t="n">
        <v>224</v>
      </c>
      <c r="O52" s="19"/>
      <c r="P52" s="19"/>
    </row>
    <row r="53" spans="1:16" ht="15" customHeight="1">
      <c r="A53">
        <f>ROW()-ROW($A$1)</f>
        <v>52</v>
      </c>
      <c r="B53" t="s">
        <v>601</v>
      </c>
      <c r="C53" t="n">
        <v>2</v>
      </c>
      <c r="D53" s="173" t="n">
        <v>52</v>
      </c>
      <c r="E53" s="19" t="str">
        <f aca="1">VLOOKUP(T_Aop[[#This Row],[Id]],T_Aop[],ID_Jezik+10,1)</f>
        <v> </v>
      </c>
      <c r="F53" t="str">
        <f aca="1">REPT("  ",T_Aop[[#This Row],[Aop nivo]])&amp;VLOOKUP(T_Aop[[#This Row],[Id]],T_Aop[],ID_Jezik+6,1)</f>
        <v>    2. Kratkoročni finansijski plasmani ( 053 + 058 + 059 + 060)</v>
      </c>
      <c r="G53" s="222" t="s">
        <v>955</v>
      </c>
      <c r="H53" s="215" t="s">
        <v>956</v>
      </c>
      <c r="I53" s="222" t="s">
        <v>957</v>
      </c>
      <c r="J53" s="281" t="s">
        <v>958</v>
      </c>
      <c r="K53" s="280" t="s">
        <v>50</v>
      </c>
      <c r="L53" s="202"/>
      <c r="M53" s="223" t="s">
        <v>50</v>
      </c>
      <c r="N53" s="193"/>
      <c r="O53" s="19" t="n">
        <v>1</v>
      </c>
      <c r="P53" s="19"/>
    </row>
    <row r="54" spans="1:16" ht="12.75" customHeight="1">
      <c r="A54">
        <f>ROW()-ROW($A$1)</f>
        <v>53</v>
      </c>
      <c r="B54" t="s">
        <v>601</v>
      </c>
      <c r="C54" t="n">
        <v>3</v>
      </c>
      <c r="D54" s="173" t="n">
        <v>53</v>
      </c>
      <c r="E54" s="19" t="str">
        <f aca="1">VLOOKUP(T_Aop[[#This Row],[Id]],T_Aop[],ID_Jezik+10,1)</f>
        <v> </v>
      </c>
      <c r="F54" t="str">
        <f aca="1">REPT("  ",T_Aop[[#This Row],[Aop nivo]])&amp;VLOOKUP(T_Aop[[#This Row],[Id]],T_Aop[],ID_Jezik+6,1)</f>
        <v>      2.1. Finansijska sredstva po amortizovanoj vrijednosti (054 do 057)</v>
      </c>
      <c r="G54" s="222" t="s">
        <v>959</v>
      </c>
      <c r="H54" s="214" t="s">
        <v>960</v>
      </c>
      <c r="I54" s="222" t="s">
        <v>961</v>
      </c>
      <c r="J54" s="281" t="s">
        <v>962</v>
      </c>
      <c r="K54" s="280" t="s">
        <v>50</v>
      </c>
      <c r="L54" s="202"/>
      <c r="M54" s="223" t="s">
        <v>50</v>
      </c>
      <c r="N54" s="193"/>
      <c r="O54" s="19" t="n">
        <v>1</v>
      </c>
      <c r="P54" s="19"/>
    </row>
    <row r="55" spans="1:16">
      <c r="A55">
        <f>ROW()-ROW($A$1)</f>
        <v>54</v>
      </c>
      <c r="B55" t="s">
        <v>601</v>
      </c>
      <c r="C55" t="n">
        <v>4</v>
      </c>
      <c r="D55" s="173" t="n">
        <v>54</v>
      </c>
      <c r="E55" s="19" t="str">
        <f aca="1">VLOOKUP(T_Aop[[#This Row],[Id]],T_Aop[],ID_Jezik+10,1)</f>
        <v>230, dio 238</v>
      </c>
      <c r="F55" t="str">
        <f aca="1">REPT("  ",T_Aop[[#This Row],[Aop nivo]])&amp;VLOOKUP(T_Aop[[#This Row],[Id]],T_Aop[],ID_Jezik+6,1)</f>
        <v>        a) Kratkoročni krediti povezanim pravnim licima</v>
      </c>
      <c r="G55" s="222" t="s">
        <v>963</v>
      </c>
      <c r="H55" s="215" t="s">
        <v>964</v>
      </c>
      <c r="I55" s="222" t="s">
        <v>965</v>
      </c>
      <c r="J55" s="281" t="s">
        <v>966</v>
      </c>
      <c r="K55" s="280" t="s">
        <v>967</v>
      </c>
      <c r="L55" s="202" t="s">
        <v>968</v>
      </c>
      <c r="M55" s="223" t="s">
        <v>969</v>
      </c>
      <c r="N55" s="193" t="s">
        <v>970</v>
      </c>
      <c r="O55" s="19"/>
      <c r="P55" s="19"/>
    </row>
    <row r="56" spans="1:16">
      <c r="A56">
        <f>ROW()-ROW($A$1)</f>
        <v>55</v>
      </c>
      <c r="B56" t="s">
        <v>601</v>
      </c>
      <c r="C56" t="n">
        <v>4</v>
      </c>
      <c r="D56" s="173" t="n">
        <v>55</v>
      </c>
      <c r="E56" s="19" t="str">
        <f aca="1">VLOOKUP(T_Aop[[#This Row],[Id]],T_Aop[],ID_Jezik+10,1)</f>
        <v>231, dio 238</v>
      </c>
      <c r="F56" t="str">
        <f aca="1">REPT("  ",T_Aop[[#This Row],[Aop nivo]])&amp;VLOOKUP(T_Aop[[#This Row],[Id]],T_Aop[],ID_Jezik+6,1)</f>
        <v>        b) Kratkoročni krediti u zemlji</v>
      </c>
      <c r="G56" s="222" t="s">
        <v>971</v>
      </c>
      <c r="H56" s="214" t="s">
        <v>972</v>
      </c>
      <c r="I56" s="222" t="s">
        <v>973</v>
      </c>
      <c r="J56" s="281" t="s">
        <v>974</v>
      </c>
      <c r="K56" s="280" t="s">
        <v>975</v>
      </c>
      <c r="L56" s="202" t="s">
        <v>976</v>
      </c>
      <c r="M56" s="223" t="s">
        <v>977</v>
      </c>
      <c r="N56" s="200" t="s">
        <v>978</v>
      </c>
      <c r="O56" s="19"/>
      <c r="P56" s="19"/>
    </row>
    <row r="57" spans="1:16">
      <c r="A57">
        <f>ROW()-ROW($A$1)</f>
        <v>56</v>
      </c>
      <c r="B57" t="s">
        <v>601</v>
      </c>
      <c r="C57" t="n">
        <v>4</v>
      </c>
      <c r="D57" s="173" t="n">
        <v>56</v>
      </c>
      <c r="E57" s="19" t="str">
        <f aca="1">VLOOKUP(T_Aop[[#This Row],[Id]],T_Aop[],ID_Jezik+10,1)</f>
        <v>232, dio 238</v>
      </c>
      <c r="F57" t="str">
        <f aca="1">REPT("  ",T_Aop[[#This Row],[Aop nivo]])&amp;VLOOKUP(T_Aop[[#This Row],[Id]],T_Aop[],ID_Jezik+6,1)</f>
        <v>        c) Kratkoročni krediti u inostranstvu</v>
      </c>
      <c r="G57" s="222" t="s">
        <v>979</v>
      </c>
      <c r="H57" s="215" t="s">
        <v>980</v>
      </c>
      <c r="I57" s="222" t="s">
        <v>981</v>
      </c>
      <c r="J57" s="281" t="s">
        <v>982</v>
      </c>
      <c r="K57" s="280" t="s">
        <v>983</v>
      </c>
      <c r="L57" s="202" t="s">
        <v>984</v>
      </c>
      <c r="M57" s="223" t="s">
        <v>985</v>
      </c>
      <c r="N57" s="200" t="s">
        <v>986</v>
      </c>
      <c r="O57" s="19"/>
      <c r="P57" s="19"/>
    </row>
    <row r="58" spans="1:16">
      <c r="A58">
        <f>ROW()-ROW($A$1)</f>
        <v>57</v>
      </c>
      <c r="B58" t="s">
        <v>601</v>
      </c>
      <c r="C58" t="n">
        <v>4</v>
      </c>
      <c r="D58" s="173" t="n">
        <v>57</v>
      </c>
      <c r="E58" s="19" t="str">
        <f aca="1">VLOOKUP(T_Aop[[#This Row],[Id]],T_Aop[],ID_Jezik+10,1)</f>
        <v>233, dio 238</v>
      </c>
      <c r="F58" t="str">
        <f aca="1">REPT("  ",T_Aop[[#This Row],[Aop nivo]])&amp;VLOOKUP(T_Aop[[#This Row],[Id]],T_Aop[],ID_Jezik+6,1)</f>
        <v>        d) Ostala finansijska sredstva po amortizovanoj vrijednosti</v>
      </c>
      <c r="G58" s="222" t="s">
        <v>987</v>
      </c>
      <c r="H58" s="214" t="s">
        <v>988</v>
      </c>
      <c r="I58" s="222" t="s">
        <v>989</v>
      </c>
      <c r="J58" s="281" t="s">
        <v>990</v>
      </c>
      <c r="K58" s="280" t="s">
        <v>991</v>
      </c>
      <c r="L58" s="202" t="s">
        <v>992</v>
      </c>
      <c r="M58" s="223" t="s">
        <v>993</v>
      </c>
      <c r="N58" s="200" t="s">
        <v>994</v>
      </c>
      <c r="O58" s="19"/>
      <c r="P58" s="19"/>
    </row>
    <row r="59" spans="1:16" ht="12.75" customHeight="1">
      <c r="A59">
        <f>ROW()-ROW($A$1)</f>
        <v>58</v>
      </c>
      <c r="B59" t="s">
        <v>601</v>
      </c>
      <c r="C59" t="n">
        <v>3</v>
      </c>
      <c r="D59" s="173" t="n">
        <v>58</v>
      </c>
      <c r="E59" s="19" t="str">
        <f aca="1">VLOOKUP(T_Aop[[#This Row],[Id]],T_Aop[],ID_Jezik+10,1)</f>
        <v>235 i 236</v>
      </c>
      <c r="F59" t="str">
        <f aca="1">REPT("  ",T_Aop[[#This Row],[Aop nivo]])&amp;VLOOKUP(T_Aop[[#This Row],[Id]],T_Aop[],ID_Jezik+6,1)</f>
        <v>      2.2. Finansijska sredstva po fer vrijednosti kroz bilans uspjeha</v>
      </c>
      <c r="G59" s="222" t="s">
        <v>995</v>
      </c>
      <c r="H59" s="215" t="s">
        <v>996</v>
      </c>
      <c r="I59" s="222" t="s">
        <v>997</v>
      </c>
      <c r="J59" s="281" t="s">
        <v>998</v>
      </c>
      <c r="K59" s="280" t="s">
        <v>999</v>
      </c>
      <c r="L59" s="202" t="s">
        <v>1000</v>
      </c>
      <c r="M59" s="223" t="s">
        <v>1001</v>
      </c>
      <c r="N59" s="200" t="s">
        <v>1000</v>
      </c>
      <c r="O59" s="19"/>
      <c r="P59" s="19"/>
    </row>
    <row r="60" spans="1:16">
      <c r="A60">
        <f>ROW()-ROW($A$1)</f>
        <v>59</v>
      </c>
      <c r="B60" t="s">
        <v>601</v>
      </c>
      <c r="C60" t="n">
        <v>3</v>
      </c>
      <c r="D60" s="173" t="n">
        <v>59</v>
      </c>
      <c r="E60" s="19" t="str">
        <f aca="1">VLOOKUP(T_Aop[[#This Row],[Id]],T_Aop[],ID_Jezik+10,1)</f>
        <v>234, 239</v>
      </c>
      <c r="F60" t="str">
        <f aca="1">REPT("  ",T_Aop[[#This Row],[Aop nivo]])&amp;VLOOKUP(T_Aop[[#This Row],[Id]],T_Aop[],ID_Jezik+6,1)</f>
        <v>      2.3. Potraživanje po finansijskom lizingu</v>
      </c>
      <c r="G60" s="222" t="s">
        <v>1002</v>
      </c>
      <c r="H60" s="214" t="s">
        <v>1003</v>
      </c>
      <c r="I60" s="222" t="s">
        <v>1004</v>
      </c>
      <c r="J60" s="281" t="s">
        <v>1005</v>
      </c>
      <c r="K60" s="280" t="s">
        <v>1006</v>
      </c>
      <c r="L60" s="202" t="s">
        <v>1006</v>
      </c>
      <c r="M60" s="223" t="s">
        <v>1006</v>
      </c>
      <c r="N60" s="200" t="s">
        <v>1006</v>
      </c>
      <c r="O60" s="19"/>
      <c r="P60" s="19"/>
    </row>
    <row r="61" spans="1:16">
      <c r="A61">
        <f>ROW()-ROW($A$1)</f>
        <v>60</v>
      </c>
      <c r="B61" t="s">
        <v>601</v>
      </c>
      <c r="C61" t="n">
        <v>3</v>
      </c>
      <c r="D61" s="173" t="n">
        <v>60</v>
      </c>
      <c r="E61" s="568">
        <f aca="1">VLOOKUP(T_Aop[[#This Row],[Id]],T_Aop[],ID_Jezik+10,1)</f>
        <v>214</v>
      </c>
      <c r="F61" t="str">
        <f aca="1">REPT("  ",T_Aop[[#This Row],[Aop nivo]])&amp;VLOOKUP(T_Aop[[#This Row],[Id]],T_Aop[],ID_Jezik+6,1)</f>
        <v>      2.4. Derivatna finansijska sredstva</v>
      </c>
      <c r="G61" s="222" t="s">
        <v>1007</v>
      </c>
      <c r="H61" s="215" t="s">
        <v>1008</v>
      </c>
      <c r="I61" s="222" t="s">
        <v>1009</v>
      </c>
      <c r="J61" s="281" t="s">
        <v>1010</v>
      </c>
      <c r="K61" s="280" t="n">
        <v>214</v>
      </c>
      <c r="L61" s="202" t="n">
        <v>214</v>
      </c>
      <c r="M61" s="223" t="n">
        <v>214</v>
      </c>
      <c r="N61" s="200" t="n">
        <v>214</v>
      </c>
      <c r="O61" s="19"/>
      <c r="P61" s="19"/>
    </row>
    <row r="62" spans="1:16">
      <c r="A62">
        <f>ROW()-ROW($A$1)</f>
        <v>61</v>
      </c>
      <c r="B62" t="s">
        <v>601</v>
      </c>
      <c r="C62" t="n">
        <v>2</v>
      </c>
      <c r="D62" s="173" t="n">
        <v>61</v>
      </c>
      <c r="E62" s="568">
        <f aca="1">VLOOKUP(T_Aop[[#This Row],[Id]],T_Aop[],ID_Jezik+10,1)</f>
        <v>24</v>
      </c>
      <c r="F62" t="str">
        <f aca="1">REPT("  ",T_Aop[[#This Row],[Aop nivo]])&amp;VLOOKUP(T_Aop[[#This Row],[Id]],T_Aop[],ID_Jezik+6,1)</f>
        <v>    3. Gotovinski ekvivalenti i gotovina (062 + 063)</v>
      </c>
      <c r="G62" s="222" t="s">
        <v>1011</v>
      </c>
      <c r="H62" s="214" t="s">
        <v>1012</v>
      </c>
      <c r="I62" s="222" t="s">
        <v>1013</v>
      </c>
      <c r="J62" s="281" t="s">
        <v>1014</v>
      </c>
      <c r="K62" s="280" t="n">
        <v>24</v>
      </c>
      <c r="L62" s="202" t="n">
        <v>24</v>
      </c>
      <c r="M62" s="223" t="n">
        <v>24</v>
      </c>
      <c r="N62" s="200" t="n">
        <v>24</v>
      </c>
      <c r="O62" s="19" t="n">
        <v>1</v>
      </c>
      <c r="P62" s="19"/>
    </row>
    <row r="63" spans="1:16">
      <c r="A63">
        <f>ROW()-ROW($A$1)</f>
        <v>62</v>
      </c>
      <c r="B63" t="s">
        <v>601</v>
      </c>
      <c r="C63" t="n">
        <v>3</v>
      </c>
      <c r="D63" s="173" t="n">
        <v>62</v>
      </c>
      <c r="E63" s="19" t="str">
        <f aca="1">VLOOKUP(T_Aop[[#This Row],[Id]],T_Aop[],ID_Jezik+10,1)</f>
        <v>240, dio 249</v>
      </c>
      <c r="F63" t="str">
        <f aca="1">REPT("  ",T_Aop[[#This Row],[Aop nivo]])&amp;VLOOKUP(T_Aop[[#This Row],[Id]],T_Aop[],ID_Jezik+6,1)</f>
        <v>      3.1. Gotovinski ekvivalenti </v>
      </c>
      <c r="G63" s="222" t="s">
        <v>1015</v>
      </c>
      <c r="H63" s="215" t="s">
        <v>1016</v>
      </c>
      <c r="I63" s="222" t="s">
        <v>1017</v>
      </c>
      <c r="J63" s="281" t="s">
        <v>1018</v>
      </c>
      <c r="K63" s="280" t="s">
        <v>1019</v>
      </c>
      <c r="L63" s="202" t="s">
        <v>1020</v>
      </c>
      <c r="M63" s="223" t="s">
        <v>1021</v>
      </c>
      <c r="N63" s="193" t="s">
        <v>1022</v>
      </c>
      <c r="O63" s="19"/>
      <c r="P63" s="19"/>
    </row>
    <row r="64" spans="1:16">
      <c r="A64">
        <f>ROW()-ROW($A$1)</f>
        <v>63</v>
      </c>
      <c r="B64" t="s">
        <v>601</v>
      </c>
      <c r="C64" t="n">
        <v>3</v>
      </c>
      <c r="D64" s="173" t="n">
        <v>63</v>
      </c>
      <c r="E64" s="19" t="str">
        <f aca="1">VLOOKUP(T_Aop[[#This Row],[Id]],T_Aop[],ID_Jezik+10,1)</f>
        <v>241 do 249</v>
      </c>
      <c r="F64" t="str">
        <f aca="1">REPT("  ",T_Aop[[#This Row],[Aop nivo]])&amp;VLOOKUP(T_Aop[[#This Row],[Id]],T_Aop[],ID_Jezik+6,1)</f>
        <v>      3.2. Gotovina</v>
      </c>
      <c r="G64" s="222" t="s">
        <v>1023</v>
      </c>
      <c r="H64" s="214" t="s">
        <v>1024</v>
      </c>
      <c r="I64" s="222" t="s">
        <v>1025</v>
      </c>
      <c r="J64" s="281" t="s">
        <v>1026</v>
      </c>
      <c r="K64" s="282" t="s">
        <v>1027</v>
      </c>
      <c r="L64" s="202" t="s">
        <v>1028</v>
      </c>
      <c r="M64" s="223" t="s">
        <v>1029</v>
      </c>
      <c r="N64" s="200" t="s">
        <v>1028</v>
      </c>
      <c r="O64" s="19"/>
      <c r="P64" s="19"/>
    </row>
    <row r="65" spans="1:16">
      <c r="A65">
        <f>ROW()-ROW($A$1)</f>
        <v>64</v>
      </c>
      <c r="B65" t="s">
        <v>601</v>
      </c>
      <c r="C65" t="n">
        <v>2</v>
      </c>
      <c r="D65" s="173" t="n">
        <v>64</v>
      </c>
      <c r="E65" s="19" t="str">
        <f aca="1">VLOOKUP(T_Aop[[#This Row],[Id]],T_Aop[],ID_Jezik+10,1)</f>
        <v>270 do 279</v>
      </c>
      <c r="F65" t="str">
        <f aca="1">REPT("  ",T_Aop[[#This Row],[Aop nivo]])&amp;VLOOKUP(T_Aop[[#This Row],[Id]],T_Aop[],ID_Jezik+6,1)</f>
        <v>    4. Porez na dodatu vrijednost</v>
      </c>
      <c r="G65" s="222" t="s">
        <v>1030</v>
      </c>
      <c r="H65" s="215" t="s">
        <v>1031</v>
      </c>
      <c r="I65" s="222" t="s">
        <v>1032</v>
      </c>
      <c r="J65" s="281" t="s">
        <v>1033</v>
      </c>
      <c r="K65" s="283" t="s">
        <v>1034</v>
      </c>
      <c r="L65" s="202" t="s">
        <v>1035</v>
      </c>
      <c r="M65" s="223" t="s">
        <v>1036</v>
      </c>
      <c r="N65" s="200" t="s">
        <v>1037</v>
      </c>
      <c r="O65" s="19"/>
      <c r="P65" s="19"/>
    </row>
    <row r="66" spans="1:16">
      <c r="A66">
        <f>ROW()-ROW($A$1)</f>
        <v>65</v>
      </c>
      <c r="B66" t="s">
        <v>601</v>
      </c>
      <c r="C66" t="n">
        <v>2</v>
      </c>
      <c r="D66" s="173" t="n">
        <v>65</v>
      </c>
      <c r="E66" s="19" t="str">
        <f aca="1">VLOOKUP(T_Aop[[#This Row],[Id]],T_Aop[],ID_Jezik+10,1)</f>
        <v>280 do 289</v>
      </c>
      <c r="F66" t="str">
        <f aca="1">REPT("  ",T_Aop[[#This Row],[Aop nivo]])&amp;VLOOKUP(T_Aop[[#This Row],[Id]],T_Aop[],ID_Jezik+6,1)</f>
        <v>    5. Kratkoročna  razgraničenja</v>
      </c>
      <c r="G66" s="222" t="s">
        <v>1038</v>
      </c>
      <c r="H66" s="214" t="s">
        <v>1039</v>
      </c>
      <c r="I66" s="222" t="s">
        <v>1040</v>
      </c>
      <c r="J66" s="281" t="s">
        <v>1041</v>
      </c>
      <c r="K66" s="283" t="s">
        <v>1042</v>
      </c>
      <c r="L66" s="202" t="s">
        <v>1043</v>
      </c>
      <c r="M66" s="223" t="s">
        <v>1044</v>
      </c>
      <c r="N66" s="174" t="s">
        <v>1043</v>
      </c>
      <c r="O66" s="19"/>
      <c r="P66" s="19"/>
    </row>
    <row r="67" spans="1:16">
      <c r="A67">
        <f>ROW()-ROW($A$1)</f>
        <v>66</v>
      </c>
      <c r="B67" t="s">
        <v>601</v>
      </c>
      <c r="C67" t="n">
        <v>1</v>
      </c>
      <c r="D67" s="173" t="n">
        <v>66</v>
      </c>
      <c r="E67" s="568">
        <f aca="1">VLOOKUP(T_Aop[[#This Row],[Id]],T_Aop[],ID_Jezik+10,1)</f>
        <v>0</v>
      </c>
      <c r="F67" t="str">
        <f aca="1">REPT("  ",T_Aop[[#This Row],[Aop nivo]])&amp;VLOOKUP(T_Aop[[#This Row],[Id]],T_Aop[],ID_Jezik+6,1)</f>
        <v>  G. BILANSNA AKTIVA (001 + 035 + 036)</v>
      </c>
      <c r="G67" s="222" t="s">
        <v>1045</v>
      </c>
      <c r="H67" s="222" t="s">
        <v>1046</v>
      </c>
      <c r="I67" s="222" t="s">
        <v>1047</v>
      </c>
      <c r="J67" s="281" t="s">
        <v>1048</v>
      </c>
      <c r="K67" s="284" t="n">
        <v>0</v>
      </c>
      <c r="L67" s="204"/>
      <c r="M67" s="223"/>
      <c r="N67" s="224"/>
      <c r="O67" s="19" t="n">
        <v>1</v>
      </c>
      <c r="P67" s="19"/>
    </row>
    <row r="68" spans="1:16">
      <c r="A68">
        <f>ROW()-ROW($A$1)</f>
        <v>67</v>
      </c>
      <c r="B68" t="s">
        <v>601</v>
      </c>
      <c r="C68" t="n">
        <v>1</v>
      </c>
      <c r="D68" s="173" t="n">
        <v>67</v>
      </c>
      <c r="E68" s="19" t="str">
        <f aca="1">VLOOKUP(T_Aop[[#This Row],[Id]],T_Aop[],ID_Jezik+10,1)</f>
        <v>880 do 888</v>
      </c>
      <c r="F68" s="172" t="str">
        <f aca="1">REPT("  ",T_Aop[[#This Row],[Aop nivo]])&amp;VLOOKUP(T_Aop[[#This Row],[Id]],T_Aop[],ID_Jezik+6,1)</f>
        <v>  D. VANBILANSNA AKTIVA</v>
      </c>
      <c r="G68" s="222" t="s">
        <v>1049</v>
      </c>
      <c r="H68" s="222" t="s">
        <v>1050</v>
      </c>
      <c r="I68" s="222" t="s">
        <v>1051</v>
      </c>
      <c r="J68" s="281" t="s">
        <v>1052</v>
      </c>
      <c r="K68" s="285" t="s">
        <v>1053</v>
      </c>
      <c r="L68" s="204" t="s">
        <v>1054</v>
      </c>
      <c r="M68" s="223" t="s">
        <v>1055</v>
      </c>
      <c r="N68" s="193" t="s">
        <v>1054</v>
      </c>
      <c r="O68" s="19" t="n">
        <v>1</v>
      </c>
      <c r="P68" s="19"/>
    </row>
    <row r="69" spans="1:16" ht="30" customHeight="1">
      <c r="A69">
        <f>ROW()-ROW($A$1)</f>
        <v>68</v>
      </c>
      <c r="B69" t="s">
        <v>1056</v>
      </c>
      <c r="C69" t="n">
        <v>1</v>
      </c>
      <c r="D69" s="173" t="n">
        <v>101</v>
      </c>
      <c r="E69" s="19">
        <f aca="1">VLOOKUP(T_Aop[[#This Row],[Id]],T_Aop[],ID_Jezik+10,1)</f>
        <v>0</v>
      </c>
      <c r="F69" t="str">
        <f aca="1">REPT("  ",T_Aop[[#This Row],[Aop nivo]])&amp;VLOOKUP(T_Aop[[#This Row],[Id]],T_Aop[],ID_Jezik+6,1)</f>
        <v>  BILANSNA PASIVA
A. KAPITAL  (102 -110 + 113 - 114 + 115 + 119 + 122 - 123 + 124 - 128 + 131)</v>
      </c>
      <c r="G69" s="214" t="s">
        <v>1057</v>
      </c>
      <c r="H69" s="222" t="s">
        <v>1058</v>
      </c>
      <c r="I69" s="221" t="s">
        <v>1059</v>
      </c>
      <c r="J69" s="221" t="s">
        <v>1060</v>
      </c>
      <c r="K69" s="226"/>
      <c r="L69" s="226"/>
      <c r="M69" s="226"/>
      <c r="N69" s="224"/>
      <c r="O69" s="19" t="n">
        <v>1</v>
      </c>
      <c r="P69" s="19"/>
    </row>
    <row r="70" spans="1:16" ht="16.50" customHeight="1">
      <c r="A70">
        <f>ROW()-ROW($A$1)</f>
        <v>69</v>
      </c>
      <c r="B70" t="s">
        <v>1056</v>
      </c>
      <c r="C70" t="n">
        <v>1</v>
      </c>
      <c r="D70" s="173" t="n">
        <v>102</v>
      </c>
      <c r="E70" s="568">
        <f aca="1">VLOOKUP(T_Aop[[#This Row],[Id]],T_Aop[],ID_Jezik+10,1)</f>
        <v>30</v>
      </c>
      <c r="F70" t="str">
        <f aca="1">REPT("  ",T_Aop[[#This Row],[Aop nivo]])&amp;VLOOKUP(T_Aop[[#This Row],[Id]],T_Aop[],ID_Jezik+6,1)</f>
        <v>  I OSNOVNI KAPITAL (103 + 106 + 107 + 108 + 109)</v>
      </c>
      <c r="G70" s="222" t="s">
        <v>1061</v>
      </c>
      <c r="H70" s="222" t="s">
        <v>1062</v>
      </c>
      <c r="I70" s="225" t="s">
        <v>1063</v>
      </c>
      <c r="J70" s="281" t="s">
        <v>1064</v>
      </c>
      <c r="K70" s="286" t="n">
        <v>30</v>
      </c>
      <c r="L70" s="205" t="n">
        <v>30</v>
      </c>
      <c r="M70" s="227" t="s">
        <v>1065</v>
      </c>
      <c r="N70" s="193" t="n">
        <v>30</v>
      </c>
      <c r="O70" s="19" t="n">
        <v>1</v>
      </c>
      <c r="P70" s="19"/>
    </row>
    <row r="71" spans="1:16" ht="16.50" customHeight="1">
      <c r="A71">
        <f>ROW()-ROW($A$1)</f>
        <v>70</v>
      </c>
      <c r="B71" t="s">
        <v>1056</v>
      </c>
      <c r="C71" t="n">
        <v>2</v>
      </c>
      <c r="D71" s="173" t="n">
        <v>103</v>
      </c>
      <c r="E71" s="569">
        <f aca="1">VLOOKUP(T_Aop[[#This Row],[Id]],T_Aop[],ID_Jezik+10,1)</f>
        <v>300</v>
      </c>
      <c r="F71" t="str">
        <f aca="1">REPT("  ",T_Aop[[#This Row],[Aop nivo]])&amp;VLOOKUP(T_Aop[[#This Row],[Id]],T_Aop[],ID_Jezik+6,1)</f>
        <v>    1. Akcijski kapital (104 + 105)</v>
      </c>
      <c r="G71" s="222" t="s">
        <v>1066</v>
      </c>
      <c r="H71" s="222" t="s">
        <v>1067</v>
      </c>
      <c r="I71" s="225" t="s">
        <v>1068</v>
      </c>
      <c r="J71" s="281" t="s">
        <v>1069</v>
      </c>
      <c r="K71" s="287" t="n">
        <v>300</v>
      </c>
      <c r="L71" s="209" t="n">
        <v>300</v>
      </c>
      <c r="M71" s="227" t="n">
        <v>300</v>
      </c>
      <c r="N71" s="193" t="n">
        <v>300</v>
      </c>
      <c r="O71" s="19" t="n">
        <v>1</v>
      </c>
      <c r="P71" s="19"/>
    </row>
    <row r="72" spans="1:16" ht="12" customHeight="1">
      <c r="A72">
        <f>ROW()-ROW($A$1)</f>
        <v>71</v>
      </c>
      <c r="B72" t="s">
        <v>1056</v>
      </c>
      <c r="C72" t="n">
        <v>3</v>
      </c>
      <c r="D72" s="173" t="n">
        <v>104</v>
      </c>
      <c r="E72" s="19">
        <f aca="1">VLOOKUP(T_Aop[[#This Row],[Id]],T_Aop[],ID_Jezik+10,1)</f>
        <v>0</v>
      </c>
      <c r="F72" t="str">
        <f aca="1">REPT("  ",T_Aop[[#This Row],[Aop nivo]])&amp;VLOOKUP(T_Aop[[#This Row],[Id]],T_Aop[],ID_Jezik+6,1)</f>
        <v>      1.1. Akcijski kapital - obične akcije </v>
      </c>
      <c r="G72" s="222" t="s">
        <v>1070</v>
      </c>
      <c r="H72" s="222" t="s">
        <v>1071</v>
      </c>
      <c r="I72" s="225" t="s">
        <v>1072</v>
      </c>
      <c r="J72" s="281" t="s">
        <v>1073</v>
      </c>
      <c r="K72" s="287"/>
      <c r="L72" s="209"/>
      <c r="M72" s="227"/>
      <c r="N72" s="193"/>
      <c r="O72" s="19"/>
      <c r="P72" s="19"/>
    </row>
    <row r="73" spans="1:16" ht="14.25" customHeight="1">
      <c r="A73">
        <f>ROW()-ROW($A$1)</f>
        <v>72</v>
      </c>
      <c r="B73" t="s">
        <v>1056</v>
      </c>
      <c r="C73" t="n">
        <v>3</v>
      </c>
      <c r="D73" s="173" t="n">
        <v>105</v>
      </c>
      <c r="E73" s="19">
        <f aca="1">VLOOKUP(T_Aop[[#This Row],[Id]],T_Aop[],ID_Jezik+10,1)</f>
        <v>0</v>
      </c>
      <c r="F73" t="str">
        <f aca="1">REPT("  ",T_Aop[[#This Row],[Aop nivo]])&amp;VLOOKUP(T_Aop[[#This Row],[Id]],T_Aop[],ID_Jezik+6,1)</f>
        <v>      1.2. Akcijski kapital – povlašćene (prioritetne) akcije</v>
      </c>
      <c r="G73" s="222" t="s">
        <v>1074</v>
      </c>
      <c r="H73" s="222" t="s">
        <v>1075</v>
      </c>
      <c r="I73" s="225" t="s">
        <v>1076</v>
      </c>
      <c r="J73" s="281" t="s">
        <v>1077</v>
      </c>
      <c r="K73" s="287"/>
      <c r="L73" s="209"/>
      <c r="M73" s="227"/>
      <c r="N73" s="193"/>
      <c r="O73" s="19"/>
      <c r="P73" s="19"/>
    </row>
    <row r="74" spans="1:16" ht="14.25" customHeight="1">
      <c r="A74">
        <f>ROW()-ROW($A$1)</f>
        <v>73</v>
      </c>
      <c r="B74" t="s">
        <v>1056</v>
      </c>
      <c r="C74" t="n">
        <v>2</v>
      </c>
      <c r="D74" s="173" t="n">
        <v>106</v>
      </c>
      <c r="E74" s="569">
        <f aca="1">VLOOKUP(T_Aop[[#This Row],[Id]],T_Aop[],ID_Jezik+10,1)</f>
        <v>302</v>
      </c>
      <c r="F74" t="str">
        <f aca="1">REPT("  ",T_Aop[[#This Row],[Aop nivo]])&amp;VLOOKUP(T_Aop[[#This Row],[Id]],T_Aop[],ID_Jezik+6,1)</f>
        <v>    2. Udjeli društva sa ograničenom odgovornošću</v>
      </c>
      <c r="G74" s="222" t="s">
        <v>1078</v>
      </c>
      <c r="H74" s="222" t="s">
        <v>1079</v>
      </c>
      <c r="I74" s="225" t="s">
        <v>1080</v>
      </c>
      <c r="J74" s="281" t="s">
        <v>1081</v>
      </c>
      <c r="K74" s="287" t="n">
        <v>302</v>
      </c>
      <c r="L74" s="209" t="n">
        <v>302</v>
      </c>
      <c r="M74" s="227" t="n">
        <v>302</v>
      </c>
      <c r="N74" s="193" t="n">
        <v>302</v>
      </c>
      <c r="O74" s="19"/>
      <c r="P74" s="19"/>
    </row>
    <row r="75" spans="1:16" ht="14.25" customHeight="1">
      <c r="A75">
        <f>ROW()-ROW($A$1)</f>
        <v>74</v>
      </c>
      <c r="B75" t="s">
        <v>1056</v>
      </c>
      <c r="C75" t="n">
        <v>2</v>
      </c>
      <c r="D75" s="173" t="n">
        <v>107</v>
      </c>
      <c r="E75" s="569">
        <f aca="1">VLOOKUP(T_Aop[[#This Row],[Id]],T_Aop[],ID_Jezik+10,1)</f>
        <v>304</v>
      </c>
      <c r="F75" t="str">
        <f aca="1">REPT("  ",T_Aop[[#This Row],[Aop nivo]])&amp;VLOOKUP(T_Aop[[#This Row],[Id]],T_Aop[],ID_Jezik+6,1)</f>
        <v>    3. Ulozi</v>
      </c>
      <c r="G75" s="222" t="s">
        <v>1082</v>
      </c>
      <c r="H75" s="222" t="s">
        <v>1083</v>
      </c>
      <c r="I75" s="225" t="s">
        <v>1084</v>
      </c>
      <c r="J75" s="281" t="s">
        <v>1085</v>
      </c>
      <c r="K75" s="287" t="n">
        <v>304</v>
      </c>
      <c r="L75" s="209" t="n">
        <v>304</v>
      </c>
      <c r="M75" s="227" t="n">
        <v>304</v>
      </c>
      <c r="N75" s="193" t="n">
        <v>304</v>
      </c>
      <c r="O75" s="19"/>
      <c r="P75" s="19"/>
    </row>
    <row r="76" spans="1:16" ht="14.25" customHeight="1">
      <c r="A76">
        <f>ROW()-ROW($A$1)</f>
        <v>75</v>
      </c>
      <c r="B76" t="s">
        <v>1056</v>
      </c>
      <c r="C76" t="n">
        <v>2</v>
      </c>
      <c r="D76" s="173" t="n">
        <v>108</v>
      </c>
      <c r="E76" s="569">
        <f aca="1">VLOOKUP(T_Aop[[#This Row],[Id]],T_Aop[],ID_Jezik+10,1)</f>
        <v>305</v>
      </c>
      <c r="F76" t="str">
        <f aca="1">REPT("  ",T_Aop[[#This Row],[Aop nivo]])&amp;VLOOKUP(T_Aop[[#This Row],[Id]],T_Aop[],ID_Jezik+6,1)</f>
        <v>    4. Državni kapital</v>
      </c>
      <c r="G76" s="222" t="s">
        <v>1086</v>
      </c>
      <c r="H76" s="222" t="s">
        <v>1087</v>
      </c>
      <c r="I76" s="225" t="s">
        <v>1088</v>
      </c>
      <c r="J76" s="281" t="s">
        <v>1089</v>
      </c>
      <c r="K76" s="287" t="n">
        <v>305</v>
      </c>
      <c r="L76" s="209" t="n">
        <v>305</v>
      </c>
      <c r="M76" s="227" t="n">
        <v>305</v>
      </c>
      <c r="N76" s="193" t="n">
        <v>305</v>
      </c>
      <c r="O76" s="19"/>
      <c r="P76" s="19"/>
    </row>
    <row r="77" spans="1:16" ht="14.25" customHeight="1">
      <c r="A77">
        <f>ROW()-ROW($A$1)</f>
        <v>76</v>
      </c>
      <c r="B77" t="s">
        <v>1056</v>
      </c>
      <c r="C77" t="n">
        <v>2</v>
      </c>
      <c r="D77" s="173" t="n">
        <v>109</v>
      </c>
      <c r="E77" s="19" t="str">
        <f aca="1">VLOOKUP(T_Aop[[#This Row],[Id]],T_Aop[],ID_Jezik+10,1)</f>
        <v>309</v>
      </c>
      <c r="F77" t="str">
        <f aca="1">REPT("  ",T_Aop[[#This Row],[Aop nivo]])&amp;VLOOKUP(T_Aop[[#This Row],[Id]],T_Aop[],ID_Jezik+6,1)</f>
        <v>    5. Ostali osnovni kapital</v>
      </c>
      <c r="G77" s="222" t="s">
        <v>1090</v>
      </c>
      <c r="H77" s="222" t="s">
        <v>1091</v>
      </c>
      <c r="I77" s="225" t="s">
        <v>1092</v>
      </c>
      <c r="J77" s="281" t="s">
        <v>1093</v>
      </c>
      <c r="K77" s="287" t="s">
        <v>1094</v>
      </c>
      <c r="L77" s="187" t="s">
        <v>1094</v>
      </c>
      <c r="M77" s="187" t="s">
        <v>1094</v>
      </c>
      <c r="N77" s="187" t="s">
        <v>1094</v>
      </c>
      <c r="O77" s="19"/>
      <c r="P77" s="19"/>
    </row>
    <row r="78" spans="1:16" ht="14.25" customHeight="1">
      <c r="A78">
        <f>ROW()-ROW($A$1)</f>
        <v>77</v>
      </c>
      <c r="B78" t="s">
        <v>1056</v>
      </c>
      <c r="C78" t="n">
        <v>1</v>
      </c>
      <c r="D78" t="n">
        <v>110</v>
      </c>
      <c r="E78" s="569">
        <f aca="1">VLOOKUP(T_Aop[[#This Row],[Id]],T_Aop[],ID_Jezik+10,1)</f>
        <v>31</v>
      </c>
      <c r="F78" t="str">
        <f aca="1">REPT("  ",T_Aop[[#This Row],[Aop nivo]])&amp;VLOOKUP(T_Aop[[#This Row],[Id]],T_Aop[],ID_Jezik+6,1)</f>
        <v>  II OTKUPLJENE SOPSTVENE AKCIJE I UPISANI NEUPLAĆENI KAPITAL (111 + 112)</v>
      </c>
      <c r="G78" s="215" t="s">
        <v>1095</v>
      </c>
      <c r="H78" s="222" t="s">
        <v>1096</v>
      </c>
      <c r="I78" s="225" t="s">
        <v>1097</v>
      </c>
      <c r="J78" s="281" t="s">
        <v>1098</v>
      </c>
      <c r="K78" s="288" t="n">
        <v>31</v>
      </c>
      <c r="L78" s="206" t="n">
        <v>31</v>
      </c>
      <c r="M78" s="227" t="n">
        <v>31</v>
      </c>
      <c r="N78" s="193" t="n">
        <v>31</v>
      </c>
      <c r="O78" s="19" t="n">
        <v>1</v>
      </c>
      <c r="P78" s="19"/>
    </row>
    <row r="79" spans="1:16" ht="14.25" customHeight="1">
      <c r="A79">
        <f>ROW()-ROW($A$1)</f>
        <v>78</v>
      </c>
      <c r="B79" t="s">
        <v>1056</v>
      </c>
      <c r="C79" t="n">
        <v>2</v>
      </c>
      <c r="D79" t="n">
        <v>111</v>
      </c>
      <c r="E79" s="569">
        <f aca="1">VLOOKUP(T_Aop[[#This Row],[Id]],T_Aop[],ID_Jezik+10,1)</f>
        <v>310</v>
      </c>
      <c r="F79" t="str">
        <f aca="1">REPT("  ",T_Aop[[#This Row],[Aop nivo]])&amp;VLOOKUP(T_Aop[[#This Row],[Id]],T_Aop[],ID_Jezik+6,1)</f>
        <v>    1. Otkupljene sopstvene akcije i udjeli </v>
      </c>
      <c r="G79" s="222" t="s">
        <v>1099</v>
      </c>
      <c r="H79" s="222" t="s">
        <v>1100</v>
      </c>
      <c r="I79" s="225" t="s">
        <v>1101</v>
      </c>
      <c r="J79" s="281" t="s">
        <v>1102</v>
      </c>
      <c r="K79" s="287" t="n">
        <v>310</v>
      </c>
      <c r="L79" s="209" t="n">
        <v>310</v>
      </c>
      <c r="M79" s="227" t="n">
        <v>310</v>
      </c>
      <c r="N79" s="193" t="n">
        <v>310</v>
      </c>
      <c r="O79" s="19" t="n">
        <v>1</v>
      </c>
      <c r="P79" s="19"/>
    </row>
    <row r="80" spans="1:16" ht="14.25" customHeight="1">
      <c r="A80">
        <f>ROW()-ROW($A$1)</f>
        <v>79</v>
      </c>
      <c r="B80" t="s">
        <v>1056</v>
      </c>
      <c r="C80" t="n">
        <v>2</v>
      </c>
      <c r="D80" t="n">
        <v>112</v>
      </c>
      <c r="E80" s="569">
        <f aca="1">VLOOKUP(T_Aop[[#This Row],[Id]],T_Aop[],ID_Jezik+10,1)</f>
        <v>311</v>
      </c>
      <c r="F80" t="str">
        <f aca="1">REPT("  ",T_Aop[[#This Row],[Aop nivo]])&amp;VLOOKUP(T_Aop[[#This Row],[Id]],T_Aop[],ID_Jezik+6,1)</f>
        <v>    2. Upisani neuplaćeni kapital</v>
      </c>
      <c r="G80" s="222" t="s">
        <v>1103</v>
      </c>
      <c r="H80" s="222" t="s">
        <v>1104</v>
      </c>
      <c r="I80" s="225" t="s">
        <v>1105</v>
      </c>
      <c r="J80" s="281" t="s">
        <v>1106</v>
      </c>
      <c r="K80" s="287" t="n">
        <v>311</v>
      </c>
      <c r="L80" s="209" t="n">
        <v>311</v>
      </c>
      <c r="M80" s="227" t="n">
        <v>311</v>
      </c>
      <c r="N80" s="193" t="n">
        <v>311</v>
      </c>
      <c r="O80" s="19" t="n">
        <v>1</v>
      </c>
      <c r="P80" s="19"/>
    </row>
    <row r="81" spans="1:16" ht="14.25" customHeight="1">
      <c r="A81">
        <f>ROW()-ROW($A$1)</f>
        <v>80</v>
      </c>
      <c r="B81" t="s">
        <v>1056</v>
      </c>
      <c r="C81" t="n">
        <v>1</v>
      </c>
      <c r="D81" t="n">
        <v>113</v>
      </c>
      <c r="E81" s="569">
        <f aca="1">VLOOKUP(T_Aop[[#This Row],[Id]],T_Aop[],ID_Jezik+10,1)</f>
        <v>320</v>
      </c>
      <c r="F81" t="str">
        <f aca="1">REPT("  ",T_Aop[[#This Row],[Aop nivo]])&amp;VLOOKUP(T_Aop[[#This Row],[Id]],T_Aop[],ID_Jezik+6,1)</f>
        <v>  III EMISIONA PREMIJA</v>
      </c>
      <c r="G81" s="215" t="s">
        <v>1107</v>
      </c>
      <c r="H81" s="222" t="s">
        <v>1108</v>
      </c>
      <c r="I81" s="225" t="s">
        <v>1109</v>
      </c>
      <c r="J81" s="281" t="s">
        <v>1110</v>
      </c>
      <c r="K81" s="287" t="n">
        <v>320</v>
      </c>
      <c r="L81" s="209" t="n">
        <v>320</v>
      </c>
      <c r="M81" s="227" t="n">
        <v>320</v>
      </c>
      <c r="N81" s="193" t="n">
        <v>320</v>
      </c>
      <c r="O81" s="19" t="n">
        <v>1</v>
      </c>
      <c r="P81" s="19"/>
    </row>
    <row r="82" spans="1:16" ht="14.25" customHeight="1">
      <c r="A82">
        <f>ROW()-ROW($A$1)</f>
        <v>81</v>
      </c>
      <c r="B82" t="s">
        <v>1056</v>
      </c>
      <c r="C82" t="n">
        <v>1</v>
      </c>
      <c r="D82" t="n">
        <v>114</v>
      </c>
      <c r="E82" s="569">
        <f aca="1">VLOOKUP(T_Aop[[#This Row],[Id]],T_Aop[],ID_Jezik+10,1)</f>
        <v>321</v>
      </c>
      <c r="F82" t="str">
        <f aca="1">REPT("  ",T_Aop[[#This Row],[Aop nivo]])&amp;VLOOKUP(T_Aop[[#This Row],[Id]],T_Aop[],ID_Jezik+6,1)</f>
        <v>  IV EMISIONI GUBITAK</v>
      </c>
      <c r="G82" s="215" t="s">
        <v>1111</v>
      </c>
      <c r="H82" s="222" t="s">
        <v>1112</v>
      </c>
      <c r="I82" s="225" t="s">
        <v>1113</v>
      </c>
      <c r="J82" s="281" t="s">
        <v>1114</v>
      </c>
      <c r="K82" s="287" t="n">
        <v>321</v>
      </c>
      <c r="L82" s="209" t="n">
        <v>321</v>
      </c>
      <c r="M82" s="227" t="n">
        <v>321</v>
      </c>
      <c r="N82" s="193" t="n">
        <v>321</v>
      </c>
      <c r="O82" s="19"/>
      <c r="P82" s="19"/>
    </row>
    <row r="83" spans="1:16" ht="14.25" customHeight="1">
      <c r="A83">
        <f>ROW()-ROW($A$1)</f>
        <v>82</v>
      </c>
      <c r="B83" t="s">
        <v>1056</v>
      </c>
      <c r="C83" t="n">
        <v>1</v>
      </c>
      <c r="D83" t="n">
        <v>115</v>
      </c>
      <c r="E83" s="19" t="str">
        <f aca="1">VLOOKUP(T_Aop[[#This Row],[Id]],T_Aop[],ID_Jezik+10,1)</f>
        <v>dio 32</v>
      </c>
      <c r="F83" t="str">
        <f aca="1">REPT("  ",T_Aop[[#This Row],[Aop nivo]])&amp;VLOOKUP(T_Aop[[#This Row],[Id]],T_Aop[],ID_Jezik+6,1)</f>
        <v>  V REZERVE (116 do 118)</v>
      </c>
      <c r="G83" s="215" t="s">
        <v>1115</v>
      </c>
      <c r="H83" s="222" t="s">
        <v>1116</v>
      </c>
      <c r="I83" s="225" t="s">
        <v>1117</v>
      </c>
      <c r="J83" s="281" t="s">
        <v>1118</v>
      </c>
      <c r="K83" s="288" t="s">
        <v>1119</v>
      </c>
      <c r="L83" s="206" t="s">
        <v>1120</v>
      </c>
      <c r="M83" s="227" t="s">
        <v>1121</v>
      </c>
      <c r="N83" s="193" t="s">
        <v>1122</v>
      </c>
      <c r="O83" s="19"/>
      <c r="P83" s="19"/>
    </row>
    <row r="84" spans="1:16" ht="14.25" customHeight="1">
      <c r="A84">
        <f>ROW()-ROW($A$1)</f>
        <v>83</v>
      </c>
      <c r="B84" t="s">
        <v>1056</v>
      </c>
      <c r="C84" t="n">
        <v>2</v>
      </c>
      <c r="D84" t="n">
        <v>116</v>
      </c>
      <c r="E84" s="569">
        <f aca="1">VLOOKUP(T_Aop[[#This Row],[Id]],T_Aop[],ID_Jezik+10,1)</f>
        <v>322</v>
      </c>
      <c r="F84" t="str">
        <f aca="1">REPT("  ",T_Aop[[#This Row],[Aop nivo]])&amp;VLOOKUP(T_Aop[[#This Row],[Id]],T_Aop[],ID_Jezik+6,1)</f>
        <v>    1. Zakonske rezerve</v>
      </c>
      <c r="G84" s="222" t="s">
        <v>1123</v>
      </c>
      <c r="H84" s="222" t="s">
        <v>1124</v>
      </c>
      <c r="I84" s="225" t="s">
        <v>1125</v>
      </c>
      <c r="J84" s="281" t="s">
        <v>1126</v>
      </c>
      <c r="K84" s="287" t="n">
        <v>322</v>
      </c>
      <c r="L84" s="209" t="n">
        <v>322</v>
      </c>
      <c r="M84" s="227" t="n">
        <v>322</v>
      </c>
      <c r="N84" s="193" t="n">
        <v>322</v>
      </c>
      <c r="O84" s="19"/>
      <c r="P84" s="19"/>
    </row>
    <row r="85" spans="1:16" ht="14.25" customHeight="1">
      <c r="A85">
        <f>ROW()-ROW($A$1)</f>
        <v>84</v>
      </c>
      <c r="B85" t="s">
        <v>1056</v>
      </c>
      <c r="C85" t="n">
        <v>2</v>
      </c>
      <c r="D85" t="n">
        <v>117</v>
      </c>
      <c r="E85" s="569">
        <f aca="1">VLOOKUP(T_Aop[[#This Row],[Id]],T_Aop[],ID_Jezik+10,1)</f>
        <v>323</v>
      </c>
      <c r="F85" t="str">
        <f aca="1">REPT("  ",T_Aop[[#This Row],[Aop nivo]])&amp;VLOOKUP(T_Aop[[#This Row],[Id]],T_Aop[],ID_Jezik+6,1)</f>
        <v>    2. Statutarne rezerve</v>
      </c>
      <c r="G85" s="222" t="s">
        <v>1127</v>
      </c>
      <c r="H85" s="222" t="s">
        <v>1128</v>
      </c>
      <c r="I85" s="225" t="s">
        <v>1129</v>
      </c>
      <c r="J85" s="281" t="s">
        <v>1130</v>
      </c>
      <c r="K85" s="287" t="n">
        <v>323</v>
      </c>
      <c r="L85" s="209" t="n">
        <v>323</v>
      </c>
      <c r="M85" s="227" t="n">
        <v>323</v>
      </c>
      <c r="N85" s="193" t="n">
        <v>323</v>
      </c>
      <c r="O85" s="19" t="n">
        <v>1</v>
      </c>
      <c r="P85" s="19"/>
    </row>
    <row r="86" spans="1:16" ht="14.25" customHeight="1">
      <c r="A86">
        <f>ROW()-ROW($A$1)</f>
        <v>85</v>
      </c>
      <c r="B86" t="s">
        <v>1056</v>
      </c>
      <c r="C86" t="n">
        <v>2</v>
      </c>
      <c r="D86" t="n">
        <v>118</v>
      </c>
      <c r="E86" s="569">
        <f aca="1">VLOOKUP(T_Aop[[#This Row],[Id]],T_Aop[],ID_Jezik+10,1)</f>
        <v>329</v>
      </c>
      <c r="F86" t="str">
        <f aca="1">REPT("  ",T_Aop[[#This Row],[Aop nivo]])&amp;VLOOKUP(T_Aop[[#This Row],[Id]],T_Aop[],ID_Jezik+6,1)</f>
        <v>    3. Ostale rezerve</v>
      </c>
      <c r="G86" s="222" t="s">
        <v>1131</v>
      </c>
      <c r="H86" s="222" t="s">
        <v>1132</v>
      </c>
      <c r="I86" s="225" t="s">
        <v>1133</v>
      </c>
      <c r="J86" s="281" t="s">
        <v>1134</v>
      </c>
      <c r="K86" s="287" t="n">
        <v>329</v>
      </c>
      <c r="L86" s="209" t="n">
        <v>329</v>
      </c>
      <c r="M86" s="227" t="n">
        <v>329</v>
      </c>
      <c r="N86" s="193" t="n">
        <v>329</v>
      </c>
      <c r="O86" s="19" t="n">
        <v>1</v>
      </c>
      <c r="P86" s="19"/>
    </row>
    <row r="87" spans="1:16" ht="14.25" customHeight="1">
      <c r="A87">
        <f>ROW()-ROW($A$1)</f>
        <v>86</v>
      </c>
      <c r="B87" t="s">
        <v>1056</v>
      </c>
      <c r="C87" t="n">
        <v>1</v>
      </c>
      <c r="D87" t="n">
        <v>119</v>
      </c>
      <c r="E87" s="19" t="str">
        <f aca="1">VLOOKUP(T_Aop[[#This Row],[Id]],T_Aop[],ID_Jezik+10,1)</f>
        <v>dio 33</v>
      </c>
      <c r="F87" t="str">
        <f aca="1">REPT("  ",T_Aop[[#This Row],[Aop nivo]])&amp;VLOOKUP(T_Aop[[#This Row],[Id]],T_Aop[],ID_Jezik+6,1)</f>
        <v>   VI REVALORIZACIONE REZERVE (120 + 121)</v>
      </c>
      <c r="G87" s="215" t="s">
        <v>1135</v>
      </c>
      <c r="H87" s="222" t="s">
        <v>1136</v>
      </c>
      <c r="I87" s="225" t="s">
        <v>1137</v>
      </c>
      <c r="J87" s="281" t="s">
        <v>1138</v>
      </c>
      <c r="K87" s="288" t="s">
        <v>1139</v>
      </c>
      <c r="L87" s="206" t="s">
        <v>1140</v>
      </c>
      <c r="M87" s="227" t="s">
        <v>1141</v>
      </c>
      <c r="N87" s="193" t="s">
        <v>1142</v>
      </c>
      <c r="O87" s="19" t="n">
        <v>1</v>
      </c>
      <c r="P87" s="19"/>
    </row>
    <row r="88" spans="1:16" ht="14.25" customHeight="1">
      <c r="A88">
        <f>ROW()-ROW($A$1)</f>
        <v>87</v>
      </c>
      <c r="B88" t="s">
        <v>1056</v>
      </c>
      <c r="C88" t="n">
        <v>2</v>
      </c>
      <c r="D88" t="n">
        <v>120</v>
      </c>
      <c r="E88" s="569">
        <f aca="1">VLOOKUP(T_Aop[[#This Row],[Id]],T_Aop[],ID_Jezik+10,1)</f>
        <v>330</v>
      </c>
      <c r="F88" t="str">
        <f aca="1">REPT("  ",T_Aop[[#This Row],[Aop nivo]])&amp;VLOOKUP(T_Aop[[#This Row],[Id]],T_Aop[],ID_Jezik+6,1)</f>
        <v>    1. Revalorizacione rezerve za nekretnine, postrojenja, opremu i nematerijalna sredstva</v>
      </c>
      <c r="G88" s="222" t="s">
        <v>1143</v>
      </c>
      <c r="H88" s="222" t="s">
        <v>1144</v>
      </c>
      <c r="I88" s="225" t="s">
        <v>1145</v>
      </c>
      <c r="J88" s="281" t="s">
        <v>1146</v>
      </c>
      <c r="K88" s="288" t="n">
        <v>330</v>
      </c>
      <c r="L88" s="206" t="n">
        <v>330</v>
      </c>
      <c r="M88" s="227" t="n">
        <v>330</v>
      </c>
      <c r="N88" s="193" t="n">
        <v>330</v>
      </c>
      <c r="O88" s="19" t="n">
        <v>1</v>
      </c>
      <c r="P88" s="19"/>
    </row>
    <row r="89" spans="1:16" ht="14.25" customHeight="1">
      <c r="A89">
        <f>ROW()-ROW($A$1)</f>
        <v>88</v>
      </c>
      <c r="B89" t="s">
        <v>1056</v>
      </c>
      <c r="C89" t="n">
        <v>2</v>
      </c>
      <c r="D89" t="n">
        <v>121</v>
      </c>
      <c r="E89" s="19" t="str">
        <f aca="1">VLOOKUP(T_Aop[[#This Row],[Id]],T_Aop[],ID_Jezik+10,1)</f>
        <v>331 i 334</v>
      </c>
      <c r="F89" t="str">
        <f aca="1">REPT("  ",T_Aop[[#This Row],[Aop nivo]])&amp;VLOOKUP(T_Aop[[#This Row],[Id]],T_Aop[],ID_Jezik+6,1)</f>
        <v>    2. Ostale revalorizacione rezerve</v>
      </c>
      <c r="G89" s="222" t="s">
        <v>1147</v>
      </c>
      <c r="H89" s="222" t="s">
        <v>1148</v>
      </c>
      <c r="I89" s="225" t="s">
        <v>1149</v>
      </c>
      <c r="J89" s="281" t="s">
        <v>1150</v>
      </c>
      <c r="K89" s="288" t="s">
        <v>1151</v>
      </c>
      <c r="L89" s="206" t="s">
        <v>1152</v>
      </c>
      <c r="M89" s="227" t="s">
        <v>1153</v>
      </c>
      <c r="N89" s="193" t="s">
        <v>1152</v>
      </c>
      <c r="O89" s="19"/>
      <c r="P89" s="19"/>
    </row>
    <row r="90" spans="1:16" ht="14.25" customHeight="1">
      <c r="A90">
        <f>ROW()-ROW($A$1)</f>
        <v>89</v>
      </c>
      <c r="B90" t="s">
        <v>1056</v>
      </c>
      <c r="C90" t="n">
        <v>1</v>
      </c>
      <c r="D90" t="n">
        <v>122</v>
      </c>
      <c r="E90" s="569">
        <f aca="1">VLOOKUP(T_Aop[[#This Row],[Id]],T_Aop[],ID_Jezik+10,1)</f>
        <v>332</v>
      </c>
      <c r="F90" t="str">
        <f aca="1">REPT("  ",T_Aop[[#This Row],[Aop nivo]])&amp;VLOOKUP(T_Aop[[#This Row],[Id]],T_Aop[],ID_Jezik+6,1)</f>
        <v>  VII POZITIVNI EFEKTI VREDNOVANJA FINANSIJSKIH SREDSTAVA KOJA SE VREDNUJU PO FER VRIJEDNOSTI KROZ OSTALI UKUPNI REZULTAT</v>
      </c>
      <c r="G90" s="215" t="s">
        <v>1154</v>
      </c>
      <c r="H90" s="222" t="s">
        <v>1155</v>
      </c>
      <c r="I90" s="225" t="s">
        <v>1156</v>
      </c>
      <c r="J90" s="281" t="s">
        <v>1157</v>
      </c>
      <c r="K90" s="288" t="n">
        <v>332</v>
      </c>
      <c r="L90" s="206" t="n">
        <v>332</v>
      </c>
      <c r="M90" s="207" t="n">
        <v>332</v>
      </c>
      <c r="N90" s="193" t="n">
        <v>332</v>
      </c>
      <c r="O90" s="19"/>
      <c r="P90" s="19"/>
    </row>
    <row r="91" spans="1:16" ht="14.25" customHeight="1">
      <c r="A91">
        <f>ROW()-ROW($A$1)</f>
        <v>90</v>
      </c>
      <c r="B91" t="s">
        <v>1056</v>
      </c>
      <c r="C91" t="n">
        <v>1</v>
      </c>
      <c r="D91" t="n">
        <v>123</v>
      </c>
      <c r="E91" s="568">
        <f aca="1">VLOOKUP(T_Aop[[#This Row],[Id]],T_Aop[],ID_Jezik+10,1)</f>
        <v>333</v>
      </c>
      <c r="F91" t="str">
        <f aca="1">REPT("  ",T_Aop[[#This Row],[Aop nivo]])&amp;VLOOKUP(T_Aop[[#This Row],[Id]],T_Aop[],ID_Jezik+6,1)</f>
        <v>  VIII NEGATIVNI EFEKTI VREDNOVANJA FINANSIJSKIH SREDSTAVA KOJA SE VREDNUJU PO FER VRIJEDNOSTI KROZ OSTALI UKUPNI REZULTAT</v>
      </c>
      <c r="G91" s="215" t="s">
        <v>1158</v>
      </c>
      <c r="H91" s="222" t="s">
        <v>1159</v>
      </c>
      <c r="I91" s="225" t="s">
        <v>1160</v>
      </c>
      <c r="J91" s="281" t="s">
        <v>1161</v>
      </c>
      <c r="K91" s="286" t="n">
        <v>333</v>
      </c>
      <c r="L91" s="205" t="n">
        <v>333</v>
      </c>
      <c r="M91" s="208" t="n">
        <v>333</v>
      </c>
      <c r="N91" s="193" t="n">
        <v>333</v>
      </c>
      <c r="O91" s="19"/>
      <c r="P91" s="19"/>
    </row>
    <row r="92" spans="1:16" ht="14.25" customHeight="1">
      <c r="A92">
        <f>ROW()-ROW($A$1)</f>
        <v>91</v>
      </c>
      <c r="B92" t="s">
        <v>1056</v>
      </c>
      <c r="C92" t="n">
        <v>1</v>
      </c>
      <c r="D92" t="n">
        <v>124</v>
      </c>
      <c r="E92" s="569">
        <f aca="1">VLOOKUP(T_Aop[[#This Row],[Id]],T_Aop[],ID_Jezik+10,1)</f>
        <v>34</v>
      </c>
      <c r="F92" t="str">
        <f aca="1">REPT("  ",T_Aop[[#This Row],[Aop nivo]])&amp;VLOOKUP(T_Aop[[#This Row],[Id]],T_Aop[],ID_Jezik+6,1)</f>
        <v>  IX  NERASPOREĐENA DOBIT (125 do 127)</v>
      </c>
      <c r="G92" s="222" t="s">
        <v>1162</v>
      </c>
      <c r="H92" s="222" t="s">
        <v>1163</v>
      </c>
      <c r="I92" s="225" t="s">
        <v>1164</v>
      </c>
      <c r="J92" s="281" t="s">
        <v>1165</v>
      </c>
      <c r="K92" s="288" t="n">
        <v>34</v>
      </c>
      <c r="L92" s="206" t="n">
        <v>34</v>
      </c>
      <c r="M92" s="207" t="n">
        <v>34</v>
      </c>
      <c r="N92" s="193" t="n">
        <v>34</v>
      </c>
      <c r="O92" s="19"/>
      <c r="P92" s="19"/>
    </row>
    <row r="93" spans="1:16" ht="14.25" customHeight="1">
      <c r="A93">
        <f>ROW()-ROW($A$1)</f>
        <v>92</v>
      </c>
      <c r="B93" t="s">
        <v>1056</v>
      </c>
      <c r="C93" t="n">
        <v>2</v>
      </c>
      <c r="D93" t="n">
        <v>125</v>
      </c>
      <c r="E93" s="19" t="str">
        <f aca="1">VLOOKUP(T_Aop[[#This Row],[Id]],T_Aop[],ID_Jezik+10,1)</f>
        <v>340 ili 342</v>
      </c>
      <c r="F93" t="str">
        <f aca="1">REPT("  ",T_Aop[[#This Row],[Aop nivo]])&amp;VLOOKUP(T_Aop[[#This Row],[Id]],T_Aop[],ID_Jezik+6,1)</f>
        <v>    1. Neraspoređena dobit ranijih godina / Neraspoređeni višak prihoda nad rashodima ranijih godina</v>
      </c>
      <c r="G93" s="222" t="s">
        <v>1166</v>
      </c>
      <c r="H93" s="222" t="s">
        <v>1167</v>
      </c>
      <c r="I93" s="225" t="s">
        <v>1168</v>
      </c>
      <c r="J93" s="281" t="s">
        <v>1169</v>
      </c>
      <c r="K93" s="287" t="s">
        <v>1170</v>
      </c>
      <c r="L93" s="209" t="s">
        <v>1171</v>
      </c>
      <c r="M93" s="227" t="s">
        <v>1172</v>
      </c>
      <c r="N93" s="193" t="s">
        <v>1171</v>
      </c>
      <c r="O93" s="19"/>
      <c r="P93" s="19"/>
    </row>
    <row r="94" spans="1:16" ht="14.25" customHeight="1">
      <c r="A94">
        <f>ROW()-ROW($A$1)</f>
        <v>93</v>
      </c>
      <c r="B94" t="s">
        <v>1056</v>
      </c>
      <c r="C94" t="n">
        <v>2</v>
      </c>
      <c r="D94" t="n">
        <v>126</v>
      </c>
      <c r="E94" s="19" t="str">
        <f aca="1">VLOOKUP(T_Aop[[#This Row],[Id]],T_Aop[],ID_Jezik+10,1)</f>
        <v>341 ili 343</v>
      </c>
      <c r="F94" t="str">
        <f aca="1">REPT("  ",T_Aop[[#This Row],[Aop nivo]])&amp;VLOOKUP(T_Aop[[#This Row],[Id]],T_Aop[],ID_Jezik+6,1)</f>
        <v>    2. Neraspoređena dobit tekuće godine / Neraspoređeni višak prihoda nad rashodima tekuće godine</v>
      </c>
      <c r="G94" s="222" t="s">
        <v>1173</v>
      </c>
      <c r="H94" s="222" t="s">
        <v>1174</v>
      </c>
      <c r="I94" s="225" t="s">
        <v>1175</v>
      </c>
      <c r="J94" s="281" t="s">
        <v>1176</v>
      </c>
      <c r="K94" s="287" t="s">
        <v>1177</v>
      </c>
      <c r="L94" s="209" t="s">
        <v>1178</v>
      </c>
      <c r="M94" s="227" t="s">
        <v>1179</v>
      </c>
      <c r="N94" s="193" t="s">
        <v>1178</v>
      </c>
      <c r="O94" s="19"/>
      <c r="P94" s="19"/>
    </row>
    <row r="95" spans="1:16" ht="14.25" customHeight="1">
      <c r="A95">
        <f>ROW()-ROW($A$1)</f>
        <v>94</v>
      </c>
      <c r="B95" t="s">
        <v>1056</v>
      </c>
      <c r="C95" t="n">
        <v>2</v>
      </c>
      <c r="D95" t="n">
        <v>127</v>
      </c>
      <c r="E95" s="569">
        <f aca="1">VLOOKUP(T_Aop[[#This Row],[Id]],T_Aop[],ID_Jezik+10,1)</f>
        <v>344</v>
      </c>
      <c r="F95" t="str">
        <f aca="1">REPT("  ",T_Aop[[#This Row],[Aop nivo]])&amp;VLOOKUP(T_Aop[[#This Row],[Id]],T_Aop[],ID_Jezik+6,1)</f>
        <v>    3. Neto prihod od samostalne djelatnosti</v>
      </c>
      <c r="G95" s="222" t="s">
        <v>1180</v>
      </c>
      <c r="H95" s="222" t="s">
        <v>1181</v>
      </c>
      <c r="I95" s="225" t="s">
        <v>1182</v>
      </c>
      <c r="J95" s="281" t="s">
        <v>1183</v>
      </c>
      <c r="K95" s="287" t="n">
        <v>344</v>
      </c>
      <c r="L95" s="209" t="n">
        <v>344</v>
      </c>
      <c r="M95" s="227" t="n">
        <v>344</v>
      </c>
      <c r="N95" s="193" t="n">
        <v>344</v>
      </c>
      <c r="O95" s="19" t="n">
        <v>1</v>
      </c>
      <c r="P95" s="19"/>
    </row>
    <row r="96" spans="1:16" ht="14.25" customHeight="1">
      <c r="A96">
        <f>ROW()-ROW($A$1)</f>
        <v>95</v>
      </c>
      <c r="B96" t="s">
        <v>1056</v>
      </c>
      <c r="C96" t="n">
        <v>1</v>
      </c>
      <c r="D96" t="n">
        <v>128</v>
      </c>
      <c r="E96" s="19" t="str">
        <f aca="1">VLOOKUP(T_Aop[[#This Row],[Id]],T_Aop[],ID_Jezik+10,1)</f>
        <v>35</v>
      </c>
      <c r="F96" t="str">
        <f aca="1">REPT("  ",T_Aop[[#This Row],[Aop nivo]])&amp;VLOOKUP(T_Aop[[#This Row],[Id]],T_Aop[],ID_Jezik+6,1)</f>
        <v>  X GUBITAK (129 + 130)  </v>
      </c>
      <c r="G96" s="222" t="s">
        <v>1184</v>
      </c>
      <c r="H96" s="222" t="s">
        <v>1185</v>
      </c>
      <c r="I96" s="225" t="s">
        <v>1186</v>
      </c>
      <c r="J96" s="281" t="s">
        <v>1187</v>
      </c>
      <c r="K96" s="288" t="s">
        <v>1188</v>
      </c>
      <c r="L96" s="206" t="s">
        <v>1188</v>
      </c>
      <c r="M96" s="227" t="s">
        <v>1188</v>
      </c>
      <c r="N96" s="193" t="n">
        <v>35</v>
      </c>
      <c r="O96" s="19"/>
      <c r="P96" s="19"/>
    </row>
    <row r="97" spans="1:16" ht="14.25" customHeight="1">
      <c r="A97">
        <f>ROW()-ROW($A$1)</f>
        <v>96</v>
      </c>
      <c r="B97" t="s">
        <v>1056</v>
      </c>
      <c r="C97" t="n">
        <v>2</v>
      </c>
      <c r="D97" t="n">
        <v>129</v>
      </c>
      <c r="E97" s="19" t="str">
        <f aca="1">VLOOKUP(T_Aop[[#This Row],[Id]],T_Aop[],ID_Jezik+10,1)</f>
        <v>350 ili 352</v>
      </c>
      <c r="F97" t="str">
        <f aca="1">REPT("  ",T_Aop[[#This Row],[Aop nivo]])&amp;VLOOKUP(T_Aop[[#This Row],[Id]],T_Aop[],ID_Jezik+6,1)</f>
        <v>    1. Gubitak ranijih godina / Višak rashoda nad prihodima ranijih godina</v>
      </c>
      <c r="G97" s="222" t="s">
        <v>1189</v>
      </c>
      <c r="H97" s="222" t="s">
        <v>1190</v>
      </c>
      <c r="I97" s="225" t="s">
        <v>1191</v>
      </c>
      <c r="J97" s="281" t="s">
        <v>1192</v>
      </c>
      <c r="K97" s="287" t="s">
        <v>1193</v>
      </c>
      <c r="L97" s="209" t="s">
        <v>1194</v>
      </c>
      <c r="M97" s="227" t="s">
        <v>1195</v>
      </c>
      <c r="N97" s="193" t="s">
        <v>1194</v>
      </c>
      <c r="O97" s="19"/>
      <c r="P97" s="19"/>
    </row>
    <row r="98" spans="1:16" ht="14.25" customHeight="1">
      <c r="A98">
        <f>ROW()-ROW($A$1)</f>
        <v>97</v>
      </c>
      <c r="B98" t="s">
        <v>1056</v>
      </c>
      <c r="C98" t="n">
        <v>2</v>
      </c>
      <c r="D98" t="n">
        <v>130</v>
      </c>
      <c r="E98" s="19" t="str">
        <f aca="1">VLOOKUP(T_Aop[[#This Row],[Id]],T_Aop[],ID_Jezik+10,1)</f>
        <v>351 ili 353</v>
      </c>
      <c r="F98" t="str">
        <f aca="1">REPT("  ",T_Aop[[#This Row],[Aop nivo]])&amp;VLOOKUP(T_Aop[[#This Row],[Id]],T_Aop[],ID_Jezik+6,1)</f>
        <v>    2. Gubitak tekuće godine / Višak rashoda nad prihodima tekuće godine</v>
      </c>
      <c r="G98" s="222" t="s">
        <v>1196</v>
      </c>
      <c r="H98" s="222" t="s">
        <v>1197</v>
      </c>
      <c r="I98" s="225" t="s">
        <v>1198</v>
      </c>
      <c r="J98" s="281" t="s">
        <v>1199</v>
      </c>
      <c r="K98" s="287" t="s">
        <v>1200</v>
      </c>
      <c r="L98" s="209" t="s">
        <v>1201</v>
      </c>
      <c r="M98" s="227" t="s">
        <v>1202</v>
      </c>
      <c r="N98" s="193" t="s">
        <v>1201</v>
      </c>
      <c r="O98" s="19"/>
      <c r="P98" s="19"/>
    </row>
    <row r="99" spans="1:16" ht="14.25" customHeight="1">
      <c r="A99">
        <f>ROW()-ROW($A$1)</f>
        <v>98</v>
      </c>
      <c r="B99" t="s">
        <v>1056</v>
      </c>
      <c r="C99" t="n">
        <v>1</v>
      </c>
      <c r="D99" t="n">
        <v>131</v>
      </c>
      <c r="E99" s="19" t="str">
        <f aca="1">VLOOKUP(T_Aop[[#This Row],[Id]],T_Aop[],ID_Jezik+10,1)</f>
        <v> </v>
      </c>
      <c r="F99" t="str">
        <f aca="1">REPT("  ",T_Aop[[#This Row],[Aop nivo]])&amp;VLOOKUP(T_Aop[[#This Row],[Id]],T_Aop[],ID_Jezik+6,1)</f>
        <v>  XI UČEŠĆA BEZ PRAVA KONTROLE</v>
      </c>
      <c r="G99" s="215" t="s">
        <v>1203</v>
      </c>
      <c r="H99" s="222" t="s">
        <v>1204</v>
      </c>
      <c r="I99" s="225" t="s">
        <v>1205</v>
      </c>
      <c r="J99" s="281" t="s">
        <v>1206</v>
      </c>
      <c r="K99" s="288" t="s">
        <v>50</v>
      </c>
      <c r="L99" s="206" t="s">
        <v>50</v>
      </c>
      <c r="M99" s="227" t="s">
        <v>50</v>
      </c>
      <c r="N99" s="193"/>
      <c r="O99" s="19"/>
      <c r="P99" s="19"/>
    </row>
    <row r="100" spans="1:16" ht="14.25" customHeight="1">
      <c r="A100">
        <f>ROW()-ROW($A$1)</f>
        <v>99</v>
      </c>
      <c r="B100" t="s">
        <v>1056</v>
      </c>
      <c r="C100" t="n">
        <v>1</v>
      </c>
      <c r="D100" t="n">
        <v>132</v>
      </c>
      <c r="E100" s="19" t="str">
        <f aca="1">VLOOKUP(T_Aop[[#This Row],[Id]],T_Aop[],ID_Jezik+10,1)</f>
        <v> </v>
      </c>
      <c r="F100" t="str">
        <f aca="1">REPT("  ",T_Aop[[#This Row],[Aop nivo]])&amp;VLOOKUP(T_Aop[[#This Row],[Id]],T_Aop[],ID_Jezik+6,1)</f>
        <v>  B. DUGOROČNA REZERVISANJA I DUGOROČNE OBAVEZE (133 + 137 + 145)</v>
      </c>
      <c r="G100" s="215" t="s">
        <v>1207</v>
      </c>
      <c r="H100" s="222" t="s">
        <v>1208</v>
      </c>
      <c r="I100" s="225" t="s">
        <v>1209</v>
      </c>
      <c r="J100" s="281" t="s">
        <v>1210</v>
      </c>
      <c r="K100" s="287" t="s">
        <v>50</v>
      </c>
      <c r="L100" s="209" t="s">
        <v>50</v>
      </c>
      <c r="M100" s="227" t="s">
        <v>50</v>
      </c>
      <c r="N100" s="193"/>
      <c r="O100" s="19"/>
      <c r="P100" s="19"/>
    </row>
    <row r="101" spans="1:16" ht="14.25" customHeight="1">
      <c r="A101">
        <f>ROW()-ROW($A$1)</f>
        <v>100</v>
      </c>
      <c r="B101" t="s">
        <v>1056</v>
      </c>
      <c r="C101" t="n">
        <v>1</v>
      </c>
      <c r="D101" t="n">
        <v>133</v>
      </c>
      <c r="E101" s="19" t="str">
        <f aca="1">VLOOKUP(T_Aop[[#This Row],[Id]],T_Aop[],ID_Jezik+10,1)</f>
        <v>dio 40</v>
      </c>
      <c r="F101" t="str">
        <f aca="1">REPT("  ",T_Aop[[#This Row],[Aop nivo]])&amp;VLOOKUP(T_Aop[[#This Row],[Id]],T_Aop[],ID_Jezik+6,1)</f>
        <v>  I DUGOROČNA REZERVISANJA (134 do 136)</v>
      </c>
      <c r="G101" s="215" t="s">
        <v>1211</v>
      </c>
      <c r="H101" s="222" t="s">
        <v>1212</v>
      </c>
      <c r="I101" s="225" t="s">
        <v>1213</v>
      </c>
      <c r="J101" s="281" t="s">
        <v>1214</v>
      </c>
      <c r="K101" s="287" t="s">
        <v>1215</v>
      </c>
      <c r="L101" s="209" t="s">
        <v>1216</v>
      </c>
      <c r="M101" s="227" t="s">
        <v>1217</v>
      </c>
      <c r="N101" s="193" t="s">
        <v>1218</v>
      </c>
      <c r="O101" s="19"/>
      <c r="P101" s="19"/>
    </row>
    <row r="102" spans="1:16" ht="14.25" customHeight="1">
      <c r="A102">
        <f>ROW()-ROW($A$1)</f>
        <v>101</v>
      </c>
      <c r="B102" t="s">
        <v>1056</v>
      </c>
      <c r="C102" t="n">
        <v>2</v>
      </c>
      <c r="D102" t="n">
        <v>134</v>
      </c>
      <c r="E102" s="569">
        <f aca="1">VLOOKUP(T_Aop[[#This Row],[Id]],T_Aop[],ID_Jezik+10,1)</f>
        <v>400</v>
      </c>
      <c r="F102" t="str">
        <f aca="1">REPT("  ",T_Aop[[#This Row],[Aop nivo]])&amp;VLOOKUP(T_Aop[[#This Row],[Id]],T_Aop[],ID_Jezik+6,1)</f>
        <v>    1. Rezervisanja za troškove u garantnom roku</v>
      </c>
      <c r="G102" s="222" t="s">
        <v>1219</v>
      </c>
      <c r="H102" s="222" t="s">
        <v>1220</v>
      </c>
      <c r="I102" s="225" t="s">
        <v>1221</v>
      </c>
      <c r="J102" s="281" t="s">
        <v>1222</v>
      </c>
      <c r="K102" s="287" t="n">
        <v>400</v>
      </c>
      <c r="L102" s="209" t="n">
        <v>400</v>
      </c>
      <c r="M102" s="227" t="n">
        <v>400</v>
      </c>
      <c r="N102" s="193" t="n">
        <v>400</v>
      </c>
      <c r="O102" s="19"/>
      <c r="P102" s="19"/>
    </row>
    <row r="103" spans="1:16" ht="14.25" customHeight="1">
      <c r="A103">
        <f>ROW()-ROW($A$1)</f>
        <v>102</v>
      </c>
      <c r="B103" t="s">
        <v>1056</v>
      </c>
      <c r="C103" t="n">
        <v>2</v>
      </c>
      <c r="D103" t="n">
        <v>135</v>
      </c>
      <c r="E103" s="569">
        <f aca="1">VLOOKUP(T_Aop[[#This Row],[Id]],T_Aop[],ID_Jezik+10,1)</f>
        <v>404</v>
      </c>
      <c r="F103" t="str">
        <f aca="1">REPT("  ",T_Aop[[#This Row],[Aop nivo]])&amp;VLOOKUP(T_Aop[[#This Row],[Id]],T_Aop[],ID_Jezik+6,1)</f>
        <v>    2. Rezervisanja za naknade i beneficije zaposlenih</v>
      </c>
      <c r="G103" s="222" t="s">
        <v>1223</v>
      </c>
      <c r="H103" s="222" t="s">
        <v>1224</v>
      </c>
      <c r="I103" s="225" t="s">
        <v>1225</v>
      </c>
      <c r="J103" s="281" t="s">
        <v>1226</v>
      </c>
      <c r="K103" s="287" t="n">
        <v>404</v>
      </c>
      <c r="L103" s="209" t="n">
        <v>404</v>
      </c>
      <c r="M103" s="227" t="n">
        <v>404</v>
      </c>
      <c r="N103" s="193" t="n">
        <v>404</v>
      </c>
      <c r="O103" s="19"/>
      <c r="P103" s="19"/>
    </row>
    <row r="104" spans="1:16" ht="14.25" customHeight="1">
      <c r="A104">
        <f>ROW()-ROW($A$1)</f>
        <v>103</v>
      </c>
      <c r="B104" t="s">
        <v>1056</v>
      </c>
      <c r="C104" t="n">
        <v>2</v>
      </c>
      <c r="D104" t="n">
        <v>136</v>
      </c>
      <c r="E104" s="19" t="str">
        <f aca="1">VLOOKUP(T_Aop[[#This Row],[Id]],T_Aop[],ID_Jezik+10,1)</f>
        <v>401, 402, 403, dio 409</v>
      </c>
      <c r="F104" t="str">
        <f aca="1">REPT("  ",T_Aop[[#This Row],[Aop nivo]])&amp;VLOOKUP(T_Aop[[#This Row],[Id]],T_Aop[],ID_Jezik+6,1)</f>
        <v>    3. Ostala dugoročna rezervisanja</v>
      </c>
      <c r="G104" s="222" t="s">
        <v>1227</v>
      </c>
      <c r="H104" s="222" t="s">
        <v>1228</v>
      </c>
      <c r="I104" s="225" t="s">
        <v>1229</v>
      </c>
      <c r="J104" s="281" t="s">
        <v>1230</v>
      </c>
      <c r="K104" s="287" t="s">
        <v>1231</v>
      </c>
      <c r="L104" s="209" t="s">
        <v>1232</v>
      </c>
      <c r="M104" s="227" t="s">
        <v>1233</v>
      </c>
      <c r="N104" s="193" t="s">
        <v>1234</v>
      </c>
      <c r="O104" s="19" t="n">
        <v>1</v>
      </c>
      <c r="P104" s="19"/>
    </row>
    <row r="105" spans="1:16" ht="14.25" customHeight="1">
      <c r="A105">
        <f>ROW()-ROW($A$1)</f>
        <v>104</v>
      </c>
      <c r="B105" t="s">
        <v>1056</v>
      </c>
      <c r="C105" t="n">
        <v>1</v>
      </c>
      <c r="D105" t="n">
        <v>137</v>
      </c>
      <c r="E105" s="19" t="str">
        <f aca="1">VLOOKUP(T_Aop[[#This Row],[Id]],T_Aop[],ID_Jezik+10,1)</f>
        <v> </v>
      </c>
      <c r="F105" t="str">
        <f aca="1">REPT("  ",T_Aop[[#This Row],[Aop nivo]])&amp;VLOOKUP(T_Aop[[#This Row],[Id]],T_Aop[],ID_Jezik+6,1)</f>
        <v>  II DUGOROČNE OBAVEZE (138 do 144)</v>
      </c>
      <c r="G105" s="222" t="s">
        <v>1235</v>
      </c>
      <c r="H105" s="222" t="s">
        <v>1236</v>
      </c>
      <c r="I105" s="225" t="s">
        <v>1237</v>
      </c>
      <c r="J105" s="281" t="s">
        <v>1238</v>
      </c>
      <c r="K105" s="287" t="s">
        <v>50</v>
      </c>
      <c r="L105" s="209" t="s">
        <v>50</v>
      </c>
      <c r="M105" s="227" t="s">
        <v>50</v>
      </c>
      <c r="N105" s="193"/>
      <c r="O105" s="19" t="n">
        <v>1</v>
      </c>
      <c r="P105" s="19"/>
    </row>
    <row r="106" spans="1:16" ht="14.25" customHeight="1">
      <c r="A106">
        <f>ROW()-ROW($A$1)</f>
        <v>105</v>
      </c>
      <c r="B106" t="s">
        <v>1056</v>
      </c>
      <c r="C106" t="n">
        <v>2</v>
      </c>
      <c r="D106" t="n">
        <v>138</v>
      </c>
      <c r="E106" s="569">
        <f aca="1">VLOOKUP(T_Aop[[#This Row],[Id]],T_Aop[],ID_Jezik+10,1)</f>
        <v>411</v>
      </c>
      <c r="F106" t="str">
        <f aca="1">REPT("  ",T_Aop[[#This Row],[Aop nivo]])&amp;VLOOKUP(T_Aop[[#This Row],[Id]],T_Aop[],ID_Jezik+6,1)</f>
        <v>    1. Obaveze prema povezanim pravnim licima</v>
      </c>
      <c r="G106" s="222" t="s">
        <v>1239</v>
      </c>
      <c r="H106" s="222" t="s">
        <v>1240</v>
      </c>
      <c r="I106" s="225" t="s">
        <v>1241</v>
      </c>
      <c r="J106" s="281" t="s">
        <v>1242</v>
      </c>
      <c r="K106" s="287" t="n">
        <v>411</v>
      </c>
      <c r="L106" s="209" t="n">
        <v>411</v>
      </c>
      <c r="M106" s="227" t="n">
        <v>411</v>
      </c>
      <c r="N106" s="193" t="n">
        <v>411</v>
      </c>
      <c r="O106" s="19"/>
      <c r="P106" s="19"/>
    </row>
    <row r="107" spans="1:16" ht="14.25" customHeight="1">
      <c r="A107">
        <f>ROW()-ROW($A$1)</f>
        <v>106</v>
      </c>
      <c r="B107" t="s">
        <v>1056</v>
      </c>
      <c r="C107" t="n">
        <v>2</v>
      </c>
      <c r="D107" t="n">
        <v>139</v>
      </c>
      <c r="E107" s="569">
        <f aca="1">VLOOKUP(T_Aop[[#This Row],[Id]],T_Aop[],ID_Jezik+10,1)</f>
        <v>413</v>
      </c>
      <c r="F107" t="str">
        <f aca="1">REPT("  ",T_Aop[[#This Row],[Aop nivo]])&amp;VLOOKUP(T_Aop[[#This Row],[Id]],T_Aop[],ID_Jezik+6,1)</f>
        <v>    2. Dugoročni krediti u zemlji</v>
      </c>
      <c r="G107" s="222" t="s">
        <v>1243</v>
      </c>
      <c r="H107" s="222" t="s">
        <v>1244</v>
      </c>
      <c r="I107" s="225" t="s">
        <v>1245</v>
      </c>
      <c r="J107" s="281" t="s">
        <v>1246</v>
      </c>
      <c r="K107" s="287" t="n">
        <v>413</v>
      </c>
      <c r="L107" s="209" t="n">
        <v>413</v>
      </c>
      <c r="M107" s="227" t="n">
        <v>413</v>
      </c>
      <c r="N107" s="193" t="n">
        <v>413</v>
      </c>
      <c r="O107" s="19"/>
      <c r="P107" s="19"/>
    </row>
    <row r="108" spans="1:16" ht="14.25" customHeight="1">
      <c r="A108">
        <f>ROW()-ROW($A$1)</f>
        <v>107</v>
      </c>
      <c r="B108" t="s">
        <v>1056</v>
      </c>
      <c r="C108" t="n">
        <v>2</v>
      </c>
      <c r="D108" t="n">
        <v>140</v>
      </c>
      <c r="E108" s="569">
        <f aca="1">VLOOKUP(T_Aop[[#This Row],[Id]],T_Aop[],ID_Jezik+10,1)</f>
        <v>414</v>
      </c>
      <c r="F108" t="str">
        <f aca="1">REPT("  ",T_Aop[[#This Row],[Aop nivo]])&amp;VLOOKUP(T_Aop[[#This Row],[Id]],T_Aop[],ID_Jezik+6,1)</f>
        <v>    3. Dugoročni krediti u inostranstvu</v>
      </c>
      <c r="G108" s="222" t="s">
        <v>1247</v>
      </c>
      <c r="H108" s="222" t="s">
        <v>1248</v>
      </c>
      <c r="I108" s="225" t="s">
        <v>1249</v>
      </c>
      <c r="J108" s="281" t="s">
        <v>1250</v>
      </c>
      <c r="K108" s="287" t="n">
        <v>414</v>
      </c>
      <c r="L108" s="209" t="n">
        <v>414</v>
      </c>
      <c r="M108" s="227" t="n">
        <v>414</v>
      </c>
      <c r="N108" s="193" t="n">
        <v>414</v>
      </c>
      <c r="O108" s="19"/>
      <c r="P108" s="19"/>
    </row>
    <row r="109" spans="1:16" ht="14.25" customHeight="1">
      <c r="A109">
        <f>ROW()-ROW($A$1)</f>
        <v>108</v>
      </c>
      <c r="B109" t="s">
        <v>1056</v>
      </c>
      <c r="C109" t="n">
        <v>2</v>
      </c>
      <c r="D109" t="n">
        <v>141</v>
      </c>
      <c r="E109" s="569">
        <f aca="1">VLOOKUP(T_Aop[[#This Row],[Id]],T_Aop[],ID_Jezik+10,1)</f>
        <v>412</v>
      </c>
      <c r="F109" t="str">
        <f aca="1">REPT("  ",T_Aop[[#This Row],[Aop nivo]])&amp;VLOOKUP(T_Aop[[#This Row],[Id]],T_Aop[],ID_Jezik+6,1)</f>
        <v>    4. Obaveze po emitovanim dužničkim instrumentima</v>
      </c>
      <c r="G109" s="222" t="s">
        <v>1251</v>
      </c>
      <c r="H109" s="222" t="s">
        <v>1252</v>
      </c>
      <c r="I109" s="225" t="s">
        <v>1253</v>
      </c>
      <c r="J109" s="281" t="s">
        <v>1254</v>
      </c>
      <c r="K109" s="287" t="n">
        <v>412</v>
      </c>
      <c r="L109" s="209" t="n">
        <v>412</v>
      </c>
      <c r="M109" s="227" t="n">
        <v>412</v>
      </c>
      <c r="N109" s="193" t="n">
        <v>412</v>
      </c>
      <c r="O109" s="19"/>
      <c r="P109" s="19"/>
    </row>
    <row r="110" spans="1:16" ht="14.25" customHeight="1">
      <c r="A110">
        <f>ROW()-ROW($A$1)</f>
        <v>109</v>
      </c>
      <c r="B110" t="s">
        <v>1056</v>
      </c>
      <c r="C110" t="n">
        <v>2</v>
      </c>
      <c r="D110" t="n">
        <v>142</v>
      </c>
      <c r="E110" s="19" t="str">
        <f aca="1">VLOOKUP(T_Aop[[#This Row],[Id]],T_Aop[],ID_Jezik+10,1)</f>
        <v>415, 416</v>
      </c>
      <c r="F110" t="str">
        <f aca="1">REPT("  ",T_Aop[[#This Row],[Aop nivo]])&amp;VLOOKUP(T_Aop[[#This Row],[Id]],T_Aop[],ID_Jezik+6,1)</f>
        <v>    5. Dugoročne obaveze po lizingu</v>
      </c>
      <c r="G110" s="222" t="s">
        <v>1255</v>
      </c>
      <c r="H110" s="222" t="s">
        <v>1256</v>
      </c>
      <c r="I110" s="225" t="s">
        <v>1257</v>
      </c>
      <c r="J110" s="281" t="s">
        <v>1258</v>
      </c>
      <c r="K110" s="287" t="s">
        <v>1259</v>
      </c>
      <c r="L110" s="209" t="s">
        <v>1259</v>
      </c>
      <c r="M110" s="227" t="s">
        <v>1259</v>
      </c>
      <c r="N110" s="193" t="s">
        <v>1259</v>
      </c>
      <c r="O110" s="19"/>
      <c r="P110" s="19"/>
    </row>
    <row r="111" spans="1:16" ht="14.25" customHeight="1">
      <c r="A111">
        <f>ROW()-ROW($A$1)</f>
        <v>110</v>
      </c>
      <c r="B111" t="s">
        <v>1056</v>
      </c>
      <c r="C111" t="n">
        <v>2</v>
      </c>
      <c r="D111" t="n">
        <v>143</v>
      </c>
      <c r="E111" s="19" t="str">
        <f aca="1">VLOOKUP(T_Aop[[#This Row],[Id]],T_Aop[],ID_Jezik+10,1)</f>
        <v>418</v>
      </c>
      <c r="F111" t="str">
        <f aca="1">REPT("  ",T_Aop[[#This Row],[Aop nivo]])&amp;VLOOKUP(T_Aop[[#This Row],[Id]],T_Aop[],ID_Jezik+6,1)</f>
        <v>    6. Ostale dugoročne finansijske obaveze po amortizovanoj vrijednosti</v>
      </c>
      <c r="G111" s="222" t="s">
        <v>1260</v>
      </c>
      <c r="H111" s="222" t="s">
        <v>1261</v>
      </c>
      <c r="I111" s="225" t="s">
        <v>1262</v>
      </c>
      <c r="J111" s="281" t="s">
        <v>1263</v>
      </c>
      <c r="K111" s="287" t="s">
        <v>1264</v>
      </c>
      <c r="L111" s="209" t="n">
        <v>418</v>
      </c>
      <c r="M111" s="227" t="n">
        <v>418</v>
      </c>
      <c r="N111" s="193" t="n">
        <v>418</v>
      </c>
      <c r="O111" s="19"/>
      <c r="P111" s="19"/>
    </row>
    <row r="112" spans="1:16" ht="14.25" customHeight="1">
      <c r="A112">
        <f>ROW()-ROW($A$1)</f>
        <v>111</v>
      </c>
      <c r="B112" t="s">
        <v>1056</v>
      </c>
      <c r="C112" t="n">
        <v>2</v>
      </c>
      <c r="D112" t="n">
        <v>144</v>
      </c>
      <c r="E112" s="19" t="str">
        <f aca="1">VLOOKUP(T_Aop[[#This Row],[Id]],T_Aop[],ID_Jezik+10,1)</f>
        <v>dio 409, 410, 419</v>
      </c>
      <c r="F112" t="str">
        <f aca="1">REPT("  ",T_Aop[[#This Row],[Aop nivo]])&amp;VLOOKUP(T_Aop[[#This Row],[Id]],T_Aop[],ID_Jezik+6,1)</f>
        <v>    7. Ostale dugoročne obaveze, uključujući razgraničenja</v>
      </c>
      <c r="G112" s="222" t="s">
        <v>1265</v>
      </c>
      <c r="H112" s="222" t="s">
        <v>1266</v>
      </c>
      <c r="I112" s="225" t="s">
        <v>1267</v>
      </c>
      <c r="J112" s="281" t="s">
        <v>1268</v>
      </c>
      <c r="K112" s="287" t="s">
        <v>1269</v>
      </c>
      <c r="L112" s="209" t="s">
        <v>1270</v>
      </c>
      <c r="M112" s="227" t="s">
        <v>1271</v>
      </c>
      <c r="N112" s="193" t="s">
        <v>1272</v>
      </c>
      <c r="O112" s="19"/>
      <c r="P112" s="19"/>
    </row>
    <row r="113" spans="1:16" ht="14.25" customHeight="1">
      <c r="A113">
        <f>ROW()-ROW($A$1)</f>
        <v>112</v>
      </c>
      <c r="B113" t="s">
        <v>1056</v>
      </c>
      <c r="C113" t="n">
        <v>1</v>
      </c>
      <c r="D113" t="n">
        <v>145</v>
      </c>
      <c r="E113" s="569">
        <f aca="1">VLOOKUP(T_Aop[[#This Row],[Id]],T_Aop[],ID_Jezik+10,1)</f>
        <v>408</v>
      </c>
      <c r="F113" t="str">
        <f aca="1">REPT("  ",T_Aop[[#This Row],[Aop nivo]])&amp;VLOOKUP(T_Aop[[#This Row],[Id]],T_Aop[],ID_Jezik+6,1)</f>
        <v>  III RAZGRANIČENI PRIHODI I PRIMLJENE DONACIJE</v>
      </c>
      <c r="G113" s="215" t="s">
        <v>1273</v>
      </c>
      <c r="H113" s="222" t="s">
        <v>1274</v>
      </c>
      <c r="I113" s="225" t="s">
        <v>1275</v>
      </c>
      <c r="J113" s="281" t="s">
        <v>1276</v>
      </c>
      <c r="K113" s="288" t="n">
        <v>408</v>
      </c>
      <c r="L113" s="206" t="n">
        <v>408</v>
      </c>
      <c r="M113" s="227" t="n">
        <v>408</v>
      </c>
      <c r="N113" s="193" t="n">
        <v>408</v>
      </c>
      <c r="O113" s="19" t="n">
        <v>1</v>
      </c>
      <c r="P113" s="19"/>
    </row>
    <row r="114" spans="1:16" ht="14.25" customHeight="1">
      <c r="A114">
        <f>ROW()-ROW($A$1)</f>
        <v>113</v>
      </c>
      <c r="B114" t="s">
        <v>1056</v>
      </c>
      <c r="C114" t="n">
        <v>1</v>
      </c>
      <c r="D114" t="n">
        <v>146</v>
      </c>
      <c r="E114" s="568">
        <f aca="1">VLOOKUP(T_Aop[[#This Row],[Id]],T_Aop[],ID_Jezik+10,1)</f>
        <v>407</v>
      </c>
      <c r="F114" t="str">
        <f aca="1">REPT("  ",T_Aop[[#This Row],[Aop nivo]])&amp;VLOOKUP(T_Aop[[#This Row],[Id]],T_Aop[],ID_Jezik+6,1)</f>
        <v>  V. ODLOŽENE PORESKE OBAVEZE </v>
      </c>
      <c r="G114" s="215" t="s">
        <v>1277</v>
      </c>
      <c r="H114" s="222" t="s">
        <v>1278</v>
      </c>
      <c r="I114" s="225" t="s">
        <v>1279</v>
      </c>
      <c r="J114" s="281" t="s">
        <v>1280</v>
      </c>
      <c r="K114" s="289" t="n">
        <v>407</v>
      </c>
      <c r="L114" s="210" t="n">
        <v>407</v>
      </c>
      <c r="M114" s="228" t="n">
        <v>407</v>
      </c>
      <c r="N114" s="227" t="n">
        <v>407</v>
      </c>
      <c r="O114" s="19"/>
      <c r="P114" s="19"/>
    </row>
    <row r="115" spans="1:16" ht="14.25" customHeight="1">
      <c r="A115">
        <f>ROW()-ROW($A$1)</f>
        <v>114</v>
      </c>
      <c r="B115" t="s">
        <v>1056</v>
      </c>
      <c r="C115" t="n">
        <v>1</v>
      </c>
      <c r="D115" t="n">
        <v>147</v>
      </c>
      <c r="E115" s="19" t="str">
        <f aca="1">VLOOKUP(T_Aop[[#This Row],[Id]],T_Aop[],ID_Jezik+10,1)</f>
        <v>42 do 49</v>
      </c>
      <c r="F115" t="str">
        <f aca="1">REPT("  ",T_Aop[[#This Row],[Aop nivo]])&amp;VLOOKUP(T_Aop[[#This Row],[Id]],T_Aop[],ID_Jezik+6,1)</f>
        <v>   G. KRATKOROČNE OBAVEZE I KRATKOROČNA REZERVISANJA(148 + 155 + 161 + 162 + 163 + 164 + 165 + 166 + 167 + 168)</v>
      </c>
      <c r="G115" s="215" t="s">
        <v>1281</v>
      </c>
      <c r="H115" s="222" t="s">
        <v>1282</v>
      </c>
      <c r="I115" s="225" t="s">
        <v>1283</v>
      </c>
      <c r="J115" s="281" t="s">
        <v>1284</v>
      </c>
      <c r="K115" s="287" t="s">
        <v>1285</v>
      </c>
      <c r="L115" s="209" t="s">
        <v>1286</v>
      </c>
      <c r="M115" s="227" t="s">
        <v>1287</v>
      </c>
      <c r="N115" s="227" t="s">
        <v>1286</v>
      </c>
      <c r="O115" s="19"/>
      <c r="P115" s="19"/>
    </row>
    <row r="116" spans="1:16" ht="14.25" customHeight="1">
      <c r="A116">
        <f>ROW()-ROW($A$1)</f>
        <v>115</v>
      </c>
      <c r="B116" t="s">
        <v>1056</v>
      </c>
      <c r="C116" t="n">
        <v>2</v>
      </c>
      <c r="D116" t="n">
        <v>148</v>
      </c>
      <c r="E116" s="569">
        <f aca="1">VLOOKUP(T_Aop[[#This Row],[Id]],T_Aop[],ID_Jezik+10,1)</f>
        <v>42</v>
      </c>
      <c r="F116" t="str">
        <f aca="1">REPT("  ",T_Aop[[#This Row],[Aop nivo]])&amp;VLOOKUP(T_Aop[[#This Row],[Id]],T_Aop[],ID_Jezik+6,1)</f>
        <v>    1. Kratkoročne finansijske obaveze (149 do 154)</v>
      </c>
      <c r="G116" s="222" t="s">
        <v>1288</v>
      </c>
      <c r="H116" s="222" t="s">
        <v>1289</v>
      </c>
      <c r="I116" s="225" t="s">
        <v>1290</v>
      </c>
      <c r="J116" s="281" t="s">
        <v>1291</v>
      </c>
      <c r="K116" s="287" t="n">
        <v>42</v>
      </c>
      <c r="L116" s="209" t="n">
        <v>42</v>
      </c>
      <c r="M116" s="227" t="n">
        <v>42</v>
      </c>
      <c r="N116" s="227" t="n">
        <v>42</v>
      </c>
      <c r="O116" s="19"/>
      <c r="P116" s="19"/>
    </row>
    <row r="117" spans="1:16" ht="14.25" customHeight="1">
      <c r="A117">
        <f>ROW()-ROW($A$1)</f>
        <v>116</v>
      </c>
      <c r="B117" t="s">
        <v>1056</v>
      </c>
      <c r="C117" t="n">
        <v>3</v>
      </c>
      <c r="D117" t="n">
        <v>149</v>
      </c>
      <c r="E117" s="569">
        <f aca="1">VLOOKUP(T_Aop[[#This Row],[Id]],T_Aop[],ID_Jezik+10,1)</f>
        <v>420</v>
      </c>
      <c r="F117" t="str">
        <f aca="1">REPT("  ",T_Aop[[#This Row],[Aop nivo]])&amp;VLOOKUP(T_Aop[[#This Row],[Id]],T_Aop[],ID_Jezik+6,1)</f>
        <v>      1.1. Kratkoročne finansijske obaveze prema povezanim pravnim licima</v>
      </c>
      <c r="G117" s="222" t="s">
        <v>1292</v>
      </c>
      <c r="H117" s="222" t="s">
        <v>1293</v>
      </c>
      <c r="I117" s="225" t="s">
        <v>1294</v>
      </c>
      <c r="J117" s="281" t="s">
        <v>1295</v>
      </c>
      <c r="K117" s="287" t="n">
        <v>420</v>
      </c>
      <c r="L117" s="209" t="n">
        <v>420</v>
      </c>
      <c r="M117" s="227" t="n">
        <v>420</v>
      </c>
      <c r="N117" s="227" t="n">
        <v>420</v>
      </c>
      <c r="O117" s="19"/>
      <c r="P117" s="19"/>
    </row>
    <row r="118" spans="1:16" ht="14.25" customHeight="1">
      <c r="A118">
        <f>ROW()-ROW($A$1)</f>
        <v>117</v>
      </c>
      <c r="B118" t="s">
        <v>1056</v>
      </c>
      <c r="C118" t="n">
        <v>3</v>
      </c>
      <c r="D118" t="n">
        <v>150</v>
      </c>
      <c r="E118" s="19" t="str">
        <f aca="1">VLOOKUP(T_Aop[[#This Row],[Id]],T_Aop[],ID_Jezik+10,1)</f>
        <v>421 do 424</v>
      </c>
      <c r="F118" t="str">
        <f aca="1">REPT("  ",T_Aop[[#This Row],[Aop nivo]])&amp;VLOOKUP(T_Aop[[#This Row],[Id]],T_Aop[],ID_Jezik+6,1)</f>
        <v>      1.2. Kratkoročni krediti i obaveze po emitovanim kratkoročnim hartijama od vrijednosti</v>
      </c>
      <c r="G118" s="222" t="s">
        <v>1296</v>
      </c>
      <c r="H118" s="222" t="s">
        <v>1297</v>
      </c>
      <c r="I118" s="225" t="s">
        <v>1298</v>
      </c>
      <c r="J118" s="281" t="s">
        <v>1299</v>
      </c>
      <c r="K118" s="287" t="s">
        <v>1300</v>
      </c>
      <c r="L118" s="209" t="s">
        <v>1301</v>
      </c>
      <c r="M118" s="227" t="s">
        <v>1302</v>
      </c>
      <c r="N118" s="227" t="s">
        <v>1301</v>
      </c>
      <c r="O118" s="19"/>
      <c r="P118" s="19"/>
    </row>
    <row r="119" spans="1:16" ht="14.25" customHeight="1">
      <c r="A119">
        <f>ROW()-ROW($A$1)</f>
        <v>118</v>
      </c>
      <c r="B119" t="s">
        <v>1056</v>
      </c>
      <c r="C119" t="n">
        <v>3</v>
      </c>
      <c r="D119" t="n">
        <v>151</v>
      </c>
      <c r="E119" s="19" t="str">
        <f aca="1">VLOOKUP(T_Aop[[#This Row],[Id]],T_Aop[],ID_Jezik+10,1)</f>
        <v>425 i 426</v>
      </c>
      <c r="F119" t="str">
        <f aca="1">REPT("  ",T_Aop[[#This Row],[Aop nivo]])&amp;VLOOKUP(T_Aop[[#This Row],[Id]],T_Aop[],ID_Jezik+6,1)</f>
        <v>      1.3. Kratkoročne obaveze po lizingu</v>
      </c>
      <c r="G119" s="222" t="s">
        <v>1303</v>
      </c>
      <c r="H119" s="222" t="s">
        <v>1304</v>
      </c>
      <c r="I119" s="225" t="s">
        <v>1305</v>
      </c>
      <c r="J119" s="281" t="s">
        <v>1306</v>
      </c>
      <c r="K119" s="287" t="s">
        <v>1307</v>
      </c>
      <c r="L119" s="209" t="s">
        <v>1308</v>
      </c>
      <c r="M119" s="227" t="s">
        <v>1309</v>
      </c>
      <c r="N119" s="227" t="s">
        <v>1308</v>
      </c>
      <c r="O119" s="19"/>
      <c r="P119" s="19"/>
    </row>
    <row r="120" spans="1:16" ht="14.25" customHeight="1">
      <c r="A120">
        <f>ROW()-ROW($A$1)</f>
        <v>119</v>
      </c>
      <c r="B120" t="s">
        <v>1056</v>
      </c>
      <c r="C120" t="n">
        <v>3</v>
      </c>
      <c r="D120" t="n">
        <v>152</v>
      </c>
      <c r="E120" s="569">
        <f aca="1">VLOOKUP(T_Aop[[#This Row],[Id]],T_Aop[],ID_Jezik+10,1)</f>
        <v>427</v>
      </c>
      <c r="F120" t="str">
        <f aca="1">REPT("  ",T_Aop[[#This Row],[Aop nivo]])&amp;VLOOKUP(T_Aop[[#This Row],[Id]],T_Aop[],ID_Jezik+6,1)</f>
        <v>      1.4. Kratkoročne obaveze po fer vrijednosti kroz bilans uspjeha</v>
      </c>
      <c r="G120" s="222" t="s">
        <v>1310</v>
      </c>
      <c r="H120" s="222" t="s">
        <v>1311</v>
      </c>
      <c r="I120" s="225" t="s">
        <v>1312</v>
      </c>
      <c r="J120" s="281" t="s">
        <v>1313</v>
      </c>
      <c r="K120" s="287" t="n">
        <v>427</v>
      </c>
      <c r="L120" s="209" t="n">
        <v>427</v>
      </c>
      <c r="M120" s="227" t="n">
        <v>427</v>
      </c>
      <c r="N120" s="227" t="n">
        <v>427</v>
      </c>
      <c r="O120" s="19"/>
      <c r="P120" s="19"/>
    </row>
    <row r="121" spans="1:16" ht="14.25" customHeight="1">
      <c r="A121">
        <f>ROW()-ROW($A$1)</f>
        <v>120</v>
      </c>
      <c r="B121" t="s">
        <v>1056</v>
      </c>
      <c r="C121" t="n">
        <v>3</v>
      </c>
      <c r="D121" t="n">
        <v>153</v>
      </c>
      <c r="E121" s="569">
        <f aca="1">VLOOKUP(T_Aop[[#This Row],[Id]],T_Aop[],ID_Jezik+10,1)</f>
        <v>428</v>
      </c>
      <c r="F121" t="str">
        <f aca="1">REPT("  ",T_Aop[[#This Row],[Aop nivo]])&amp;VLOOKUP(T_Aop[[#This Row],[Id]],T_Aop[],ID_Jezik+6,1)</f>
        <v>      1.5. Derivatne finansijske obaveze</v>
      </c>
      <c r="G121" s="222" t="s">
        <v>1314</v>
      </c>
      <c r="H121" s="222" t="s">
        <v>1315</v>
      </c>
      <c r="I121" s="225" t="s">
        <v>1316</v>
      </c>
      <c r="J121" s="281" t="s">
        <v>1317</v>
      </c>
      <c r="K121" s="287" t="n">
        <v>428</v>
      </c>
      <c r="L121" s="209" t="n">
        <v>428</v>
      </c>
      <c r="M121" s="227" t="n">
        <v>428</v>
      </c>
      <c r="N121" s="227" t="n">
        <v>428</v>
      </c>
      <c r="O121" s="19"/>
      <c r="P121" s="19"/>
    </row>
    <row r="122" spans="1:16" ht="14.25" customHeight="1">
      <c r="A122">
        <f>ROW()-ROW($A$1)</f>
        <v>121</v>
      </c>
      <c r="B122" t="s">
        <v>1056</v>
      </c>
      <c r="C122" t="n">
        <v>3</v>
      </c>
      <c r="D122" t="n">
        <v>154</v>
      </c>
      <c r="E122" s="569">
        <f aca="1">VLOOKUP(T_Aop[[#This Row],[Id]],T_Aop[],ID_Jezik+10,1)</f>
        <v>429</v>
      </c>
      <c r="F122" t="str">
        <f aca="1">REPT("  ",T_Aop[[#This Row],[Aop nivo]])&amp;VLOOKUP(T_Aop[[#This Row],[Id]],T_Aop[],ID_Jezik+6,1)</f>
        <v>      1.6. Ostale obaveze po amortizovanoj vrijednosti</v>
      </c>
      <c r="G122" s="222" t="s">
        <v>1318</v>
      </c>
      <c r="H122" s="222" t="s">
        <v>1319</v>
      </c>
      <c r="I122" s="225" t="s">
        <v>1320</v>
      </c>
      <c r="J122" s="281" t="s">
        <v>1321</v>
      </c>
      <c r="K122" s="287" t="n">
        <v>429</v>
      </c>
      <c r="L122" s="209" t="n">
        <v>429</v>
      </c>
      <c r="M122" s="227" t="n">
        <v>429</v>
      </c>
      <c r="N122" s="227" t="n">
        <v>429</v>
      </c>
      <c r="O122" s="19"/>
      <c r="P122" s="19"/>
    </row>
    <row r="123" spans="1:16" ht="13.50" customHeight="1">
      <c r="A123">
        <f>ROW()-ROW($A$1)</f>
        <v>122</v>
      </c>
      <c r="B123" t="s">
        <v>1056</v>
      </c>
      <c r="C123" t="n">
        <v>2</v>
      </c>
      <c r="D123" t="n">
        <v>155</v>
      </c>
      <c r="E123" s="569">
        <f aca="1">VLOOKUP(T_Aop[[#This Row],[Id]],T_Aop[],ID_Jezik+10,1)</f>
        <v>43</v>
      </c>
      <c r="F123" t="str">
        <f aca="1">REPT("  ",T_Aop[[#This Row],[Aop nivo]])&amp;VLOOKUP(T_Aop[[#This Row],[Id]],T_Aop[],ID_Jezik+6,1)</f>
        <v>    2. Obaveze iz poslovanja (156 do 160)</v>
      </c>
      <c r="G123" s="222" t="s">
        <v>1322</v>
      </c>
      <c r="H123" s="222" t="s">
        <v>1323</v>
      </c>
      <c r="I123" s="225" t="s">
        <v>1324</v>
      </c>
      <c r="J123" s="281" t="s">
        <v>1325</v>
      </c>
      <c r="K123" s="287" t="n">
        <v>43</v>
      </c>
      <c r="L123" s="209" t="n">
        <v>43</v>
      </c>
      <c r="M123" s="227" t="n">
        <v>43</v>
      </c>
      <c r="N123" s="227" t="n">
        <v>43</v>
      </c>
      <c r="O123" s="19"/>
      <c r="P123" s="19"/>
    </row>
    <row r="124" spans="1:16" ht="13.50" customHeight="1">
      <c r="A124">
        <f>ROW()-ROW($A$1)</f>
        <v>123</v>
      </c>
      <c r="B124" t="s">
        <v>1056</v>
      </c>
      <c r="C124" t="n">
        <v>3</v>
      </c>
      <c r="D124" t="n">
        <v>156</v>
      </c>
      <c r="E124" s="19" t="str">
        <f aca="1">VLOOKUP(T_Aop[[#This Row],[Id]],T_Aop[],ID_Jezik+10,1)</f>
        <v>430 i 436</v>
      </c>
      <c r="F124" t="str">
        <f aca="1">REPT("  ",T_Aop[[#This Row],[Aop nivo]])&amp;VLOOKUP(T_Aop[[#This Row],[Id]],T_Aop[],ID_Jezik+6,1)</f>
        <v>      2.1. Primljeni avansi, depoziti i kaucije</v>
      </c>
      <c r="G124" s="222" t="s">
        <v>1326</v>
      </c>
      <c r="H124" s="222" t="s">
        <v>1327</v>
      </c>
      <c r="I124" s="225" t="s">
        <v>1328</v>
      </c>
      <c r="J124" s="281" t="s">
        <v>1329</v>
      </c>
      <c r="K124" s="287" t="s">
        <v>1330</v>
      </c>
      <c r="L124" s="209" t="s">
        <v>1331</v>
      </c>
      <c r="M124" s="227" t="s">
        <v>1332</v>
      </c>
      <c r="N124" s="227" t="s">
        <v>1331</v>
      </c>
      <c r="O124" s="19"/>
      <c r="P124" s="19"/>
    </row>
    <row r="125" spans="1:16" ht="13.50" customHeight="1">
      <c r="A125">
        <f>ROW()-ROW($A$1)</f>
        <v>124</v>
      </c>
      <c r="B125" t="s">
        <v>1056</v>
      </c>
      <c r="C125" t="n">
        <v>3</v>
      </c>
      <c r="D125" t="n">
        <v>157</v>
      </c>
      <c r="E125" s="569">
        <f aca="1">VLOOKUP(T_Aop[[#This Row],[Id]],T_Aop[],ID_Jezik+10,1)</f>
        <v>431</v>
      </c>
      <c r="F125" t="str">
        <f aca="1">REPT("  ",T_Aop[[#This Row],[Aop nivo]])&amp;VLOOKUP(T_Aop[[#This Row],[Id]],T_Aop[],ID_Jezik+6,1)</f>
        <v>      2.2. Dobavljači – povezana pravna lica</v>
      </c>
      <c r="G125" s="222" t="s">
        <v>1333</v>
      </c>
      <c r="H125" s="222" t="s">
        <v>1334</v>
      </c>
      <c r="I125" s="225" t="s">
        <v>1335</v>
      </c>
      <c r="J125" s="281" t="s">
        <v>1336</v>
      </c>
      <c r="K125" s="287" t="n">
        <v>431</v>
      </c>
      <c r="L125" s="209" t="n">
        <v>431</v>
      </c>
      <c r="M125" s="227" t="n">
        <v>431</v>
      </c>
      <c r="N125" s="227" t="n">
        <v>431</v>
      </c>
      <c r="O125" s="19"/>
      <c r="P125" s="19"/>
    </row>
    <row r="126" spans="1:16" ht="13.50" customHeight="1">
      <c r="A126">
        <f>ROW()-ROW($A$1)</f>
        <v>125</v>
      </c>
      <c r="B126" t="s">
        <v>1056</v>
      </c>
      <c r="C126" t="n">
        <v>3</v>
      </c>
      <c r="D126" t="n">
        <v>158</v>
      </c>
      <c r="E126" s="19" t="str">
        <f aca="1">VLOOKUP(T_Aop[[#This Row],[Id]],T_Aop[],ID_Jezik+10,1)</f>
        <v>432, 433, 434</v>
      </c>
      <c r="F126" t="str">
        <f aca="1">REPT("  ",T_Aop[[#This Row],[Aop nivo]])&amp;VLOOKUP(T_Aop[[#This Row],[Id]],T_Aop[],ID_Jezik+6,1)</f>
        <v>      2.3. Dobavljači u zemlji</v>
      </c>
      <c r="G126" s="222" t="s">
        <v>1337</v>
      </c>
      <c r="H126" s="222" t="s">
        <v>1338</v>
      </c>
      <c r="I126" s="225" t="s">
        <v>1339</v>
      </c>
      <c r="J126" s="281" t="s">
        <v>1340</v>
      </c>
      <c r="K126" s="287" t="s">
        <v>1341</v>
      </c>
      <c r="L126" s="209" t="s">
        <v>1341</v>
      </c>
      <c r="M126" s="227" t="s">
        <v>1341</v>
      </c>
      <c r="N126" s="227" t="s">
        <v>1341</v>
      </c>
      <c r="O126" s="19"/>
      <c r="P126" s="19"/>
    </row>
    <row r="127" spans="1:16" ht="13.50" customHeight="1">
      <c r="A127">
        <f>ROW()-ROW($A$1)</f>
        <v>126</v>
      </c>
      <c r="B127" t="s">
        <v>1056</v>
      </c>
      <c r="C127" t="n">
        <v>3</v>
      </c>
      <c r="D127" t="n">
        <v>159</v>
      </c>
      <c r="E127" s="569">
        <f aca="1">VLOOKUP(T_Aop[[#This Row],[Id]],T_Aop[],ID_Jezik+10,1)</f>
        <v>435</v>
      </c>
      <c r="F127" t="str">
        <f aca="1">REPT("  ",T_Aop[[#This Row],[Aop nivo]])&amp;VLOOKUP(T_Aop[[#This Row],[Id]],T_Aop[],ID_Jezik+6,1)</f>
        <v>      2.4. Dobavljači iz inostranstva</v>
      </c>
      <c r="G127" s="222" t="s">
        <v>1342</v>
      </c>
      <c r="H127" s="222" t="s">
        <v>1343</v>
      </c>
      <c r="I127" s="225" t="s">
        <v>1344</v>
      </c>
      <c r="J127" s="281" t="s">
        <v>1345</v>
      </c>
      <c r="K127" s="287" t="n">
        <v>435</v>
      </c>
      <c r="L127" s="209" t="n">
        <v>435</v>
      </c>
      <c r="M127" s="227" t="n">
        <v>435</v>
      </c>
      <c r="N127" s="227" t="n">
        <v>435</v>
      </c>
      <c r="O127" s="19"/>
      <c r="P127" s="19"/>
    </row>
    <row r="128" spans="1:16" ht="13.50" customHeight="1">
      <c r="A128">
        <f>ROW()-ROW($A$1)</f>
        <v>127</v>
      </c>
      <c r="B128" t="s">
        <v>1056</v>
      </c>
      <c r="C128" t="n">
        <v>3</v>
      </c>
      <c r="D128" t="n">
        <v>160</v>
      </c>
      <c r="E128" s="19" t="str">
        <f aca="1">VLOOKUP(T_Aop[[#This Row],[Id]],T_Aop[],ID_Jezik+10,1)</f>
        <v>437, 439</v>
      </c>
      <c r="F128" t="str">
        <f aca="1">REPT("  ",T_Aop[[#This Row],[Aop nivo]])&amp;VLOOKUP(T_Aop[[#This Row],[Id]],T_Aop[],ID_Jezik+6,1)</f>
        <v>      2.5. Ostale obaveze iz poslovanja</v>
      </c>
      <c r="G128" s="222" t="s">
        <v>1346</v>
      </c>
      <c r="H128" s="222" t="s">
        <v>1347</v>
      </c>
      <c r="I128" s="225" t="s">
        <v>1348</v>
      </c>
      <c r="J128" s="281" t="s">
        <v>1349</v>
      </c>
      <c r="K128" s="287" t="s">
        <v>1350</v>
      </c>
      <c r="L128" s="209" t="s">
        <v>1350</v>
      </c>
      <c r="M128" s="227" t="s">
        <v>1350</v>
      </c>
      <c r="N128" s="227" t="s">
        <v>1351</v>
      </c>
      <c r="O128" s="19"/>
      <c r="P128" s="19"/>
    </row>
    <row r="129" spans="1:16" ht="13.50" customHeight="1">
      <c r="A129">
        <f>ROW()-ROW($A$1)</f>
        <v>128</v>
      </c>
      <c r="B129" t="s">
        <v>1056</v>
      </c>
      <c r="C129" t="n">
        <v>2</v>
      </c>
      <c r="D129" t="n">
        <v>161</v>
      </c>
      <c r="E129" s="19" t="str">
        <f aca="1">VLOOKUP(T_Aop[[#This Row],[Id]],T_Aop[],ID_Jezik+10,1)</f>
        <v>440 do 449</v>
      </c>
      <c r="F129" t="str">
        <f aca="1">REPT("  ",T_Aop[[#This Row],[Aop nivo]])&amp;VLOOKUP(T_Aop[[#This Row],[Id]],T_Aop[],ID_Jezik+6,1)</f>
        <v>    3. Obaveze iz specifičnih poslova</v>
      </c>
      <c r="G129" s="222" t="s">
        <v>1352</v>
      </c>
      <c r="H129" s="222" t="s">
        <v>1353</v>
      </c>
      <c r="I129" s="225" t="s">
        <v>1354</v>
      </c>
      <c r="J129" s="281" t="s">
        <v>1355</v>
      </c>
      <c r="K129" s="287" t="s">
        <v>1356</v>
      </c>
      <c r="L129" s="209" t="s">
        <v>1357</v>
      </c>
      <c r="M129" s="227" t="s">
        <v>1358</v>
      </c>
      <c r="N129" s="227" t="s">
        <v>1357</v>
      </c>
      <c r="O129" s="19"/>
      <c r="P129" s="19"/>
    </row>
    <row r="130" spans="1:16" ht="13.50" customHeight="1">
      <c r="A130">
        <f>ROW()-ROW($A$1)</f>
        <v>129</v>
      </c>
      <c r="B130" t="s">
        <v>1056</v>
      </c>
      <c r="C130" t="n">
        <v>2</v>
      </c>
      <c r="D130" t="n">
        <v>162</v>
      </c>
      <c r="E130" s="19" t="str">
        <f aca="1">VLOOKUP(T_Aop[[#This Row],[Id]],T_Aop[],ID_Jezik+10,1)</f>
        <v>450 do 458</v>
      </c>
      <c r="F130" t="str">
        <f aca="1">REPT("  ",T_Aop[[#This Row],[Aop nivo]])&amp;VLOOKUP(T_Aop[[#This Row],[Id]],T_Aop[],ID_Jezik+6,1)</f>
        <v>    4. Obaveze za plate i naknade plata</v>
      </c>
      <c r="G130" s="222" t="s">
        <v>1359</v>
      </c>
      <c r="H130" s="222" t="s">
        <v>1360</v>
      </c>
      <c r="I130" s="225" t="s">
        <v>1361</v>
      </c>
      <c r="J130" s="281" t="s">
        <v>1362</v>
      </c>
      <c r="K130" s="287" t="s">
        <v>1363</v>
      </c>
      <c r="L130" s="209" t="s">
        <v>1364</v>
      </c>
      <c r="M130" s="227" t="s">
        <v>1365</v>
      </c>
      <c r="N130" s="227" t="s">
        <v>1364</v>
      </c>
      <c r="O130" s="19"/>
      <c r="P130" s="19"/>
    </row>
    <row r="131" spans="1:16" ht="13.50" customHeight="1">
      <c r="A131">
        <f>ROW()-ROW($A$1)</f>
        <v>130</v>
      </c>
      <c r="B131" t="s">
        <v>1056</v>
      </c>
      <c r="C131" t="n">
        <v>2</v>
      </c>
      <c r="D131" t="n">
        <v>163</v>
      </c>
      <c r="E131" s="19" t="str">
        <f aca="1">VLOOKUP(T_Aop[[#This Row],[Id]],T_Aop[],ID_Jezik+10,1)</f>
        <v>460 do 469</v>
      </c>
      <c r="F131" t="str">
        <f aca="1">REPT("  ",T_Aop[[#This Row],[Aop nivo]])&amp;VLOOKUP(T_Aop[[#This Row],[Id]],T_Aop[],ID_Jezik+6,1)</f>
        <v>    5. Ostale obaveze</v>
      </c>
      <c r="G131" s="222" t="s">
        <v>1366</v>
      </c>
      <c r="H131" s="222" t="s">
        <v>1367</v>
      </c>
      <c r="I131" s="225" t="s">
        <v>1368</v>
      </c>
      <c r="J131" s="281" t="s">
        <v>1369</v>
      </c>
      <c r="K131" s="287" t="s">
        <v>1370</v>
      </c>
      <c r="L131" s="209" t="s">
        <v>1371</v>
      </c>
      <c r="M131" s="227" t="s">
        <v>1372</v>
      </c>
      <c r="N131" s="227" t="s">
        <v>1371</v>
      </c>
      <c r="O131" s="19"/>
      <c r="P131" s="19"/>
    </row>
    <row r="132" spans="1:16" ht="13.50" customHeight="1">
      <c r="A132">
        <f>ROW()-ROW($A$1)</f>
        <v>131</v>
      </c>
      <c r="B132" t="s">
        <v>1056</v>
      </c>
      <c r="C132" t="n">
        <v>2</v>
      </c>
      <c r="D132" t="n">
        <v>164</v>
      </c>
      <c r="E132" s="19" t="str">
        <f aca="1">VLOOKUP(T_Aop[[#This Row],[Id]],T_Aop[],ID_Jezik+10,1)</f>
        <v>470 do 479</v>
      </c>
      <c r="F132" t="str">
        <f aca="1">REPT("  ",T_Aop[[#This Row],[Aop nivo]])&amp;VLOOKUP(T_Aop[[#This Row],[Id]],T_Aop[],ID_Jezik+6,1)</f>
        <v>    6. Porez na dodatu vrijednost</v>
      </c>
      <c r="G132" s="222" t="s">
        <v>1373</v>
      </c>
      <c r="H132" s="222" t="s">
        <v>1374</v>
      </c>
      <c r="I132" s="225" t="s">
        <v>1375</v>
      </c>
      <c r="J132" s="281" t="s">
        <v>1376</v>
      </c>
      <c r="K132" s="287" t="s">
        <v>1377</v>
      </c>
      <c r="L132" s="209" t="s">
        <v>1378</v>
      </c>
      <c r="M132" s="227" t="s">
        <v>1379</v>
      </c>
      <c r="N132" s="227" t="s">
        <v>1378</v>
      </c>
      <c r="O132" s="19"/>
      <c r="P132" s="19"/>
    </row>
    <row r="133" spans="1:16" ht="13.50" customHeight="1">
      <c r="A133">
        <f>ROW()-ROW($A$1)</f>
        <v>132</v>
      </c>
      <c r="B133" t="s">
        <v>1056</v>
      </c>
      <c r="C133" t="n">
        <v>2</v>
      </c>
      <c r="D133" t="n">
        <v>165</v>
      </c>
      <c r="E133" s="19" t="str">
        <f aca="1">VLOOKUP(T_Aop[[#This Row],[Id]],T_Aop[],ID_Jezik+10,1)</f>
        <v>48, osim 481</v>
      </c>
      <c r="F133" t="str">
        <f aca="1">REPT("  ",T_Aop[[#This Row],[Aop nivo]])&amp;VLOOKUP(T_Aop[[#This Row],[Id]],T_Aop[],ID_Jezik+6,1)</f>
        <v>    7. Obaveze za ostale poreze, doprinose i druge dažbine</v>
      </c>
      <c r="G133" s="222" t="s">
        <v>1380</v>
      </c>
      <c r="H133" s="222" t="s">
        <v>1381</v>
      </c>
      <c r="I133" s="225" t="s">
        <v>1382</v>
      </c>
      <c r="J133" s="281" t="s">
        <v>1383</v>
      </c>
      <c r="K133" s="287" t="s">
        <v>1384</v>
      </c>
      <c r="L133" s="209" t="s">
        <v>1385</v>
      </c>
      <c r="M133" s="227" t="s">
        <v>1386</v>
      </c>
      <c r="N133" s="227" t="s">
        <v>1387</v>
      </c>
      <c r="O133" s="19" t="n">
        <v>1</v>
      </c>
      <c r="P133" s="19"/>
    </row>
    <row r="134" spans="1:16" s="268" customFormat="1" ht="13.50" customHeight="1">
      <c r="A134" s="256">
        <f>ROW()-ROW($A$1)</f>
        <v>133</v>
      </c>
      <c r="B134" s="256" t="s">
        <v>1056</v>
      </c>
      <c r="C134" s="256" t="n">
        <v>2</v>
      </c>
      <c r="D134" s="256" t="n">
        <v>166</v>
      </c>
      <c r="E134" s="570">
        <f aca="1">VLOOKUP(T_Aop[[#This Row],[Id]],T_Aop[],ID_Jezik+10,1)</f>
        <v>481</v>
      </c>
      <c r="F134" s="256" t="str">
        <f aca="1">REPT("  ",T_Aop[[#This Row],[Aop nivo]])&amp;VLOOKUP(T_Aop[[#This Row],[Id]],T_Aop[],ID_Jezik+6,1)</f>
        <v>    8. Obaveze za porez na dobit</v>
      </c>
      <c r="G134" s="238" t="s">
        <v>1388</v>
      </c>
      <c r="H134" s="238" t="s">
        <v>1389</v>
      </c>
      <c r="I134" s="258" t="s">
        <v>1390</v>
      </c>
      <c r="J134" s="290" t="s">
        <v>1391</v>
      </c>
      <c r="K134" s="287" t="n">
        <v>481</v>
      </c>
      <c r="L134" s="209" t="n">
        <v>481</v>
      </c>
      <c r="M134" s="227" t="n">
        <v>481</v>
      </c>
      <c r="N134" s="227" t="n">
        <v>481</v>
      </c>
      <c r="O134" s="257" t="n">
        <v>1</v>
      </c>
      <c r="P134" s="257"/>
    </row>
    <row r="135" spans="1:16" ht="13.50" customHeight="1">
      <c r="A135">
        <f>ROW()-ROW($A$1)</f>
        <v>134</v>
      </c>
      <c r="B135" t="s">
        <v>1056</v>
      </c>
      <c r="C135" t="n">
        <v>2</v>
      </c>
      <c r="D135" s="256" t="n">
        <v>167</v>
      </c>
      <c r="E135" s="257" t="str">
        <f aca="1">VLOOKUP(T_Aop[[#This Row],[Id]],T_Aop[],ID_Jezik+10,1)</f>
        <v>49, osim 496</v>
      </c>
      <c r="F135" s="256" t="str">
        <f aca="1">REPT("  ",T_Aop[[#This Row],[Aop nivo]])&amp;VLOOKUP(T_Aop[[#This Row],[Id]],T_Aop[],ID_Jezik+6,1)</f>
        <v>    9. Kratkoročna razgraničenja</v>
      </c>
      <c r="G135" s="222" t="s">
        <v>1392</v>
      </c>
      <c r="H135" s="222" t="s">
        <v>1393</v>
      </c>
      <c r="I135" s="225" t="s">
        <v>1394</v>
      </c>
      <c r="J135" s="281" t="s">
        <v>1395</v>
      </c>
      <c r="K135" s="227" t="s">
        <v>1396</v>
      </c>
      <c r="L135" s="227" t="s">
        <v>1397</v>
      </c>
      <c r="M135" s="227" t="s">
        <v>1398</v>
      </c>
      <c r="N135" s="227" t="s">
        <v>1399</v>
      </c>
      <c r="O135" s="19"/>
      <c r="P135" s="19"/>
    </row>
    <row r="136" spans="1:16" ht="13.50" customHeight="1">
      <c r="A136">
        <f>ROW()-ROW($A$1)</f>
        <v>135</v>
      </c>
      <c r="B136" t="s">
        <v>1056</v>
      </c>
      <c r="C136" t="n">
        <v>2</v>
      </c>
      <c r="D136" t="n">
        <v>168</v>
      </c>
      <c r="E136" s="569">
        <f aca="1">VLOOKUP(T_Aop[[#This Row],[Id]],T_Aop[],ID_Jezik+10,1)</f>
        <v>496</v>
      </c>
      <c r="F136" t="str">
        <f aca="1">REPT("  ",T_Aop[[#This Row],[Aop nivo]])&amp;VLOOKUP(T_Aop[[#This Row],[Id]],T_Aop[],ID_Jezik+6,1)</f>
        <v>    10. Kratkoročna rezervisanja</v>
      </c>
      <c r="G136" s="222" t="s">
        <v>1400</v>
      </c>
      <c r="H136" s="222" t="s">
        <v>1401</v>
      </c>
      <c r="I136" s="225" t="s">
        <v>1402</v>
      </c>
      <c r="J136" s="281" t="s">
        <v>1403</v>
      </c>
      <c r="K136" s="227" t="n">
        <v>496</v>
      </c>
      <c r="L136" s="227" t="n">
        <v>496</v>
      </c>
      <c r="M136" s="227" t="n">
        <v>496</v>
      </c>
      <c r="N136" s="227" t="n">
        <v>496</v>
      </c>
      <c r="O136" s="19"/>
      <c r="P136" s="19"/>
    </row>
    <row r="137" spans="1:16" ht="13.50" customHeight="1">
      <c r="A137">
        <f>ROW()-ROW($A$1)</f>
        <v>136</v>
      </c>
      <c r="B137" t="s">
        <v>1056</v>
      </c>
      <c r="D137"/>
      <c r="E137" s="19"/>
      <c r="F137" t="str">
        <f aca="1">REPT("  ",T_Aop[[#This Row],[Aop nivo]])&amp;VLOOKUP(T_Aop[[#This Row],[Id]],T_Aop[],ID_Jezik+6,1)</f>
        <v/>
      </c>
      <c r="I137" s="225"/>
      <c r="J137" s="225"/>
      <c r="K137" s="227"/>
      <c r="L137" s="227"/>
      <c r="M137" s="227"/>
      <c r="N137" s="227"/>
      <c r="O137" s="19"/>
      <c r="P137" s="19"/>
    </row>
    <row r="138" spans="1:16" ht="13.50" customHeight="1">
      <c r="A138">
        <f>ROW()-ROW($A$1)</f>
        <v>137</v>
      </c>
      <c r="B138" t="s">
        <v>1056</v>
      </c>
      <c r="C138" t="n">
        <v>1</v>
      </c>
      <c r="D138" t="n">
        <v>169</v>
      </c>
      <c r="E138" s="19"/>
      <c r="F138" t="str">
        <f aca="1">REPT("  ",T_Aop[[#This Row],[Aop nivo]])&amp;VLOOKUP(T_Aop[[#This Row],[Id]],T_Aop[],ID_Jezik+6,1)</f>
        <v>  D. BILANSNA PASIVA (101 + 132 + 146 + 147)</v>
      </c>
      <c r="G138" s="215" t="s">
        <v>1404</v>
      </c>
      <c r="H138" s="222" t="s">
        <v>1405</v>
      </c>
      <c r="I138" s="225" t="s">
        <v>1406</v>
      </c>
      <c r="J138" s="281" t="s">
        <v>1407</v>
      </c>
      <c r="K138" s="227"/>
      <c r="L138" s="227"/>
      <c r="M138" s="227"/>
      <c r="N138" s="227"/>
      <c r="O138" s="19"/>
      <c r="P138" s="19"/>
    </row>
    <row r="139" spans="1:16" ht="13.50" customHeight="1">
      <c r="A139">
        <f>ROW()-ROW($A$1)</f>
        <v>138</v>
      </c>
      <c r="B139" s="172" t="s">
        <v>1056</v>
      </c>
      <c r="C139" s="172" t="n">
        <v>1</v>
      </c>
      <c r="D139" s="172" t="n">
        <v>170</v>
      </c>
      <c r="E139" s="19" t="str">
        <f aca="1">VLOOKUP(T_Aop[[#This Row],[Id]],T_Aop[],ID_Jezik+10,1)</f>
        <v>890 do 898</v>
      </c>
      <c r="F139" t="str">
        <f aca="1">REPT("  ",T_Aop[[#This Row],[Aop nivo]])&amp;VLOOKUP(T_Aop[[#This Row],[Id]],T_Aop[],ID_Jezik+6,1)</f>
        <v>  Đ. VANBILANSNA PASIVA</v>
      </c>
      <c r="G139" s="215" t="s">
        <v>1408</v>
      </c>
      <c r="H139" s="222" t="s">
        <v>1409</v>
      </c>
      <c r="I139" s="225" t="s">
        <v>1410</v>
      </c>
      <c r="J139" s="281" t="s">
        <v>1411</v>
      </c>
      <c r="K139" s="227" t="s">
        <v>1412</v>
      </c>
      <c r="L139" s="227" t="s">
        <v>1413</v>
      </c>
      <c r="M139" s="227" t="s">
        <v>1414</v>
      </c>
      <c r="N139" s="227" t="s">
        <v>1413</v>
      </c>
      <c r="O139" s="19"/>
      <c r="P139" s="19"/>
    </row>
    <row r="140" spans="1:16" ht="37.50" customHeight="1">
      <c r="A140">
        <f>ROW()-ROW($A$1)</f>
        <v>139</v>
      </c>
      <c r="B140" t="s">
        <v>297</v>
      </c>
      <c r="C140" t="n">
        <v>1</v>
      </c>
      <c r="D140" t="n">
        <v>201</v>
      </c>
      <c r="E140" s="569">
        <f aca="1">VLOOKUP(T_Aop[[#This Row],[Id]],T_Aop[],ID_Jezik+10,1)</f>
        <v>0</v>
      </c>
      <c r="F140" t="str">
        <f aca="1">REPT("  ",T_Aop[[#This Row],[Aop nivo]])&amp;VLOOKUP(T_Aop[[#This Row],[Id]],T_Aop[],ID_Jezik+6,1)</f>
        <v>  A. POSLOVNI PRIHODI I RASHODI
I POSLOVNI PRIHODI 
(202 + 206 + 210 + 214 – 215 + 216 – 217 + 218)</v>
      </c>
      <c r="G140" s="214" t="s">
        <v>1415</v>
      </c>
      <c r="H140" s="222" t="s">
        <v>1416</v>
      </c>
      <c r="I140" s="221" t="s">
        <v>1417</v>
      </c>
      <c r="J140" s="281" t="s">
        <v>1418</v>
      </c>
      <c r="K140" s="287" t="n">
        <v>0</v>
      </c>
      <c r="L140" s="209"/>
      <c r="M140" s="227"/>
      <c r="N140" s="227"/>
      <c r="O140" s="19" t="n">
        <v>1</v>
      </c>
      <c r="P140" s="19"/>
    </row>
    <row r="141" spans="1:16" ht="13.50" customHeight="1">
      <c r="A141">
        <f>ROW()-ROW($A$1)</f>
        <v>140</v>
      </c>
      <c r="B141" t="s">
        <v>297</v>
      </c>
      <c r="C141" t="n">
        <v>2</v>
      </c>
      <c r="D141" t="n">
        <v>202</v>
      </c>
      <c r="E141" s="569">
        <f aca="1">VLOOKUP(T_Aop[[#This Row],[Id]],T_Aop[],ID_Jezik+10,1)</f>
        <v>60</v>
      </c>
      <c r="F141" t="str">
        <f aca="1">REPT("  ",T_Aop[[#This Row],[Aop nivo]])&amp;VLOOKUP(T_Aop[[#This Row],[Id]],T_Aop[],ID_Jezik+6,1)</f>
        <v>    1. Prihodi od prodaje robe (203 do 205)</v>
      </c>
      <c r="G141" s="222" t="s">
        <v>1419</v>
      </c>
      <c r="H141" s="222" t="s">
        <v>1420</v>
      </c>
      <c r="I141" s="229" t="s">
        <v>1421</v>
      </c>
      <c r="J141" s="281" t="s">
        <v>1422</v>
      </c>
      <c r="K141" s="287" t="n">
        <v>60</v>
      </c>
      <c r="L141" s="209" t="n">
        <v>60</v>
      </c>
      <c r="M141" s="227" t="n">
        <v>60</v>
      </c>
      <c r="N141" s="227" t="n">
        <v>60</v>
      </c>
      <c r="O141" s="19" t="n">
        <v>1</v>
      </c>
      <c r="P141" s="19"/>
    </row>
    <row r="142" spans="1:16" ht="13.50" customHeight="1">
      <c r="A142">
        <f>ROW()-ROW($A$1)</f>
        <v>141</v>
      </c>
      <c r="B142" t="s">
        <v>297</v>
      </c>
      <c r="C142" t="n">
        <v>3</v>
      </c>
      <c r="D142" t="n">
        <v>203</v>
      </c>
      <c r="E142" s="19" t="str">
        <f aca="1">VLOOKUP(T_Aop[[#This Row],[Id]],T_Aop[],ID_Jezik+10,1)</f>
        <v>600, dio 605</v>
      </c>
      <c r="F142" t="str">
        <f aca="1">REPT("  ",T_Aop[[#This Row],[Aop nivo]])&amp;VLOOKUP(T_Aop[[#This Row],[Id]],T_Aop[],ID_Jezik+6,1)</f>
        <v>      a) Prihodi od prodaje robe povezanim pravnim licima</v>
      </c>
      <c r="G142" s="222" t="s">
        <v>1423</v>
      </c>
      <c r="H142" s="222" t="s">
        <v>1424</v>
      </c>
      <c r="I142" s="229" t="s">
        <v>1425</v>
      </c>
      <c r="J142" s="281" t="s">
        <v>1426</v>
      </c>
      <c r="K142" s="287" t="s">
        <v>1427</v>
      </c>
      <c r="L142" s="209" t="s">
        <v>1428</v>
      </c>
      <c r="M142" s="227" t="s">
        <v>1429</v>
      </c>
      <c r="N142" s="227" t="s">
        <v>1430</v>
      </c>
      <c r="O142" s="19"/>
      <c r="P142" s="19"/>
    </row>
    <row r="143" spans="1:16" ht="13.50" customHeight="1">
      <c r="A143">
        <f>ROW()-ROW($A$1)</f>
        <v>142</v>
      </c>
      <c r="B143" t="s">
        <v>297</v>
      </c>
      <c r="C143" t="n">
        <v>3</v>
      </c>
      <c r="D143" t="n">
        <v>204</v>
      </c>
      <c r="E143" s="19" t="str">
        <f aca="1">VLOOKUP(T_Aop[[#This Row],[Id]],T_Aop[],ID_Jezik+10,1)</f>
        <v>601, 602, 603,dio 605</v>
      </c>
      <c r="F143" t="str">
        <f aca="1">REPT("  ",T_Aop[[#This Row],[Aop nivo]])&amp;VLOOKUP(T_Aop[[#This Row],[Id]],T_Aop[],ID_Jezik+6,1)</f>
        <v>      b) Prihodi od prodaje robe na domaćem tržištu</v>
      </c>
      <c r="G143" s="222" t="s">
        <v>1431</v>
      </c>
      <c r="H143" s="222" t="s">
        <v>1432</v>
      </c>
      <c r="I143" s="229" t="s">
        <v>1433</v>
      </c>
      <c r="J143" s="281" t="s">
        <v>1434</v>
      </c>
      <c r="K143" s="287" t="s">
        <v>1435</v>
      </c>
      <c r="L143" s="209" t="s">
        <v>1436</v>
      </c>
      <c r="M143" s="227" t="s">
        <v>1437</v>
      </c>
      <c r="N143" s="227" t="s">
        <v>1438</v>
      </c>
      <c r="O143" s="19"/>
      <c r="P143" s="19"/>
    </row>
    <row r="144" spans="1:16" ht="13.50" customHeight="1">
      <c r="A144">
        <f>ROW()-ROW($A$1)</f>
        <v>143</v>
      </c>
      <c r="B144" t="s">
        <v>297</v>
      </c>
      <c r="C144" t="n">
        <v>3</v>
      </c>
      <c r="D144" t="n">
        <v>205</v>
      </c>
      <c r="E144" s="19" t="str">
        <f aca="1">VLOOKUP(T_Aop[[#This Row],[Id]],T_Aop[],ID_Jezik+10,1)</f>
        <v>604, dio 605</v>
      </c>
      <c r="F144" t="str">
        <f aca="1">REPT("  ",T_Aop[[#This Row],[Aop nivo]])&amp;VLOOKUP(T_Aop[[#This Row],[Id]],T_Aop[],ID_Jezik+6,1)</f>
        <v>      c) Prihodi od prodaje robe na inostranom tržištu</v>
      </c>
      <c r="G144" s="222" t="s">
        <v>1439</v>
      </c>
      <c r="H144" s="222" t="s">
        <v>1440</v>
      </c>
      <c r="I144" s="229" t="s">
        <v>1441</v>
      </c>
      <c r="J144" s="281" t="s">
        <v>1442</v>
      </c>
      <c r="K144" s="287" t="s">
        <v>1443</v>
      </c>
      <c r="L144" s="209" t="s">
        <v>1444</v>
      </c>
      <c r="M144" s="227" t="s">
        <v>1445</v>
      </c>
      <c r="N144" s="227" t="s">
        <v>1446</v>
      </c>
      <c r="O144" s="19"/>
      <c r="P144" s="19"/>
    </row>
    <row r="145" spans="1:16" ht="13.50" customHeight="1">
      <c r="A145">
        <f>ROW()-ROW($A$1)</f>
        <v>144</v>
      </c>
      <c r="B145" t="s">
        <v>297</v>
      </c>
      <c r="C145" t="n">
        <v>2</v>
      </c>
      <c r="D145" t="n">
        <v>206</v>
      </c>
      <c r="E145" s="19" t="str">
        <f aca="1">VLOOKUP(T_Aop[[#This Row],[Id]],T_Aop[],ID_Jezik+10,1)</f>
        <v>61</v>
      </c>
      <c r="F145" t="str">
        <f aca="1">REPT("  ",T_Aop[[#This Row],[Aop nivo]])&amp;VLOOKUP(T_Aop[[#This Row],[Id]],T_Aop[],ID_Jezik+6,1)</f>
        <v>    2. Prihodi od prodaje proizvoda (207 do 209)</v>
      </c>
      <c r="G145" s="222" t="s">
        <v>1447</v>
      </c>
      <c r="H145" s="222" t="s">
        <v>1448</v>
      </c>
      <c r="I145" s="229" t="s">
        <v>1449</v>
      </c>
      <c r="J145" s="281" t="s">
        <v>1450</v>
      </c>
      <c r="K145" s="287" t="s">
        <v>1451</v>
      </c>
      <c r="L145" s="209" t="n">
        <v>61</v>
      </c>
      <c r="M145" s="227" t="n">
        <v>61</v>
      </c>
      <c r="N145" s="227" t="n">
        <v>61</v>
      </c>
      <c r="O145" s="19"/>
      <c r="P145" s="19"/>
    </row>
    <row r="146" spans="1:16" ht="13.50" customHeight="1">
      <c r="A146">
        <f>ROW()-ROW($A$1)</f>
        <v>145</v>
      </c>
      <c r="B146" t="s">
        <v>297</v>
      </c>
      <c r="C146" t="n">
        <v>3</v>
      </c>
      <c r="D146" t="n">
        <v>207</v>
      </c>
      <c r="E146" s="19" t="str">
        <f aca="1">VLOOKUP(T_Aop[[#This Row],[Id]],T_Aop[],ID_Jezik+10,1)</f>
        <v>610, dio 615</v>
      </c>
      <c r="F146" t="str">
        <f aca="1">REPT("  ",T_Aop[[#This Row],[Aop nivo]])&amp;VLOOKUP(T_Aop[[#This Row],[Id]],T_Aop[],ID_Jezik+6,1)</f>
        <v>      a) Prihodi od prodaje proizvoda povezanim pravnim licima</v>
      </c>
      <c r="G146" s="222" t="s">
        <v>1452</v>
      </c>
      <c r="H146" s="222" t="s">
        <v>1453</v>
      </c>
      <c r="I146" s="229" t="s">
        <v>1454</v>
      </c>
      <c r="J146" s="281" t="s">
        <v>1455</v>
      </c>
      <c r="K146" s="287" t="s">
        <v>1456</v>
      </c>
      <c r="L146" s="209" t="s">
        <v>1457</v>
      </c>
      <c r="M146" s="227" t="s">
        <v>1458</v>
      </c>
      <c r="N146" s="227" t="s">
        <v>1459</v>
      </c>
      <c r="O146" s="19"/>
      <c r="P146" s="19"/>
    </row>
    <row r="147" spans="1:16" ht="13.50" customHeight="1">
      <c r="A147">
        <f>ROW()-ROW($A$1)</f>
        <v>146</v>
      </c>
      <c r="B147" t="s">
        <v>297</v>
      </c>
      <c r="C147" t="n">
        <v>3</v>
      </c>
      <c r="D147" t="n">
        <v>208</v>
      </c>
      <c r="E147" s="19" t="str">
        <f aca="1">VLOOKUP(T_Aop[[#This Row],[Id]],T_Aop[],ID_Jezik+10,1)</f>
        <v>611, 612, 613, dio 615</v>
      </c>
      <c r="F147" t="str">
        <f aca="1">REPT("  ",T_Aop[[#This Row],[Aop nivo]])&amp;VLOOKUP(T_Aop[[#This Row],[Id]],T_Aop[],ID_Jezik+6,1)</f>
        <v>      b) Prihodi od prodaje proizvoda na domaćem tržištu</v>
      </c>
      <c r="G147" s="222" t="s">
        <v>1460</v>
      </c>
      <c r="H147" s="222" t="s">
        <v>1461</v>
      </c>
      <c r="I147" s="229" t="s">
        <v>1462</v>
      </c>
      <c r="J147" s="281" t="s">
        <v>1463</v>
      </c>
      <c r="K147" s="287" t="s">
        <v>1464</v>
      </c>
      <c r="L147" s="209" t="s">
        <v>1465</v>
      </c>
      <c r="M147" s="227" t="s">
        <v>1466</v>
      </c>
      <c r="N147" s="227" t="s">
        <v>1467</v>
      </c>
      <c r="O147" s="19"/>
      <c r="P147" s="19"/>
    </row>
    <row r="148" spans="1:16" ht="13.50" customHeight="1">
      <c r="A148">
        <f>ROW()-ROW($A$1)</f>
        <v>147</v>
      </c>
      <c r="B148" t="s">
        <v>297</v>
      </c>
      <c r="C148" t="n">
        <v>3</v>
      </c>
      <c r="D148" t="n">
        <v>209</v>
      </c>
      <c r="E148" s="19" t="str">
        <f aca="1">VLOOKUP(T_Aop[[#This Row],[Id]],T_Aop[],ID_Jezik+10,1)</f>
        <v>614, dio 615</v>
      </c>
      <c r="F148" t="str">
        <f aca="1">REPT("  ",T_Aop[[#This Row],[Aop nivo]])&amp;VLOOKUP(T_Aop[[#This Row],[Id]],T_Aop[],ID_Jezik+6,1)</f>
        <v>      c) Prihodi od prodaje proizvoda na inostranom tržištu</v>
      </c>
      <c r="G148" s="222" t="s">
        <v>1468</v>
      </c>
      <c r="H148" s="222" t="s">
        <v>1469</v>
      </c>
      <c r="I148" s="229" t="s">
        <v>1470</v>
      </c>
      <c r="J148" s="281" t="s">
        <v>1471</v>
      </c>
      <c r="K148" s="287" t="s">
        <v>1472</v>
      </c>
      <c r="L148" s="209" t="s">
        <v>1473</v>
      </c>
      <c r="M148" s="227" t="s">
        <v>1474</v>
      </c>
      <c r="N148" s="227" t="s">
        <v>1475</v>
      </c>
      <c r="O148" s="19"/>
      <c r="P148" s="19"/>
    </row>
    <row r="149" spans="1:16" ht="13.50" customHeight="1">
      <c r="A149">
        <f>ROW()-ROW($A$1)</f>
        <v>148</v>
      </c>
      <c r="B149" t="s">
        <v>297</v>
      </c>
      <c r="C149" t="n">
        <v>2</v>
      </c>
      <c r="D149" t="n">
        <v>210</v>
      </c>
      <c r="E149" s="19" t="str">
        <f aca="1">VLOOKUP(T_Aop[[#This Row],[Id]],T_Aop[],ID_Jezik+10,1)</f>
        <v>62</v>
      </c>
      <c r="F149" t="str">
        <f aca="1">REPT("  ",T_Aop[[#This Row],[Aop nivo]])&amp;VLOOKUP(T_Aop[[#This Row],[Id]],T_Aop[],ID_Jezik+6,1)</f>
        <v>     3. Prihodi od pruženih usluga (211 do 213)</v>
      </c>
      <c r="G149" s="222" t="s">
        <v>1476</v>
      </c>
      <c r="H149" s="222" t="s">
        <v>1477</v>
      </c>
      <c r="I149" s="229" t="s">
        <v>1478</v>
      </c>
      <c r="J149" s="281" t="s">
        <v>1479</v>
      </c>
      <c r="K149" s="287" t="s">
        <v>1480</v>
      </c>
      <c r="L149" s="209" t="n">
        <v>62</v>
      </c>
      <c r="M149" s="227" t="n">
        <v>62</v>
      </c>
      <c r="N149" s="227" t="n">
        <v>62</v>
      </c>
      <c r="O149" s="19"/>
      <c r="P149" s="19"/>
    </row>
    <row r="150" spans="1:16" ht="13.50" customHeight="1">
      <c r="A150">
        <f>ROW()-ROW($A$1)</f>
        <v>149</v>
      </c>
      <c r="B150" t="s">
        <v>297</v>
      </c>
      <c r="C150" t="n">
        <v>3</v>
      </c>
      <c r="D150" t="n">
        <v>211</v>
      </c>
      <c r="E150" s="19" t="str">
        <f aca="1">VLOOKUP(T_Aop[[#This Row],[Id]],T_Aop[],ID_Jezik+10,1)</f>
        <v>620, dio 625</v>
      </c>
      <c r="F150" t="str">
        <f aca="1">REPT("  ",T_Aop[[#This Row],[Aop nivo]])&amp;VLOOKUP(T_Aop[[#This Row],[Id]],T_Aop[],ID_Jezik+6,1)</f>
        <v>      a) Prihodi od pruženih usluga povezanim licima</v>
      </c>
      <c r="G150" s="222" t="s">
        <v>1481</v>
      </c>
      <c r="H150" s="222" t="s">
        <v>1482</v>
      </c>
      <c r="I150" s="229" t="s">
        <v>1483</v>
      </c>
      <c r="J150" s="281" t="s">
        <v>1484</v>
      </c>
      <c r="K150" s="287" t="s">
        <v>1485</v>
      </c>
      <c r="L150" s="209" t="s">
        <v>1486</v>
      </c>
      <c r="M150" s="227" t="s">
        <v>1487</v>
      </c>
      <c r="N150" s="227" t="s">
        <v>1488</v>
      </c>
      <c r="O150" s="19"/>
      <c r="P150" s="19"/>
    </row>
    <row r="151" spans="1:16" ht="13.50" customHeight="1">
      <c r="A151">
        <f>ROW()-ROW($A$1)</f>
        <v>150</v>
      </c>
      <c r="B151" t="s">
        <v>297</v>
      </c>
      <c r="C151" t="n">
        <v>3</v>
      </c>
      <c r="D151" t="n">
        <v>212</v>
      </c>
      <c r="E151" s="19" t="str">
        <f aca="1">VLOOKUP(T_Aop[[#This Row],[Id]],T_Aop[],ID_Jezik+10,1)</f>
        <v>621, 622, 623, dio 625</v>
      </c>
      <c r="F151" t="str">
        <f aca="1">REPT("  ",T_Aop[[#This Row],[Aop nivo]])&amp;VLOOKUP(T_Aop[[#This Row],[Id]],T_Aop[],ID_Jezik+6,1)</f>
        <v>      b) Prihodi od pruženih usluga na domaćem tržištu</v>
      </c>
      <c r="G151" s="222" t="s">
        <v>1489</v>
      </c>
      <c r="H151" s="222" t="s">
        <v>1490</v>
      </c>
      <c r="I151" s="229" t="s">
        <v>1491</v>
      </c>
      <c r="J151" s="281" t="s">
        <v>1492</v>
      </c>
      <c r="K151" s="287" t="s">
        <v>1493</v>
      </c>
      <c r="L151" s="209" t="s">
        <v>1494</v>
      </c>
      <c r="M151" s="227" t="s">
        <v>1495</v>
      </c>
      <c r="N151" s="227" t="s">
        <v>1496</v>
      </c>
      <c r="O151" s="19"/>
      <c r="P151" s="19"/>
    </row>
    <row r="152" spans="1:16" ht="13.50" customHeight="1">
      <c r="A152">
        <f>ROW()-ROW($A$1)</f>
        <v>151</v>
      </c>
      <c r="B152" t="s">
        <v>297</v>
      </c>
      <c r="C152" t="n">
        <v>3</v>
      </c>
      <c r="D152" t="n">
        <v>213</v>
      </c>
      <c r="E152" s="19" t="str">
        <f aca="1">VLOOKUP(T_Aop[[#This Row],[Id]],T_Aop[],ID_Jezik+10,1)</f>
        <v>624, dio 625</v>
      </c>
      <c r="F152" t="str">
        <f aca="1">REPT("  ",T_Aop[[#This Row],[Aop nivo]])&amp;VLOOKUP(T_Aop[[#This Row],[Id]],T_Aop[],ID_Jezik+6,1)</f>
        <v>      c) Prihodi od pruženih usluga na inostranom tržištu</v>
      </c>
      <c r="G152" s="222" t="s">
        <v>1497</v>
      </c>
      <c r="H152" s="222" t="s">
        <v>1498</v>
      </c>
      <c r="I152" s="229" t="s">
        <v>1499</v>
      </c>
      <c r="J152" s="281" t="s">
        <v>1500</v>
      </c>
      <c r="K152" s="287" t="s">
        <v>1501</v>
      </c>
      <c r="L152" s="209" t="s">
        <v>1502</v>
      </c>
      <c r="M152" s="227" t="s">
        <v>1503</v>
      </c>
      <c r="N152" s="227" t="s">
        <v>1504</v>
      </c>
      <c r="O152" s="19"/>
      <c r="P152" s="19"/>
    </row>
    <row r="153" spans="1:16" ht="13.50" customHeight="1">
      <c r="A153">
        <f>ROW()-ROW($A$1)</f>
        <v>152</v>
      </c>
      <c r="B153" t="s">
        <v>297</v>
      </c>
      <c r="C153" t="n">
        <v>2</v>
      </c>
      <c r="D153" t="n">
        <v>214</v>
      </c>
      <c r="E153" s="19" t="str">
        <f aca="1">VLOOKUP(T_Aop[[#This Row],[Id]],T_Aop[],ID_Jezik+10,1)</f>
        <v>630</v>
      </c>
      <c r="F153" t="str">
        <f aca="1">REPT("  ",T_Aop[[#This Row],[Aop nivo]])&amp;VLOOKUP(T_Aop[[#This Row],[Id]],T_Aop[],ID_Jezik+6,1)</f>
        <v>    4. Povećanje vrijednosti zaliha učinaka</v>
      </c>
      <c r="G153" s="222" t="s">
        <v>1505</v>
      </c>
      <c r="H153" s="222" t="s">
        <v>1506</v>
      </c>
      <c r="I153" s="229" t="s">
        <v>1507</v>
      </c>
      <c r="J153" s="281" t="s">
        <v>1508</v>
      </c>
      <c r="K153" s="287" t="s">
        <v>1509</v>
      </c>
      <c r="L153" s="209" t="n">
        <v>630</v>
      </c>
      <c r="M153" s="227" t="n">
        <v>630</v>
      </c>
      <c r="N153" s="227" t="n">
        <v>630</v>
      </c>
      <c r="O153" s="19"/>
      <c r="P153" s="19"/>
    </row>
    <row r="154" spans="1:16" ht="13.50" customHeight="1">
      <c r="A154">
        <f>ROW()-ROW($A$1)</f>
        <v>153</v>
      </c>
      <c r="B154" t="s">
        <v>297</v>
      </c>
      <c r="C154" t="n">
        <v>2</v>
      </c>
      <c r="D154" t="n">
        <v>215</v>
      </c>
      <c r="E154" s="19" t="str">
        <f aca="1">VLOOKUP(T_Aop[[#This Row],[Id]],T_Aop[],ID_Jezik+10,1)</f>
        <v>631</v>
      </c>
      <c r="F154" t="str">
        <f aca="1">REPT("  ",T_Aop[[#This Row],[Aop nivo]])&amp;VLOOKUP(T_Aop[[#This Row],[Id]],T_Aop[],ID_Jezik+6,1)</f>
        <v>    5. Smanjenje vrijednosti zaliha učinaka</v>
      </c>
      <c r="G154" s="222" t="s">
        <v>1510</v>
      </c>
      <c r="H154" s="222" t="s">
        <v>1511</v>
      </c>
      <c r="I154" s="229" t="s">
        <v>1512</v>
      </c>
      <c r="J154" s="281" t="s">
        <v>1513</v>
      </c>
      <c r="K154" s="287" t="s">
        <v>1514</v>
      </c>
      <c r="L154" s="209" t="n">
        <v>631</v>
      </c>
      <c r="M154" s="227" t="n">
        <v>631</v>
      </c>
      <c r="N154" s="227" t="n">
        <v>631</v>
      </c>
      <c r="O154" s="19"/>
      <c r="P154" s="19"/>
    </row>
    <row r="155" spans="1:16" ht="12.75" customHeight="1">
      <c r="A155">
        <f>ROW()-ROW($A$1)</f>
        <v>154</v>
      </c>
      <c r="B155" t="s">
        <v>297</v>
      </c>
      <c r="C155" t="n">
        <v>2</v>
      </c>
      <c r="D155" t="n">
        <v>216</v>
      </c>
      <c r="E155" s="19" t="str">
        <f aca="1">VLOOKUP(T_Aop[[#This Row],[Id]],T_Aop[],ID_Jezik+10,1)</f>
        <v>640 i 641</v>
      </c>
      <c r="F155" t="str">
        <f aca="1">REPT("  ",T_Aop[[#This Row],[Aop nivo]])&amp;VLOOKUP(T_Aop[[#This Row],[Id]],T_Aop[],ID_Jezik+6,1)</f>
        <v>    6. Povećanje vrijednosti investicionih nekretnina i bioloških sredstava koja se ne amortizuju</v>
      </c>
      <c r="G155" s="222" t="s">
        <v>1515</v>
      </c>
      <c r="H155" s="222" t="s">
        <v>1516</v>
      </c>
      <c r="I155" s="229" t="s">
        <v>1517</v>
      </c>
      <c r="J155" s="281" t="s">
        <v>1518</v>
      </c>
      <c r="K155" s="287" t="s">
        <v>1519</v>
      </c>
      <c r="L155" s="209" t="s">
        <v>1520</v>
      </c>
      <c r="M155" s="227" t="s">
        <v>1521</v>
      </c>
      <c r="N155" s="227" t="s">
        <v>1520</v>
      </c>
      <c r="O155" s="19"/>
      <c r="P155" s="19"/>
    </row>
    <row r="156" spans="1:16" ht="12.75" customHeight="1">
      <c r="A156">
        <f>ROW()-ROW($A$1)</f>
        <v>155</v>
      </c>
      <c r="B156" t="s">
        <v>297</v>
      </c>
      <c r="C156" t="n">
        <v>2</v>
      </c>
      <c r="D156" t="n">
        <v>217</v>
      </c>
      <c r="E156" s="19" t="str">
        <f aca="1">VLOOKUP(T_Aop[[#This Row],[Id]],T_Aop[],ID_Jezik+10,1)</f>
        <v>642 i 643</v>
      </c>
      <c r="F156" t="str">
        <f aca="1">REPT("  ",T_Aop[[#This Row],[Aop nivo]])&amp;VLOOKUP(T_Aop[[#This Row],[Id]],T_Aop[],ID_Jezik+6,1)</f>
        <v>    7.  Smanjenje vrijednosti investicionih nekretnina i bioloških sredstava koja se ne amortizuju</v>
      </c>
      <c r="G156" s="222" t="s">
        <v>1522</v>
      </c>
      <c r="H156" s="222" t="s">
        <v>1523</v>
      </c>
      <c r="I156" s="229" t="s">
        <v>1524</v>
      </c>
      <c r="J156" s="281" t="s">
        <v>1525</v>
      </c>
      <c r="K156" s="287" t="s">
        <v>1526</v>
      </c>
      <c r="L156" s="209" t="s">
        <v>1527</v>
      </c>
      <c r="M156" s="227" t="s">
        <v>1528</v>
      </c>
      <c r="N156" s="227" t="s">
        <v>1527</v>
      </c>
      <c r="O156" s="19" t="n">
        <v>1</v>
      </c>
      <c r="P156" s="19"/>
    </row>
    <row r="157" spans="1:16" ht="12.75" customHeight="1">
      <c r="A157">
        <f>ROW()-ROW($A$1)</f>
        <v>156</v>
      </c>
      <c r="B157" t="s">
        <v>297</v>
      </c>
      <c r="C157" t="n">
        <v>2</v>
      </c>
      <c r="D157" t="n">
        <v>218</v>
      </c>
      <c r="E157" s="19" t="str">
        <f aca="1">VLOOKUP(T_Aop[[#This Row],[Id]],T_Aop[],ID_Jezik+10,1)</f>
        <v>650 do 659</v>
      </c>
      <c r="F157" t="str">
        <f aca="1">REPT("  ",T_Aop[[#This Row],[Aop nivo]])&amp;VLOOKUP(T_Aop[[#This Row],[Id]],T_Aop[],ID_Jezik+6,1)</f>
        <v>    8. Ostali poslovni prihodi</v>
      </c>
      <c r="G157" s="222" t="s">
        <v>1529</v>
      </c>
      <c r="H157" s="222" t="s">
        <v>1530</v>
      </c>
      <c r="I157" s="229" t="s">
        <v>1531</v>
      </c>
      <c r="J157" s="281" t="s">
        <v>1532</v>
      </c>
      <c r="K157" s="287" t="s">
        <v>1533</v>
      </c>
      <c r="L157" s="209" t="s">
        <v>1534</v>
      </c>
      <c r="M157" s="227" t="s">
        <v>1535</v>
      </c>
      <c r="N157" s="227" t="s">
        <v>1534</v>
      </c>
      <c r="O157" s="19"/>
      <c r="P157" s="19"/>
    </row>
    <row r="158" spans="1:16" ht="12.75" customHeight="1">
      <c r="A158">
        <f>ROW()-ROW($A$1)</f>
        <v>157</v>
      </c>
      <c r="B158" t="s">
        <v>297</v>
      </c>
      <c r="C158" t="n">
        <v>1</v>
      </c>
      <c r="D158" t="n">
        <v>219</v>
      </c>
      <c r="E158" s="19">
        <f aca="1">VLOOKUP(T_Aop[[#This Row],[Id]],T_Aop[],ID_Jezik+10,1)</f>
        <v>0</v>
      </c>
      <c r="F158" t="str">
        <f aca="1">REPT("  ",T_Aop[[#This Row],[Aop nivo]])&amp;VLOOKUP(T_Aop[[#This Row],[Id]],T_Aop[],ID_Jezik+6,1)</f>
        <v>  II  POSLOVNI RASHODI  (220 + 221 + 222 + 223 + 226 + 227 + 234 + 235 + 236)</v>
      </c>
      <c r="G158" s="215" t="s">
        <v>1536</v>
      </c>
      <c r="H158" s="222" t="s">
        <v>1537</v>
      </c>
      <c r="I158" s="229" t="s">
        <v>1538</v>
      </c>
      <c r="J158" s="281" t="s">
        <v>1539</v>
      </c>
      <c r="K158" s="287"/>
      <c r="L158" s="209"/>
      <c r="M158" s="227"/>
      <c r="N158" s="227"/>
      <c r="O158" s="19"/>
      <c r="P158" s="19"/>
    </row>
    <row r="159" spans="1:16" ht="12.75" customHeight="1">
      <c r="A159">
        <f>ROW()-ROW($A$1)</f>
        <v>158</v>
      </c>
      <c r="B159" t="s">
        <v>297</v>
      </c>
      <c r="C159" t="n">
        <v>2</v>
      </c>
      <c r="D159" t="n">
        <v>220</v>
      </c>
      <c r="E159" s="19" t="str">
        <f aca="1">VLOOKUP(T_Aop[[#This Row],[Id]],T_Aop[],ID_Jezik+10,1)</f>
        <v>500 do 502</v>
      </c>
      <c r="F159" t="str">
        <f aca="1">REPT("  ",T_Aop[[#This Row],[Aop nivo]])&amp;VLOOKUP(T_Aop[[#This Row],[Id]],T_Aop[],ID_Jezik+6,1)</f>
        <v>    1. Nabavna vrijednost prodate robe</v>
      </c>
      <c r="G159" s="222" t="s">
        <v>1540</v>
      </c>
      <c r="H159" s="222" t="s">
        <v>1541</v>
      </c>
      <c r="I159" s="229" t="s">
        <v>1542</v>
      </c>
      <c r="J159" s="281" t="s">
        <v>1543</v>
      </c>
      <c r="K159" s="287" t="s">
        <v>1544</v>
      </c>
      <c r="L159" s="209" t="s">
        <v>1545</v>
      </c>
      <c r="M159" s="227" t="s">
        <v>1546</v>
      </c>
      <c r="N159" s="227" t="s">
        <v>1545</v>
      </c>
      <c r="O159" s="19"/>
      <c r="P159" s="19"/>
    </row>
    <row r="160" spans="1:16" ht="12.75" customHeight="1">
      <c r="A160">
        <f>ROW()-ROW($A$1)</f>
        <v>159</v>
      </c>
      <c r="B160" t="s">
        <v>297</v>
      </c>
      <c r="C160" t="n">
        <v>2</v>
      </c>
      <c r="D160" t="n">
        <v>221</v>
      </c>
      <c r="E160" s="19" t="str">
        <f aca="1">VLOOKUP(T_Aop[[#This Row],[Id]],T_Aop[],ID_Jezik+10,1)</f>
        <v>510 do 512</v>
      </c>
      <c r="F160" t="str">
        <f aca="1">REPT("  ",T_Aop[[#This Row],[Aop nivo]])&amp;VLOOKUP(T_Aop[[#This Row],[Id]],T_Aop[],ID_Jezik+6,1)</f>
        <v>    2. Troškovi materijala</v>
      </c>
      <c r="G160" s="222" t="s">
        <v>1547</v>
      </c>
      <c r="H160" s="222" t="s">
        <v>1548</v>
      </c>
      <c r="I160" s="229" t="s">
        <v>1549</v>
      </c>
      <c r="J160" s="281" t="s">
        <v>1550</v>
      </c>
      <c r="K160" s="287" t="s">
        <v>1551</v>
      </c>
      <c r="L160" s="209" t="s">
        <v>1552</v>
      </c>
      <c r="M160" s="227" t="s">
        <v>1553</v>
      </c>
      <c r="N160" s="227" t="s">
        <v>1552</v>
      </c>
      <c r="O160" s="19"/>
      <c r="P160" s="19"/>
    </row>
    <row r="161" spans="1:16" ht="12.75" customHeight="1">
      <c r="A161">
        <f>ROW()-ROW($A$1)</f>
        <v>160</v>
      </c>
      <c r="B161" t="s">
        <v>297</v>
      </c>
      <c r="C161" t="n">
        <v>2</v>
      </c>
      <c r="D161" t="n">
        <v>222</v>
      </c>
      <c r="E161" s="19" t="str">
        <f aca="1">VLOOKUP(T_Aop[[#This Row],[Id]],T_Aop[],ID_Jezik+10,1)</f>
        <v>513</v>
      </c>
      <c r="F161" t="str">
        <f aca="1">REPT("  ",T_Aop[[#This Row],[Aop nivo]])&amp;VLOOKUP(T_Aop[[#This Row],[Id]],T_Aop[],ID_Jezik+6,1)</f>
        <v>    3. Troškovi goriva i energije</v>
      </c>
      <c r="G161" s="222" t="s">
        <v>1554</v>
      </c>
      <c r="H161" s="222" t="s">
        <v>1555</v>
      </c>
      <c r="I161" s="229" t="s">
        <v>1556</v>
      </c>
      <c r="J161" s="281" t="s">
        <v>1557</v>
      </c>
      <c r="K161" s="287" t="s">
        <v>1558</v>
      </c>
      <c r="L161" s="209" t="n">
        <v>513</v>
      </c>
      <c r="M161" s="227" t="n">
        <v>513</v>
      </c>
      <c r="N161" s="227" t="n">
        <v>513</v>
      </c>
      <c r="O161" s="19"/>
      <c r="P161" s="19"/>
    </row>
    <row r="162" spans="1:16" ht="12.75" customHeight="1">
      <c r="A162">
        <f>ROW()-ROW($A$1)</f>
        <v>161</v>
      </c>
      <c r="B162" t="s">
        <v>297</v>
      </c>
      <c r="C162" t="n">
        <v>2</v>
      </c>
      <c r="D162" t="n">
        <v>223</v>
      </c>
      <c r="E162" s="19" t="str">
        <f aca="1">VLOOKUP(T_Aop[[#This Row],[Id]],T_Aop[],ID_Jezik+10,1)</f>
        <v>52</v>
      </c>
      <c r="F162" t="str">
        <f aca="1">REPT("  ",T_Aop[[#This Row],[Aop nivo]])&amp;VLOOKUP(T_Aop[[#This Row],[Id]],T_Aop[],ID_Jezik+6,1)</f>
        <v>    4. Troškovi plata, naknada plata i ostalih ličnih primanja (224 + 225)</v>
      </c>
      <c r="G162" s="222" t="s">
        <v>1559</v>
      </c>
      <c r="H162" s="222" t="s">
        <v>1560</v>
      </c>
      <c r="I162" s="229" t="s">
        <v>1561</v>
      </c>
      <c r="J162" s="281" t="s">
        <v>1562</v>
      </c>
      <c r="K162" s="287" t="s">
        <v>1563</v>
      </c>
      <c r="L162" s="209" t="n">
        <v>52</v>
      </c>
      <c r="M162" s="227" t="n">
        <v>52</v>
      </c>
      <c r="N162" s="227" t="n">
        <v>52</v>
      </c>
      <c r="O162" s="19"/>
      <c r="P162" s="19"/>
    </row>
    <row r="163" spans="1:16" ht="12.75" customHeight="1">
      <c r="A163">
        <f>ROW()-ROW($A$1)</f>
        <v>162</v>
      </c>
      <c r="B163" t="s">
        <v>297</v>
      </c>
      <c r="C163" t="n">
        <v>3</v>
      </c>
      <c r="D163" t="n">
        <v>224</v>
      </c>
      <c r="E163" s="19" t="str">
        <f aca="1">VLOOKUP(T_Aop[[#This Row],[Id]],T_Aop[],ID_Jezik+10,1)</f>
        <v>520 i 523</v>
      </c>
      <c r="F163" t="str">
        <f aca="1">REPT("  ",T_Aop[[#This Row],[Aop nivo]])&amp;VLOOKUP(T_Aop[[#This Row],[Id]],T_Aop[],ID_Jezik+6,1)</f>
        <v>      a) Troškovi bruto plata i bruto naknada plata</v>
      </c>
      <c r="G163" s="222" t="s">
        <v>1564</v>
      </c>
      <c r="H163" s="222" t="s">
        <v>1565</v>
      </c>
      <c r="I163" s="229" t="s">
        <v>1566</v>
      </c>
      <c r="J163" s="281" t="s">
        <v>1567</v>
      </c>
      <c r="K163" s="287" t="s">
        <v>1568</v>
      </c>
      <c r="L163" s="209" t="s">
        <v>1569</v>
      </c>
      <c r="M163" s="227" t="s">
        <v>1570</v>
      </c>
      <c r="N163" s="227" t="s">
        <v>1569</v>
      </c>
      <c r="O163" s="19"/>
      <c r="P163" s="19"/>
    </row>
    <row r="164" spans="1:16" ht="12.75" customHeight="1">
      <c r="A164">
        <f>ROW()-ROW($A$1)</f>
        <v>163</v>
      </c>
      <c r="B164" t="s">
        <v>297</v>
      </c>
      <c r="C164" t="n">
        <v>3</v>
      </c>
      <c r="D164" t="n">
        <v>225</v>
      </c>
      <c r="E164" s="19" t="str">
        <f aca="1">VLOOKUP(T_Aop[[#This Row],[Id]],T_Aop[],ID_Jezik+10,1)</f>
        <v>524 do 529</v>
      </c>
      <c r="F164" t="str">
        <f aca="1">REPT("  ",T_Aop[[#This Row],[Aop nivo]])&amp;VLOOKUP(T_Aop[[#This Row],[Id]],T_Aop[],ID_Jezik+6,1)</f>
        <v>      b) Troškovi ostalih ličnih primanja</v>
      </c>
      <c r="G164" s="222" t="s">
        <v>1571</v>
      </c>
      <c r="H164" s="222" t="s">
        <v>1572</v>
      </c>
      <c r="I164" s="229" t="s">
        <v>1573</v>
      </c>
      <c r="J164" s="281" t="s">
        <v>1574</v>
      </c>
      <c r="K164" s="287" t="s">
        <v>1575</v>
      </c>
      <c r="L164" s="209" t="s">
        <v>1576</v>
      </c>
      <c r="M164" s="227" t="s">
        <v>1577</v>
      </c>
      <c r="N164" s="227" t="s">
        <v>1576</v>
      </c>
      <c r="O164" s="19"/>
      <c r="P164" s="19"/>
    </row>
    <row r="165" spans="1:16" ht="12.75" customHeight="1">
      <c r="A165">
        <f>ROW()-ROW($A$1)</f>
        <v>164</v>
      </c>
      <c r="B165" t="s">
        <v>297</v>
      </c>
      <c r="C165" t="n">
        <v>2</v>
      </c>
      <c r="D165" t="n">
        <v>226</v>
      </c>
      <c r="E165" s="19" t="str">
        <f aca="1">VLOOKUP(T_Aop[[#This Row],[Id]],T_Aop[],ID_Jezik+10,1)</f>
        <v>530 do 539</v>
      </c>
      <c r="F165" t="str">
        <f aca="1">REPT("  ",T_Aop[[#This Row],[Aop nivo]])&amp;VLOOKUP(T_Aop[[#This Row],[Id]],T_Aop[],ID_Jezik+6,1)</f>
        <v>    5. Troškovi proizvodnih usluga</v>
      </c>
      <c r="G165" s="222" t="s">
        <v>1578</v>
      </c>
      <c r="H165" s="222" t="s">
        <v>1579</v>
      </c>
      <c r="I165" s="229" t="s">
        <v>1580</v>
      </c>
      <c r="J165" s="281" t="s">
        <v>1581</v>
      </c>
      <c r="K165" s="287" t="s">
        <v>1582</v>
      </c>
      <c r="L165" s="209" t="s">
        <v>1583</v>
      </c>
      <c r="M165" s="227" t="s">
        <v>1584</v>
      </c>
      <c r="N165" s="227" t="s">
        <v>1583</v>
      </c>
      <c r="O165" s="19"/>
      <c r="P165" s="19"/>
    </row>
    <row r="166" spans="1:16" ht="12.75" customHeight="1">
      <c r="A166">
        <f>ROW()-ROW($A$1)</f>
        <v>165</v>
      </c>
      <c r="B166" t="s">
        <v>297</v>
      </c>
      <c r="C166" t="n">
        <v>2</v>
      </c>
      <c r="D166" t="n">
        <v>227</v>
      </c>
      <c r="E166" s="19" t="str">
        <f aca="1">VLOOKUP(T_Aop[[#This Row],[Id]],T_Aop[],ID_Jezik+10,1)</f>
        <v>54</v>
      </c>
      <c r="F166" t="str">
        <f aca="1">REPT("  ",T_Aop[[#This Row],[Aop nivo]])&amp;VLOOKUP(T_Aop[[#This Row],[Id]],T_Aop[],ID_Jezik+6,1)</f>
        <v>    6. Troškovi amortizacije i rezervisanja (228 + 233)</v>
      </c>
      <c r="G166" s="222" t="s">
        <v>1585</v>
      </c>
      <c r="H166" s="222" t="s">
        <v>1586</v>
      </c>
      <c r="I166" s="229" t="s">
        <v>1587</v>
      </c>
      <c r="J166" s="281" t="s">
        <v>1588</v>
      </c>
      <c r="K166" s="287" t="s">
        <v>1589</v>
      </c>
      <c r="L166" s="209" t="n">
        <v>54</v>
      </c>
      <c r="M166" s="227" t="n">
        <v>54</v>
      </c>
      <c r="N166" s="227" t="n">
        <v>54</v>
      </c>
      <c r="O166" s="19"/>
      <c r="P166" s="19"/>
    </row>
    <row r="167" spans="1:16" ht="12.75" customHeight="1">
      <c r="A167">
        <f>ROW()-ROW($A$1)</f>
        <v>166</v>
      </c>
      <c r="B167" t="s">
        <v>297</v>
      </c>
      <c r="C167" t="n">
        <v>3</v>
      </c>
      <c r="D167" t="n">
        <v>228</v>
      </c>
      <c r="E167" s="19" t="str">
        <f aca="1">VLOOKUP(T_Aop[[#This Row],[Id]],T_Aop[],ID_Jezik+10,1)</f>
        <v>540</v>
      </c>
      <c r="F167" t="str">
        <f aca="1">REPT("  ",T_Aop[[#This Row],[Aop nivo]])&amp;VLOOKUP(T_Aop[[#This Row],[Id]],T_Aop[],ID_Jezik+6,1)</f>
        <v>      6.1 Troškovi amortizacije (229 do 232)</v>
      </c>
      <c r="G167" s="222" t="s">
        <v>1590</v>
      </c>
      <c r="H167" s="222" t="s">
        <v>1591</v>
      </c>
      <c r="I167" s="229" t="s">
        <v>1592</v>
      </c>
      <c r="J167" s="281" t="s">
        <v>1593</v>
      </c>
      <c r="K167" s="287" t="s">
        <v>1594</v>
      </c>
      <c r="L167" s="209" t="n">
        <v>540</v>
      </c>
      <c r="M167" s="227" t="n">
        <v>540</v>
      </c>
      <c r="N167" s="227" t="n">
        <v>540</v>
      </c>
      <c r="O167" s="19"/>
      <c r="P167" s="19"/>
    </row>
    <row r="168" spans="1:16" ht="12.75" customHeight="1">
      <c r="A168">
        <f>ROW()-ROW($A$1)</f>
        <v>167</v>
      </c>
      <c r="B168" t="s">
        <v>297</v>
      </c>
      <c r="C168" t="n">
        <v>4</v>
      </c>
      <c r="D168" t="n">
        <v>229</v>
      </c>
      <c r="E168" s="19" t="str">
        <f aca="1">VLOOKUP(T_Aop[[#This Row],[Id]],T_Aop[],ID_Jezik+10,1)</f>
        <v>dio 540</v>
      </c>
      <c r="F168" t="str">
        <f aca="1">REPT("  ",T_Aop[[#This Row],[Aop nivo]])&amp;VLOOKUP(T_Aop[[#This Row],[Id]],T_Aop[],ID_Jezik+6,1)</f>
        <v>        a) Amortizacija nekretnina, postrojenja i opreme</v>
      </c>
      <c r="G168" s="222" t="s">
        <v>1595</v>
      </c>
      <c r="H168" s="222" t="s">
        <v>1596</v>
      </c>
      <c r="I168" s="229" t="s">
        <v>1597</v>
      </c>
      <c r="J168" s="281" t="s">
        <v>1598</v>
      </c>
      <c r="K168" s="287" t="s">
        <v>1599</v>
      </c>
      <c r="L168" s="209" t="s">
        <v>1600</v>
      </c>
      <c r="M168" s="227" t="s">
        <v>1601</v>
      </c>
      <c r="N168" s="227" t="s">
        <v>1602</v>
      </c>
      <c r="O168" s="19"/>
      <c r="P168" s="19"/>
    </row>
    <row r="169" spans="1:16" ht="12.75" customHeight="1">
      <c r="A169">
        <f>ROW()-ROW($A$1)</f>
        <v>168</v>
      </c>
      <c r="B169" t="s">
        <v>297</v>
      </c>
      <c r="C169" t="n">
        <v>4</v>
      </c>
      <c r="D169" t="n">
        <v>230</v>
      </c>
      <c r="E169" s="19" t="str">
        <f aca="1">VLOOKUP(T_Aop[[#This Row],[Id]],T_Aop[],ID_Jezik+10,1)</f>
        <v>dio 540</v>
      </c>
      <c r="F169" t="str">
        <f aca="1">REPT("  ",T_Aop[[#This Row],[Aop nivo]])&amp;VLOOKUP(T_Aop[[#This Row],[Id]],T_Aop[],ID_Jezik+6,1)</f>
        <v>        b) Amortizacija investicionih nekretnina</v>
      </c>
      <c r="G169" s="222" t="s">
        <v>1603</v>
      </c>
      <c r="H169" s="222" t="s">
        <v>1604</v>
      </c>
      <c r="I169" s="229" t="s">
        <v>1605</v>
      </c>
      <c r="J169" s="281" t="s">
        <v>1606</v>
      </c>
      <c r="K169" s="287" t="s">
        <v>1599</v>
      </c>
      <c r="L169" s="209" t="s">
        <v>1600</v>
      </c>
      <c r="M169" s="227" t="s">
        <v>1601</v>
      </c>
      <c r="N169" s="227" t="s">
        <v>1602</v>
      </c>
      <c r="O169" s="19" t="n">
        <v>1</v>
      </c>
      <c r="P169" s="19"/>
    </row>
    <row r="170" spans="1:16" ht="12.75" customHeight="1">
      <c r="A170">
        <f>ROW()-ROW($A$1)</f>
        <v>169</v>
      </c>
      <c r="B170" t="s">
        <v>297</v>
      </c>
      <c r="C170" t="n">
        <v>4</v>
      </c>
      <c r="D170" t="n">
        <v>231</v>
      </c>
      <c r="E170" s="19" t="str">
        <f aca="1">VLOOKUP(T_Aop[[#This Row],[Id]],T_Aop[],ID_Jezik+10,1)</f>
        <v>dio 540</v>
      </c>
      <c r="F170" t="str">
        <f aca="1">REPT("  ",T_Aop[[#This Row],[Aop nivo]])&amp;VLOOKUP(T_Aop[[#This Row],[Id]],T_Aop[],ID_Jezik+6,1)</f>
        <v>        c) Amortizacija sredstava uzetih u zakup</v>
      </c>
      <c r="G170" s="222" t="s">
        <v>1607</v>
      </c>
      <c r="H170" s="222" t="s">
        <v>1608</v>
      </c>
      <c r="I170" s="229" t="s">
        <v>1609</v>
      </c>
      <c r="J170" s="281" t="s">
        <v>1610</v>
      </c>
      <c r="K170" s="287" t="s">
        <v>1599</v>
      </c>
      <c r="L170" s="209" t="s">
        <v>1600</v>
      </c>
      <c r="M170" s="227" t="s">
        <v>1601</v>
      </c>
      <c r="N170" s="227" t="s">
        <v>1602</v>
      </c>
      <c r="O170" s="19" t="n">
        <v>1</v>
      </c>
      <c r="P170" s="19"/>
    </row>
    <row r="171" spans="1:16" ht="12.75" customHeight="1">
      <c r="A171">
        <f>ROW()-ROW($A$1)</f>
        <v>170</v>
      </c>
      <c r="B171" t="s">
        <v>297</v>
      </c>
      <c r="C171" t="n">
        <v>4</v>
      </c>
      <c r="D171" t="n">
        <v>232</v>
      </c>
      <c r="E171" s="19" t="str">
        <f aca="1">VLOOKUP(T_Aop[[#This Row],[Id]],T_Aop[],ID_Jezik+10,1)</f>
        <v>dio 540</v>
      </c>
      <c r="F171" t="str">
        <f aca="1">REPT("  ",T_Aop[[#This Row],[Aop nivo]])&amp;VLOOKUP(T_Aop[[#This Row],[Id]],T_Aop[],ID_Jezik+6,1)</f>
        <v>        d) Amortizacija ostalih sredstava</v>
      </c>
      <c r="G171" s="222" t="s">
        <v>1611</v>
      </c>
      <c r="H171" s="222" t="s">
        <v>1612</v>
      </c>
      <c r="I171" s="229" t="s">
        <v>1613</v>
      </c>
      <c r="J171" s="281" t="s">
        <v>1614</v>
      </c>
      <c r="K171" s="287" t="s">
        <v>1599</v>
      </c>
      <c r="L171" s="209" t="s">
        <v>1600</v>
      </c>
      <c r="M171" s="227" t="s">
        <v>1601</v>
      </c>
      <c r="N171" s="227" t="s">
        <v>1602</v>
      </c>
      <c r="O171" s="19" t="n">
        <v>1</v>
      </c>
      <c r="P171" s="19"/>
    </row>
    <row r="172" spans="1:16" ht="12.75" customHeight="1">
      <c r="A172">
        <f>ROW()-ROW($A$1)</f>
        <v>171</v>
      </c>
      <c r="B172" t="s">
        <v>297</v>
      </c>
      <c r="C172" t="n">
        <v>3</v>
      </c>
      <c r="D172" t="n">
        <v>233</v>
      </c>
      <c r="E172" s="19" t="str">
        <f aca="1">VLOOKUP(T_Aop[[#This Row],[Id]],T_Aop[],ID_Jezik+10,1)</f>
        <v>541</v>
      </c>
      <c r="F172" t="str">
        <f aca="1">REPT("  ",T_Aop[[#This Row],[Aop nivo]])&amp;VLOOKUP(T_Aop[[#This Row],[Id]],T_Aop[],ID_Jezik+6,1)</f>
        <v>      6.2 Troškovi rezervisanja</v>
      </c>
      <c r="G172" s="222" t="s">
        <v>1615</v>
      </c>
      <c r="H172" s="222" t="s">
        <v>1616</v>
      </c>
      <c r="I172" s="229" t="s">
        <v>1617</v>
      </c>
      <c r="J172" s="281" t="s">
        <v>1618</v>
      </c>
      <c r="K172" s="287" t="s">
        <v>1619</v>
      </c>
      <c r="L172" s="209" t="n">
        <v>541</v>
      </c>
      <c r="M172" s="227" t="n">
        <v>541</v>
      </c>
      <c r="N172" s="227" t="n">
        <v>541</v>
      </c>
      <c r="O172" s="19" t="n">
        <v>1</v>
      </c>
      <c r="P172" s="19"/>
    </row>
    <row r="173" spans="1:16" ht="12.75" customHeight="1">
      <c r="A173">
        <f>ROW()-ROW($A$1)</f>
        <v>172</v>
      </c>
      <c r="B173" t="s">
        <v>297</v>
      </c>
      <c r="C173" t="n">
        <v>2</v>
      </c>
      <c r="D173" t="n">
        <v>234</v>
      </c>
      <c r="E173" s="19" t="str">
        <f aca="1">VLOOKUP(T_Aop[[#This Row],[Id]],T_Aop[],ID_Jezik+10,1)</f>
        <v>55 osim 555 i 556</v>
      </c>
      <c r="F173" t="str">
        <f aca="1">REPT("  ",T_Aop[[#This Row],[Aop nivo]])&amp;VLOOKUP(T_Aop[[#This Row],[Id]],T_Aop[],ID_Jezik+6,1)</f>
        <v>    7. Nematerijalni troškovi (bez poreza i doprinosa)</v>
      </c>
      <c r="G173" s="222" t="s">
        <v>1620</v>
      </c>
      <c r="H173" s="222" t="s">
        <v>1621</v>
      </c>
      <c r="I173" s="229" t="s">
        <v>1622</v>
      </c>
      <c r="J173" s="281" t="s">
        <v>1623</v>
      </c>
      <c r="K173" s="287" t="s">
        <v>1624</v>
      </c>
      <c r="L173" s="209" t="s">
        <v>1625</v>
      </c>
      <c r="M173" s="227" t="s">
        <v>1626</v>
      </c>
      <c r="N173" s="227" t="s">
        <v>1627</v>
      </c>
      <c r="O173" s="19"/>
      <c r="P173" s="19"/>
    </row>
    <row r="174" spans="1:16">
      <c r="A174">
        <f>ROW()-ROW($A$1)</f>
        <v>173</v>
      </c>
      <c r="B174" t="s">
        <v>297</v>
      </c>
      <c r="C174" t="n">
        <v>2</v>
      </c>
      <c r="D174" t="n">
        <v>235</v>
      </c>
      <c r="E174" s="19" t="str">
        <f aca="1">VLOOKUP(T_Aop[[#This Row],[Id]],T_Aop[],ID_Jezik+10,1)</f>
        <v>555</v>
      </c>
      <c r="F174" t="str">
        <f aca="1">REPT("  ",T_Aop[[#This Row],[Aop nivo]])&amp;VLOOKUP(T_Aop[[#This Row],[Id]],T_Aop[],ID_Jezik+6,1)</f>
        <v>    8. Troškovi poreza</v>
      </c>
      <c r="G174" s="222" t="s">
        <v>1628</v>
      </c>
      <c r="H174" s="222" t="s">
        <v>1629</v>
      </c>
      <c r="I174" s="229" t="s">
        <v>1630</v>
      </c>
      <c r="J174" s="281" t="s">
        <v>1631</v>
      </c>
      <c r="K174" s="287" t="s">
        <v>1632</v>
      </c>
      <c r="L174" s="209" t="n">
        <v>555</v>
      </c>
      <c r="M174" s="227" t="n">
        <v>555</v>
      </c>
      <c r="N174" s="227" t="n">
        <v>555</v>
      </c>
      <c r="O174" s="19"/>
      <c r="P174" s="19"/>
    </row>
    <row r="175" spans="1:16" ht="12.75" customHeight="1">
      <c r="A175">
        <f>ROW()-ROW($A$1)</f>
        <v>174</v>
      </c>
      <c r="B175" t="s">
        <v>297</v>
      </c>
      <c r="C175" t="n">
        <v>2</v>
      </c>
      <c r="D175" t="n">
        <v>236</v>
      </c>
      <c r="E175" s="19" t="str">
        <f aca="1">VLOOKUP(T_Aop[[#This Row],[Id]],T_Aop[],ID_Jezik+10,1)</f>
        <v>556</v>
      </c>
      <c r="F175" t="str">
        <f aca="1">REPT("  ",T_Aop[[#This Row],[Aop nivo]])&amp;VLOOKUP(T_Aop[[#This Row],[Id]],T_Aop[],ID_Jezik+6,1)</f>
        <v>    9. Troškovi doprinosa</v>
      </c>
      <c r="G175" s="222" t="s">
        <v>1633</v>
      </c>
      <c r="H175" s="222" t="s">
        <v>1634</v>
      </c>
      <c r="I175" s="229" t="s">
        <v>1635</v>
      </c>
      <c r="J175" s="281" t="s">
        <v>1636</v>
      </c>
      <c r="K175" s="287" t="s">
        <v>1637</v>
      </c>
      <c r="L175" s="209" t="n">
        <v>556</v>
      </c>
      <c r="M175" s="227" t="n">
        <v>556</v>
      </c>
      <c r="N175" s="227" t="n">
        <v>556</v>
      </c>
      <c r="O175" s="19"/>
      <c r="P175" s="19"/>
    </row>
    <row r="176" spans="1:16" ht="12.75" customHeight="1">
      <c r="A176">
        <f>ROW()-ROW($A$1)</f>
        <v>175</v>
      </c>
      <c r="B176" t="s">
        <v>297</v>
      </c>
      <c r="C176" t="n">
        <v>1</v>
      </c>
      <c r="D176" t="n">
        <v>237</v>
      </c>
      <c r="E176" s="19">
        <f aca="1">VLOOKUP(T_Aop[[#This Row],[Id]],T_Aop[],ID_Jezik+10,1)</f>
        <v>0</v>
      </c>
      <c r="F176" t="str">
        <f aca="1">REPT("  ",T_Aop[[#This Row],[Aop nivo]])&amp;VLOOKUP(T_Aop[[#This Row],[Id]],T_Aop[],ID_Jezik+6,1)</f>
        <v>  B.  POSLOVNI DOBITAK (201 – 219)</v>
      </c>
      <c r="G176" s="215" t="s">
        <v>1638</v>
      </c>
      <c r="H176" s="222" t="s">
        <v>1639</v>
      </c>
      <c r="I176" s="229" t="s">
        <v>1640</v>
      </c>
      <c r="J176" s="281" t="s">
        <v>1641</v>
      </c>
      <c r="K176" s="287"/>
      <c r="L176" s="209"/>
      <c r="M176" s="227"/>
      <c r="N176" s="227"/>
      <c r="O176" s="19"/>
      <c r="P176" s="19"/>
    </row>
    <row r="177" spans="1:16" ht="12.75" customHeight="1">
      <c r="A177">
        <f>ROW()-ROW($A$1)</f>
        <v>176</v>
      </c>
      <c r="B177" t="s">
        <v>297</v>
      </c>
      <c r="C177" t="n">
        <v>1</v>
      </c>
      <c r="D177" t="n">
        <v>238</v>
      </c>
      <c r="E177" s="19">
        <f aca="1">VLOOKUP(T_Aop[[#This Row],[Id]],T_Aop[],ID_Jezik+10,1)</f>
        <v>0</v>
      </c>
      <c r="F177" t="str">
        <f aca="1">REPT("  ",T_Aop[[#This Row],[Aop nivo]])&amp;VLOOKUP(T_Aop[[#This Row],[Id]],T_Aop[],ID_Jezik+6,1)</f>
        <v>  V.  POSLOVNI GUBITAK (219 – 201)</v>
      </c>
      <c r="G177" s="215" t="s">
        <v>1642</v>
      </c>
      <c r="H177" s="222" t="s">
        <v>1643</v>
      </c>
      <c r="I177" s="229" t="s">
        <v>1644</v>
      </c>
      <c r="J177" s="281" t="s">
        <v>1645</v>
      </c>
      <c r="K177" s="287"/>
      <c r="L177" s="209"/>
      <c r="M177" s="227"/>
      <c r="N177" s="227"/>
      <c r="O177" s="19"/>
      <c r="P177" s="19"/>
    </row>
    <row r="178" spans="1:16" ht="15" customHeight="1">
      <c r="A178">
        <f>ROW()-ROW($A$1)</f>
        <v>177</v>
      </c>
      <c r="B178" t="s">
        <v>297</v>
      </c>
      <c r="C178" t="n">
        <v>1</v>
      </c>
      <c r="D178" t="n">
        <v>239</v>
      </c>
      <c r="E178" s="19" t="str">
        <f aca="1">VLOOKUP(T_Aop[[#This Row],[Id]],T_Aop[],ID_Jezik+10,1)</f>
        <v>66</v>
      </c>
      <c r="F178" t="str">
        <f aca="1">REPT("  ",T_Aop[[#This Row],[Aop nivo]])&amp;VLOOKUP(T_Aop[[#This Row],[Id]],T_Aop[],ID_Jezik+6,1)</f>
        <v>  G. FINANSIJSKI PRIHODI I RASHODI 
I  FINANSIJSKI PRIHODI (240 do 243)</v>
      </c>
      <c r="G178" s="214" t="s">
        <v>1646</v>
      </c>
      <c r="H178" s="222" t="s">
        <v>1647</v>
      </c>
      <c r="I178" s="229" t="s">
        <v>1648</v>
      </c>
      <c r="J178" s="281" t="s">
        <v>1649</v>
      </c>
      <c r="K178" s="287" t="s">
        <v>1650</v>
      </c>
      <c r="L178" s="209" t="n">
        <v>66</v>
      </c>
      <c r="M178" s="227" t="n">
        <v>66</v>
      </c>
      <c r="N178" s="227" t="n">
        <v>66</v>
      </c>
      <c r="O178" s="19"/>
      <c r="P178" s="19"/>
    </row>
    <row r="179" spans="1:16">
      <c r="A179">
        <f>ROW()-ROW($A$1)</f>
        <v>178</v>
      </c>
      <c r="B179" t="s">
        <v>297</v>
      </c>
      <c r="C179" t="n">
        <v>2</v>
      </c>
      <c r="D179" t="n">
        <v>240</v>
      </c>
      <c r="E179" s="19" t="str">
        <f aca="1">VLOOKUP(T_Aop[[#This Row],[Id]],T_Aop[],ID_Jezik+10,1)</f>
        <v>660, 661</v>
      </c>
      <c r="F179" t="str">
        <f aca="1">REPT("  ",T_Aop[[#This Row],[Aop nivo]])&amp;VLOOKUP(T_Aop[[#This Row],[Id]],T_Aop[],ID_Jezik+6,1)</f>
        <v>    1.   Prihodi od kamata</v>
      </c>
      <c r="G179" s="222" t="s">
        <v>1651</v>
      </c>
      <c r="H179" s="222" t="s">
        <v>1652</v>
      </c>
      <c r="I179" s="229" t="s">
        <v>1653</v>
      </c>
      <c r="J179" s="281" t="s">
        <v>1654</v>
      </c>
      <c r="K179" s="287" t="s">
        <v>1655</v>
      </c>
      <c r="L179" s="209" t="s">
        <v>1655</v>
      </c>
      <c r="M179" s="227" t="s">
        <v>1655</v>
      </c>
      <c r="N179" s="227" t="s">
        <v>1655</v>
      </c>
      <c r="O179" s="19" t="n">
        <v>1</v>
      </c>
      <c r="P179" s="19"/>
    </row>
    <row r="180" spans="1:16" ht="12.75" customHeight="1">
      <c r="A180">
        <f>ROW()-ROW($A$1)</f>
        <v>179</v>
      </c>
      <c r="B180" t="s">
        <v>297</v>
      </c>
      <c r="C180" t="n">
        <v>2</v>
      </c>
      <c r="D180" t="n">
        <v>241</v>
      </c>
      <c r="E180" s="19" t="str">
        <f aca="1">VLOOKUP(T_Aop[[#This Row],[Id]],T_Aop[],ID_Jezik+10,1)</f>
        <v>662</v>
      </c>
      <c r="F180" t="str">
        <f aca="1">REPT("  ",T_Aop[[#This Row],[Aop nivo]])&amp;VLOOKUP(T_Aop[[#This Row],[Id]],T_Aop[],ID_Jezik+6,1)</f>
        <v>    2.   Pozitivne kursne razlike</v>
      </c>
      <c r="G180" s="222" t="s">
        <v>1656</v>
      </c>
      <c r="H180" s="222" t="s">
        <v>1657</v>
      </c>
      <c r="I180" s="229" t="s">
        <v>1658</v>
      </c>
      <c r="J180" s="281" t="s">
        <v>1659</v>
      </c>
      <c r="K180" s="287" t="s">
        <v>1660</v>
      </c>
      <c r="L180" s="209" t="n">
        <v>662</v>
      </c>
      <c r="M180" s="227" t="n">
        <v>662</v>
      </c>
      <c r="N180" s="227" t="n">
        <v>662</v>
      </c>
      <c r="O180" s="19"/>
      <c r="P180" s="19"/>
    </row>
    <row r="181" spans="1:16" ht="12.75" customHeight="1">
      <c r="A181">
        <f>ROW()-ROW($A$1)</f>
        <v>180</v>
      </c>
      <c r="B181" t="s">
        <v>297</v>
      </c>
      <c r="C181" t="n">
        <v>2</v>
      </c>
      <c r="D181" t="n">
        <v>242</v>
      </c>
      <c r="E181" s="19" t="str">
        <f aca="1">VLOOKUP(T_Aop[[#This Row],[Id]],T_Aop[],ID_Jezik+10,1)</f>
        <v>663</v>
      </c>
      <c r="F181" t="str">
        <f aca="1">REPT("  ",T_Aop[[#This Row],[Aop nivo]])&amp;VLOOKUP(T_Aop[[#This Row],[Id]],T_Aop[],ID_Jezik+6,1)</f>
        <v>    3.   Prihodi od efekata valutne klauzule</v>
      </c>
      <c r="G181" s="222" t="s">
        <v>1661</v>
      </c>
      <c r="H181" s="222" t="s">
        <v>1662</v>
      </c>
      <c r="I181" s="229" t="s">
        <v>1663</v>
      </c>
      <c r="J181" s="281" t="s">
        <v>1664</v>
      </c>
      <c r="K181" s="287" t="s">
        <v>1665</v>
      </c>
      <c r="L181" s="209" t="n">
        <v>663</v>
      </c>
      <c r="M181" s="227" t="n">
        <v>663</v>
      </c>
      <c r="N181" s="227" t="n">
        <v>663</v>
      </c>
      <c r="O181" s="19"/>
      <c r="P181" s="19"/>
    </row>
    <row r="182" spans="1:16" ht="12.75" customHeight="1">
      <c r="A182">
        <f>ROW()-ROW($A$1)</f>
        <v>181</v>
      </c>
      <c r="B182" t="s">
        <v>297</v>
      </c>
      <c r="C182" t="n">
        <v>2</v>
      </c>
      <c r="D182" t="n">
        <v>243</v>
      </c>
      <c r="E182" s="19" t="str">
        <f aca="1">VLOOKUP(T_Aop[[#This Row],[Id]],T_Aop[],ID_Jezik+10,1)</f>
        <v>669</v>
      </c>
      <c r="F182" t="str">
        <f aca="1">REPT("  ",T_Aop[[#This Row],[Aop nivo]])&amp;VLOOKUP(T_Aop[[#This Row],[Id]],T_Aop[],ID_Jezik+6,1)</f>
        <v>    4.   Ostali finansijski prihodi</v>
      </c>
      <c r="G182" s="222" t="s">
        <v>1666</v>
      </c>
      <c r="H182" s="222" t="s">
        <v>1667</v>
      </c>
      <c r="I182" s="229" t="s">
        <v>1668</v>
      </c>
      <c r="J182" s="281" t="s">
        <v>1669</v>
      </c>
      <c r="K182" s="287" t="s">
        <v>1670</v>
      </c>
      <c r="L182" s="209" t="n">
        <v>669</v>
      </c>
      <c r="M182" s="227" t="n">
        <v>669</v>
      </c>
      <c r="N182" s="227" t="n">
        <v>669</v>
      </c>
      <c r="O182" s="19"/>
      <c r="P182" s="19"/>
    </row>
    <row r="183" spans="1:16" ht="12.75" customHeight="1">
      <c r="A183">
        <f>ROW()-ROW($A$1)</f>
        <v>182</v>
      </c>
      <c r="B183" t="s">
        <v>297</v>
      </c>
      <c r="C183" t="n">
        <v>1</v>
      </c>
      <c r="D183" t="n">
        <v>244</v>
      </c>
      <c r="E183" s="19" t="str">
        <f aca="1">VLOOKUP(T_Aop[[#This Row],[Id]],T_Aop[],ID_Jezik+10,1)</f>
        <v>56</v>
      </c>
      <c r="F183" t="str">
        <f aca="1">REPT("  ",T_Aop[[#This Row],[Aop nivo]])&amp;VLOOKUP(T_Aop[[#This Row],[Id]],T_Aop[],ID_Jezik+6,1)</f>
        <v>  II  FINANSIJSKI RASHODI (245 do 248)</v>
      </c>
      <c r="G183" s="215" t="s">
        <v>1671</v>
      </c>
      <c r="H183" s="222" t="s">
        <v>1672</v>
      </c>
      <c r="I183" s="229" t="s">
        <v>1673</v>
      </c>
      <c r="J183" s="281" t="s">
        <v>1674</v>
      </c>
      <c r="K183" s="287" t="s">
        <v>1675</v>
      </c>
      <c r="L183" s="209" t="n">
        <v>56</v>
      </c>
      <c r="M183" s="227" t="n">
        <v>56</v>
      </c>
      <c r="N183" s="227" t="n">
        <v>56</v>
      </c>
      <c r="O183" s="19"/>
      <c r="P183" s="19"/>
    </row>
    <row r="184" spans="1:16">
      <c r="A184">
        <f>ROW()-ROW($A$1)</f>
        <v>183</v>
      </c>
      <c r="B184" t="s">
        <v>297</v>
      </c>
      <c r="C184" t="n">
        <v>2</v>
      </c>
      <c r="D184" t="n">
        <v>245</v>
      </c>
      <c r="E184" s="19" t="str">
        <f aca="1">VLOOKUP(T_Aop[[#This Row],[Id]],T_Aop[],ID_Jezik+10,1)</f>
        <v>560, 561</v>
      </c>
      <c r="F184" t="str">
        <f aca="1">REPT("  ",T_Aop[[#This Row],[Aop nivo]])&amp;VLOOKUP(T_Aop[[#This Row],[Id]],T_Aop[],ID_Jezik+6,1)</f>
        <v>    1. Rashodi kamata</v>
      </c>
      <c r="G184" s="222" t="s">
        <v>1676</v>
      </c>
      <c r="H184" s="222" t="s">
        <v>1677</v>
      </c>
      <c r="I184" s="229" t="s">
        <v>1678</v>
      </c>
      <c r="J184" s="281" t="s">
        <v>1679</v>
      </c>
      <c r="K184" s="287" t="s">
        <v>1680</v>
      </c>
      <c r="L184" s="209" t="s">
        <v>1680</v>
      </c>
      <c r="M184" s="227" t="s">
        <v>1680</v>
      </c>
      <c r="N184" s="227" t="s">
        <v>1680</v>
      </c>
      <c r="O184" s="19"/>
      <c r="P184" s="19"/>
    </row>
    <row r="185" spans="1:16" ht="12.75" customHeight="1">
      <c r="A185">
        <f>ROW()-ROW($A$1)</f>
        <v>184</v>
      </c>
      <c r="B185" t="s">
        <v>297</v>
      </c>
      <c r="C185" t="n">
        <v>2</v>
      </c>
      <c r="D185" t="n">
        <v>246</v>
      </c>
      <c r="E185" s="19" t="str">
        <f aca="1">VLOOKUP(T_Aop[[#This Row],[Id]],T_Aop[],ID_Jezik+10,1)</f>
        <v>562</v>
      </c>
      <c r="F185" t="str">
        <f aca="1">REPT("  ",T_Aop[[#This Row],[Aop nivo]])&amp;VLOOKUP(T_Aop[[#This Row],[Id]],T_Aop[],ID_Jezik+6,1)</f>
        <v>    2. Negativne kursne razlike</v>
      </c>
      <c r="G185" s="222" t="s">
        <v>1681</v>
      </c>
      <c r="H185" s="222" t="s">
        <v>1682</v>
      </c>
      <c r="I185" s="229" t="s">
        <v>1683</v>
      </c>
      <c r="J185" s="281" t="s">
        <v>1684</v>
      </c>
      <c r="K185" s="287" t="s">
        <v>1685</v>
      </c>
      <c r="L185" s="209" t="n">
        <v>562</v>
      </c>
      <c r="M185" s="227" t="n">
        <v>562</v>
      </c>
      <c r="N185" s="227" t="n">
        <v>562</v>
      </c>
      <c r="O185" s="19" t="n">
        <v>1</v>
      </c>
      <c r="P185" s="19"/>
    </row>
    <row r="186" spans="1:16" ht="12.75" customHeight="1">
      <c r="A186">
        <f>ROW()-ROW($A$1)</f>
        <v>185</v>
      </c>
      <c r="B186" t="s">
        <v>297</v>
      </c>
      <c r="C186" t="n">
        <v>2</v>
      </c>
      <c r="D186" t="n">
        <v>247</v>
      </c>
      <c r="E186" s="19" t="str">
        <f aca="1">VLOOKUP(T_Aop[[#This Row],[Id]],T_Aop[],ID_Jezik+10,1)</f>
        <v>563</v>
      </c>
      <c r="F186" t="str">
        <f aca="1">REPT("  ",T_Aop[[#This Row],[Aop nivo]])&amp;VLOOKUP(T_Aop[[#This Row],[Id]],T_Aop[],ID_Jezik+6,1)</f>
        <v>    3. Rashodi po osnovu valutne klauzule</v>
      </c>
      <c r="G186" s="222" t="s">
        <v>1686</v>
      </c>
      <c r="H186" s="222" t="s">
        <v>1687</v>
      </c>
      <c r="I186" s="229" t="s">
        <v>1688</v>
      </c>
      <c r="J186" s="281" t="s">
        <v>1689</v>
      </c>
      <c r="K186" s="287" t="s">
        <v>1690</v>
      </c>
      <c r="L186" s="209" t="n">
        <v>563</v>
      </c>
      <c r="M186" s="227" t="n">
        <v>563</v>
      </c>
      <c r="N186" s="227" t="n">
        <v>563</v>
      </c>
      <c r="O186" s="19" t="n">
        <v>1</v>
      </c>
      <c r="P186" s="19"/>
    </row>
    <row r="187" spans="1:16" ht="12.75" customHeight="1">
      <c r="A187">
        <f>ROW()-ROW($A$1)</f>
        <v>186</v>
      </c>
      <c r="B187" t="s">
        <v>297</v>
      </c>
      <c r="C187" t="n">
        <v>2</v>
      </c>
      <c r="D187" t="n">
        <v>248</v>
      </c>
      <c r="E187" s="19" t="str">
        <f aca="1">VLOOKUP(T_Aop[[#This Row],[Id]],T_Aop[],ID_Jezik+10,1)</f>
        <v>569</v>
      </c>
      <c r="F187" t="str">
        <f aca="1">REPT("  ",T_Aop[[#This Row],[Aop nivo]])&amp;VLOOKUP(T_Aop[[#This Row],[Id]],T_Aop[],ID_Jezik+6,1)</f>
        <v>    4. Ostali finansijski rashodi</v>
      </c>
      <c r="G187" s="222" t="s">
        <v>1691</v>
      </c>
      <c r="H187" s="222" t="s">
        <v>1692</v>
      </c>
      <c r="I187" s="229" t="s">
        <v>1693</v>
      </c>
      <c r="J187" s="281" t="s">
        <v>1694</v>
      </c>
      <c r="K187" s="287" t="s">
        <v>1695</v>
      </c>
      <c r="L187" s="209" t="n">
        <v>569</v>
      </c>
      <c r="M187" s="227" t="n">
        <v>569</v>
      </c>
      <c r="N187" s="227" t="n">
        <v>569</v>
      </c>
      <c r="O187" s="19" t="n">
        <v>1</v>
      </c>
      <c r="P187" s="19"/>
    </row>
    <row r="188" spans="1:16" ht="24" customHeight="1">
      <c r="A188">
        <f>ROW()-ROW($A$1)</f>
        <v>187</v>
      </c>
      <c r="B188" t="s">
        <v>297</v>
      </c>
      <c r="C188" t="n">
        <v>1</v>
      </c>
      <c r="D188" t="n">
        <v>249</v>
      </c>
      <c r="E188" s="19">
        <f aca="1">VLOOKUP(T_Aop[[#This Row],[Id]],T_Aop[],ID_Jezik+10,1)</f>
        <v>0</v>
      </c>
      <c r="F188" t="str">
        <f aca="1">REPT("  ",T_Aop[[#This Row],[Aop nivo]])&amp;VLOOKUP(T_Aop[[#This Row],[Id]],T_Aop[],ID_Jezik+6,1)</f>
        <v>  D. DOBITAK REDOVNE AKTIVNOSTI  (237 + 239 – 244) ili (239-244-238)     </v>
      </c>
      <c r="G188" s="225" t="s">
        <v>1696</v>
      </c>
      <c r="H188" s="225" t="s">
        <v>1697</v>
      </c>
      <c r="I188" s="229" t="s">
        <v>1698</v>
      </c>
      <c r="J188" s="281" t="s">
        <v>1699</v>
      </c>
      <c r="K188" s="287"/>
      <c r="L188" s="209"/>
      <c r="M188" s="227"/>
      <c r="N188" s="227"/>
      <c r="O188" s="19" t="n">
        <v>1</v>
      </c>
      <c r="P188" s="19"/>
    </row>
    <row r="189" spans="1:16" ht="24" customHeight="1">
      <c r="A189">
        <f>ROW()-ROW($A$1)</f>
        <v>188</v>
      </c>
      <c r="B189" t="s">
        <v>297</v>
      </c>
      <c r="C189" t="n">
        <v>1</v>
      </c>
      <c r="D189" t="n">
        <v>250</v>
      </c>
      <c r="E189" s="19">
        <f aca="1">VLOOKUP(T_Aop[[#This Row],[Id]],T_Aop[],ID_Jezik+10,1)</f>
        <v>0</v>
      </c>
      <c r="F189" t="str">
        <f aca="1">REPT("  ",T_Aop[[#This Row],[Aop nivo]])&amp;VLOOKUP(T_Aop[[#This Row],[Id]],T_Aop[],ID_Jezik+6,1)</f>
        <v>  Đ. GUBITAK REDOVNE AKTIVNOSTI (238 + 244 -239) ili (244-239-237)</v>
      </c>
      <c r="G189" s="225" t="s">
        <v>1700</v>
      </c>
      <c r="H189" s="225" t="s">
        <v>1701</v>
      </c>
      <c r="I189" s="229" t="s">
        <v>1702</v>
      </c>
      <c r="J189" s="281" t="s">
        <v>1703</v>
      </c>
      <c r="K189" s="287"/>
      <c r="L189" s="209"/>
      <c r="M189" s="227"/>
      <c r="N189" s="227"/>
      <c r="O189" s="19"/>
      <c r="P189" s="19"/>
    </row>
    <row r="190" spans="1:16" ht="29.25" customHeight="1">
      <c r="A190">
        <f>ROW()-ROW($A$1)</f>
        <v>189</v>
      </c>
      <c r="B190" t="s">
        <v>297</v>
      </c>
      <c r="C190" t="n">
        <v>1</v>
      </c>
      <c r="D190" t="n">
        <v>251</v>
      </c>
      <c r="E190" s="19" t="str">
        <f aca="1">VLOOKUP(T_Aop[[#This Row],[Id]],T_Aop[],ID_Jezik+10,1)</f>
        <v>67</v>
      </c>
      <c r="F190" t="str">
        <f aca="1">REPT("  ",T_Aop[[#This Row],[Aop nivo]])&amp;VLOOKUP(T_Aop[[#This Row],[Id]],T_Aop[],ID_Jezik+6,1)</f>
        <v>  E. OSTALI DOBICI I GUBICI 
I OSTALI PRIHODI I DOBICI (252 do 260)</v>
      </c>
      <c r="G190" s="225" t="s">
        <v>1704</v>
      </c>
      <c r="H190" s="222" t="s">
        <v>1705</v>
      </c>
      <c r="I190" s="229" t="s">
        <v>1706</v>
      </c>
      <c r="J190" s="281" t="s">
        <v>1707</v>
      </c>
      <c r="K190" s="287" t="s">
        <v>1708</v>
      </c>
      <c r="L190" s="209" t="n">
        <v>67</v>
      </c>
      <c r="M190" s="227" t="n">
        <v>67</v>
      </c>
      <c r="N190" s="227" t="n">
        <v>67</v>
      </c>
      <c r="O190" s="19"/>
      <c r="P190" s="19"/>
    </row>
    <row r="191" spans="1:16" ht="12.75" customHeight="1">
      <c r="A191">
        <f>ROW()-ROW($A$1)</f>
        <v>190</v>
      </c>
      <c r="B191" t="s">
        <v>297</v>
      </c>
      <c r="C191" t="n">
        <v>2</v>
      </c>
      <c r="D191" t="n">
        <v>252</v>
      </c>
      <c r="E191" s="19" t="str">
        <f aca="1">VLOOKUP(T_Aop[[#This Row],[Id]],T_Aop[],ID_Jezik+10,1)</f>
        <v>670, 570 neto prikaz</v>
      </c>
      <c r="F191" t="str">
        <f aca="1">REPT("  ",T_Aop[[#This Row],[Aop nivo]])&amp;VLOOKUP(T_Aop[[#This Row],[Id]],T_Aop[],ID_Jezik+6,1)</f>
        <v>    1. Neto dobici po osnovu prodaje nematerijalnih sredstava, nekretnina, postrojenja i opreme</v>
      </c>
      <c r="G191" s="222" t="s">
        <v>1709</v>
      </c>
      <c r="H191" s="222" t="s">
        <v>1710</v>
      </c>
      <c r="I191" s="229" t="s">
        <v>1711</v>
      </c>
      <c r="J191" s="281" t="s">
        <v>1712</v>
      </c>
      <c r="K191" s="287" t="s">
        <v>1713</v>
      </c>
      <c r="L191" s="209" t="s">
        <v>1714</v>
      </c>
      <c r="M191" s="227" t="s">
        <v>1715</v>
      </c>
      <c r="N191" s="227" t="s">
        <v>1716</v>
      </c>
      <c r="O191" s="19"/>
      <c r="P191" s="19"/>
    </row>
    <row r="192" spans="1:16" ht="12.75" customHeight="1">
      <c r="A192">
        <f>ROW()-ROW($A$1)</f>
        <v>191</v>
      </c>
      <c r="B192" t="s">
        <v>297</v>
      </c>
      <c r="C192" t="n">
        <v>2</v>
      </c>
      <c r="D192" t="n">
        <v>253</v>
      </c>
      <c r="E192" s="19" t="str">
        <f aca="1">VLOOKUP(T_Aop[[#This Row],[Id]],T_Aop[],ID_Jezik+10,1)</f>
        <v>671, 571 neto prikaz</v>
      </c>
      <c r="F192" t="str">
        <f aca="1">REPT("  ",T_Aop[[#This Row],[Aop nivo]])&amp;VLOOKUP(T_Aop[[#This Row],[Id]],T_Aop[],ID_Jezik+6,1)</f>
        <v>    2. Neto dobici po osnovu prodaje investicionih nekretnina</v>
      </c>
      <c r="G192" s="222" t="s">
        <v>1717</v>
      </c>
      <c r="H192" s="222" t="s">
        <v>1718</v>
      </c>
      <c r="I192" s="229" t="s">
        <v>1719</v>
      </c>
      <c r="J192" s="281" t="s">
        <v>1720</v>
      </c>
      <c r="K192" s="287" t="s">
        <v>1721</v>
      </c>
      <c r="L192" s="209" t="s">
        <v>1722</v>
      </c>
      <c r="M192" s="227" t="s">
        <v>1723</v>
      </c>
      <c r="N192" s="227" t="s">
        <v>1724</v>
      </c>
      <c r="O192" s="19"/>
      <c r="P192" s="19"/>
    </row>
    <row r="193" spans="1:16" ht="12.75" customHeight="1">
      <c r="A193">
        <f>ROW()-ROW($A$1)</f>
        <v>192</v>
      </c>
      <c r="B193" t="s">
        <v>297</v>
      </c>
      <c r="C193" t="n">
        <v>2</v>
      </c>
      <c r="D193" t="n">
        <v>254</v>
      </c>
      <c r="E193" s="19" t="str">
        <f aca="1">VLOOKUP(T_Aop[[#This Row],[Id]],T_Aop[],ID_Jezik+10,1)</f>
        <v>672, 572 neto prikaz</v>
      </c>
      <c r="F193" t="str">
        <f aca="1">REPT("  ",T_Aop[[#This Row],[Aop nivo]])&amp;VLOOKUP(T_Aop[[#This Row],[Id]],T_Aop[],ID_Jezik+6,1)</f>
        <v>    3. Neto dobici po osnovu prodaje bioloških sredstava</v>
      </c>
      <c r="G193" s="222" t="s">
        <v>1725</v>
      </c>
      <c r="H193" s="222" t="s">
        <v>1726</v>
      </c>
      <c r="I193" s="229" t="s">
        <v>1727</v>
      </c>
      <c r="J193" s="281" t="s">
        <v>1728</v>
      </c>
      <c r="K193" s="287" t="s">
        <v>1729</v>
      </c>
      <c r="L193" s="209" t="s">
        <v>1730</v>
      </c>
      <c r="M193" s="227" t="s">
        <v>1731</v>
      </c>
      <c r="N193" s="227" t="s">
        <v>1732</v>
      </c>
      <c r="O193" s="19"/>
      <c r="P193" s="19"/>
    </row>
    <row r="194" spans="1:16" ht="12.75" customHeight="1">
      <c r="A194">
        <f>ROW()-ROW($A$1)</f>
        <v>193</v>
      </c>
      <c r="B194" t="s">
        <v>297</v>
      </c>
      <c r="C194" t="n">
        <v>2</v>
      </c>
      <c r="D194" t="n">
        <v>255</v>
      </c>
      <c r="E194" s="19" t="str">
        <f aca="1">VLOOKUP(T_Aop[[#This Row],[Id]],T_Aop[],ID_Jezik+10,1)</f>
        <v>673, 573, neto prikaz</v>
      </c>
      <c r="F194" t="str">
        <f aca="1">REPT("  ",T_Aop[[#This Row],[Aop nivo]])&amp;VLOOKUP(T_Aop[[#This Row],[Id]],T_Aop[],ID_Jezik+6,1)</f>
        <v>    4. Neto dobici po osnovu prodaje stalnih sredstava namijenjenih prodaji i sredstava poslovanja koje se obustavlja</v>
      </c>
      <c r="G194" s="222" t="s">
        <v>1733</v>
      </c>
      <c r="H194" s="222" t="s">
        <v>1734</v>
      </c>
      <c r="I194" s="229" t="s">
        <v>1735</v>
      </c>
      <c r="J194" s="281" t="s">
        <v>1736</v>
      </c>
      <c r="K194" s="287" t="s">
        <v>1737</v>
      </c>
      <c r="L194" s="209" t="s">
        <v>1738</v>
      </c>
      <c r="M194" s="227" t="s">
        <v>1739</v>
      </c>
      <c r="N194" s="227" t="s">
        <v>1740</v>
      </c>
      <c r="O194" s="19"/>
      <c r="P194" s="19"/>
    </row>
    <row r="195" spans="1:16" ht="12.75" customHeight="1">
      <c r="A195">
        <f>ROW()-ROW($A$1)</f>
        <v>194</v>
      </c>
      <c r="B195" t="s">
        <v>297</v>
      </c>
      <c r="C195" t="n">
        <v>2</v>
      </c>
      <c r="D195" t="n">
        <v>256</v>
      </c>
      <c r="E195" s="19" t="str">
        <f aca="1">VLOOKUP(T_Aop[[#This Row],[Id]],T_Aop[],ID_Jezik+10,1)</f>
        <v>674, 574 neto prikaz</v>
      </c>
      <c r="F195" t="str">
        <f aca="1">REPT("  ",T_Aop[[#This Row],[Aop nivo]])&amp;VLOOKUP(T_Aop[[#This Row],[Id]],T_Aop[],ID_Jezik+6,1)</f>
        <v>    5. Neto dobici po osnovu prodaje finansijskih sredstava i ulaganja u povezana lica</v>
      </c>
      <c r="G195" s="222" t="s">
        <v>1741</v>
      </c>
      <c r="H195" s="222" t="s">
        <v>1742</v>
      </c>
      <c r="I195" s="229" t="s">
        <v>1743</v>
      </c>
      <c r="J195" s="281" t="s">
        <v>1744</v>
      </c>
      <c r="K195" s="287" t="s">
        <v>1745</v>
      </c>
      <c r="L195" s="209" t="s">
        <v>1746</v>
      </c>
      <c r="M195" s="227" t="s">
        <v>1747</v>
      </c>
      <c r="N195" s="227" t="s">
        <v>1748</v>
      </c>
      <c r="O195" s="19"/>
      <c r="P195" s="19"/>
    </row>
    <row r="196" spans="1:16" ht="25.50" customHeight="1">
      <c r="A196">
        <f>ROW()-ROW($A$1)</f>
        <v>195</v>
      </c>
      <c r="B196" t="s">
        <v>297</v>
      </c>
      <c r="C196" t="n">
        <v>2</v>
      </c>
      <c r="D196" t="n">
        <v>257</v>
      </c>
      <c r="E196" s="19" t="str">
        <f aca="1">VLOOKUP(T_Aop[[#This Row],[Id]],T_Aop[],ID_Jezik+10,1)</f>
        <v>675, 575 neto prikaz</v>
      </c>
      <c r="F196" t="str">
        <f aca="1">REPT("  ",T_Aop[[#This Row],[Aop nivo]])&amp;VLOOKUP(T_Aop[[#This Row],[Id]],T_Aop[],ID_Jezik+6,1)</f>
        <v>    6. Neto dobici po osnovu prodaje materijala</v>
      </c>
      <c r="G196" s="222" t="s">
        <v>1749</v>
      </c>
      <c r="H196" s="222" t="s">
        <v>1750</v>
      </c>
      <c r="I196" s="229" t="s">
        <v>1751</v>
      </c>
      <c r="J196" s="281" t="s">
        <v>1752</v>
      </c>
      <c r="K196" s="287" t="s">
        <v>1753</v>
      </c>
      <c r="L196" s="209" t="s">
        <v>1754</v>
      </c>
      <c r="M196" s="227" t="s">
        <v>1755</v>
      </c>
      <c r="N196" s="227" t="s">
        <v>1756</v>
      </c>
      <c r="O196" s="19"/>
      <c r="P196" s="19"/>
    </row>
    <row r="197" spans="1:16">
      <c r="A197">
        <f>ROW()-ROW($A$1)</f>
        <v>196</v>
      </c>
      <c r="B197" t="s">
        <v>297</v>
      </c>
      <c r="C197" t="n">
        <v>2</v>
      </c>
      <c r="D197" t="n">
        <v>258</v>
      </c>
      <c r="E197" s="19" t="str">
        <f aca="1">VLOOKUP(T_Aop[[#This Row],[Id]],T_Aop[],ID_Jezik+10,1)</f>
        <v>676</v>
      </c>
      <c r="F197" t="str">
        <f aca="1">REPT("  ",T_Aop[[#This Row],[Aop nivo]])&amp;VLOOKUP(T_Aop[[#This Row],[Id]],T_Aop[],ID_Jezik+6,1)</f>
        <v>    7. Viškovi</v>
      </c>
      <c r="G197" s="222" t="s">
        <v>1757</v>
      </c>
      <c r="H197" s="222" t="s">
        <v>1758</v>
      </c>
      <c r="I197" s="229" t="s">
        <v>1759</v>
      </c>
      <c r="J197" s="281" t="s">
        <v>1760</v>
      </c>
      <c r="K197" s="287" t="s">
        <v>1761</v>
      </c>
      <c r="L197" s="209" t="n">
        <v>676</v>
      </c>
      <c r="M197" s="227" t="n">
        <v>676</v>
      </c>
      <c r="N197" s="227" t="n">
        <v>676</v>
      </c>
      <c r="O197" s="19"/>
      <c r="P197" s="19" t="n">
        <v>1</v>
      </c>
    </row>
    <row r="198" spans="1:16" ht="12.75" customHeight="1">
      <c r="A198">
        <f>ROW()-ROW($A$1)</f>
        <v>197</v>
      </c>
      <c r="B198" t="s">
        <v>297</v>
      </c>
      <c r="C198" t="n">
        <v>2</v>
      </c>
      <c r="D198" t="n">
        <v>259</v>
      </c>
      <c r="E198" s="19" t="str">
        <f aca="1">VLOOKUP(T_Aop[[#This Row],[Id]],T_Aop[],ID_Jezik+10,1)</f>
        <v>677, 679</v>
      </c>
      <c r="F198" t="str">
        <f aca="1">REPT("  ",T_Aop[[#This Row],[Aop nivo]])&amp;VLOOKUP(T_Aop[[#This Row],[Id]],T_Aop[],ID_Jezik+6,1)</f>
        <v>    8. Ostali prihodi i dobici </v>
      </c>
      <c r="G198" s="222" t="s">
        <v>1762</v>
      </c>
      <c r="H198" s="222" t="s">
        <v>1763</v>
      </c>
      <c r="I198" s="229" t="s">
        <v>1764</v>
      </c>
      <c r="J198" s="281" t="s">
        <v>1765</v>
      </c>
      <c r="K198" s="287" t="s">
        <v>1766</v>
      </c>
      <c r="L198" s="209" t="s">
        <v>1766</v>
      </c>
      <c r="M198" s="227" t="s">
        <v>1766</v>
      </c>
      <c r="N198" s="227" t="s">
        <v>1766</v>
      </c>
      <c r="O198" s="19"/>
      <c r="P198" s="19" t="n">
        <v>1</v>
      </c>
    </row>
    <row r="199" spans="1:16" ht="12.75" customHeight="1">
      <c r="A199">
        <f>ROW()-ROW($A$1)</f>
        <v>198</v>
      </c>
      <c r="B199" t="s">
        <v>297</v>
      </c>
      <c r="C199" t="n">
        <v>2</v>
      </c>
      <c r="D199" t="n">
        <v>260</v>
      </c>
      <c r="E199" s="19" t="str">
        <f aca="1">VLOOKUP(T_Aop[[#This Row],[Id]],T_Aop[],ID_Jezik+10,1)</f>
        <v>678, 577</v>
      </c>
      <c r="F199" t="str">
        <f aca="1">REPT("  ",T_Aop[[#This Row],[Aop nivo]])&amp;VLOOKUP(T_Aop[[#This Row],[Id]],T_Aop[],ID_Jezik+6,1)</f>
        <v>    9.  Neto dobici od derivatnih finansijskih instrumenata </v>
      </c>
      <c r="G199" s="222" t="s">
        <v>1767</v>
      </c>
      <c r="H199" s="222" t="s">
        <v>1768</v>
      </c>
      <c r="I199" s="229" t="s">
        <v>1769</v>
      </c>
      <c r="J199" s="281" t="s">
        <v>1770</v>
      </c>
      <c r="K199" s="287" t="s">
        <v>1771</v>
      </c>
      <c r="L199" s="209" t="s">
        <v>1771</v>
      </c>
      <c r="M199" s="227" t="s">
        <v>1771</v>
      </c>
      <c r="N199" s="227" t="s">
        <v>1771</v>
      </c>
      <c r="O199" s="19" t="n">
        <v>1</v>
      </c>
      <c r="P199" s="19"/>
    </row>
    <row r="200" spans="1:16" ht="12.75" customHeight="1">
      <c r="A200">
        <f>ROW()-ROW($A$1)</f>
        <v>199</v>
      </c>
      <c r="B200" t="s">
        <v>297</v>
      </c>
      <c r="C200" t="n">
        <v>1</v>
      </c>
      <c r="D200" t="n">
        <v>261</v>
      </c>
      <c r="E200" s="19" t="str">
        <f aca="1">VLOOKUP(T_Aop[[#This Row],[Id]],T_Aop[],ID_Jezik+10,1)</f>
        <v>57</v>
      </c>
      <c r="F200" t="str">
        <f aca="1">REPT("  ",T_Aop[[#This Row],[Aop nivo]])&amp;VLOOKUP(T_Aop[[#This Row],[Id]],T_Aop[],ID_Jezik+6,1)</f>
        <v>  II  OSTALI RASHODI I GUBICI (262 do 270)</v>
      </c>
      <c r="G200" s="222" t="s">
        <v>1772</v>
      </c>
      <c r="H200" s="222" t="s">
        <v>1773</v>
      </c>
      <c r="I200" s="229" t="s">
        <v>1774</v>
      </c>
      <c r="J200" s="281" t="s">
        <v>1775</v>
      </c>
      <c r="K200" s="287" t="s">
        <v>1776</v>
      </c>
      <c r="L200" s="209" t="n">
        <v>57</v>
      </c>
      <c r="M200" s="227" t="n">
        <v>57</v>
      </c>
      <c r="N200" s="227" t="n">
        <v>57</v>
      </c>
      <c r="O200" s="19"/>
      <c r="P200" s="19"/>
    </row>
    <row r="201" spans="1:16" ht="12.75" customHeight="1">
      <c r="A201">
        <f>ROW()-ROW($A$1)</f>
        <v>200</v>
      </c>
      <c r="B201" t="s">
        <v>297</v>
      </c>
      <c r="C201" t="n">
        <v>2</v>
      </c>
      <c r="D201" t="n">
        <v>262</v>
      </c>
      <c r="E201" s="19" t="str">
        <f aca="1">VLOOKUP(T_Aop[[#This Row],[Id]],T_Aop[],ID_Jezik+10,1)</f>
        <v>570, 670 neto prikaz</v>
      </c>
      <c r="F201" t="str">
        <f aca="1">REPT("  ",T_Aop[[#This Row],[Aop nivo]])&amp;VLOOKUP(T_Aop[[#This Row],[Id]],T_Aop[],ID_Jezik+6,1)</f>
        <v>    1. Neto gubici po osnovu otuđenja nematerijalnih sredstava, nekretnina, postrojenja i opreme</v>
      </c>
      <c r="G201" s="222" t="s">
        <v>1777</v>
      </c>
      <c r="H201" s="222" t="s">
        <v>1778</v>
      </c>
      <c r="I201" s="229" t="s">
        <v>1779</v>
      </c>
      <c r="J201" s="281" t="s">
        <v>1780</v>
      </c>
      <c r="K201" s="287" t="s">
        <v>1781</v>
      </c>
      <c r="L201" s="209" t="s">
        <v>1782</v>
      </c>
      <c r="M201" s="227" t="s">
        <v>1783</v>
      </c>
      <c r="N201" s="227" t="s">
        <v>1784</v>
      </c>
      <c r="O201" s="19"/>
      <c r="P201" s="19"/>
    </row>
    <row r="202" spans="1:16" ht="12.75" customHeight="1">
      <c r="A202">
        <f>ROW()-ROW($A$1)</f>
        <v>201</v>
      </c>
      <c r="B202" t="s">
        <v>297</v>
      </c>
      <c r="C202" t="n">
        <v>2</v>
      </c>
      <c r="D202" t="n">
        <v>263</v>
      </c>
      <c r="E202" s="19" t="str">
        <f aca="1">VLOOKUP(T_Aop[[#This Row],[Id]],T_Aop[],ID_Jezik+10,1)</f>
        <v>571, 671 neto prikaz</v>
      </c>
      <c r="F202" t="str">
        <f aca="1">REPT("  ",T_Aop[[#This Row],[Aop nivo]])&amp;VLOOKUP(T_Aop[[#This Row],[Id]],T_Aop[],ID_Jezik+6,1)</f>
        <v>    2. Neto gubici po osnovu otuđenja investicionih nekretnina</v>
      </c>
      <c r="G202" s="222" t="s">
        <v>1785</v>
      </c>
      <c r="H202" s="222" t="s">
        <v>1786</v>
      </c>
      <c r="I202" s="229" t="s">
        <v>1787</v>
      </c>
      <c r="J202" s="281" t="s">
        <v>1788</v>
      </c>
      <c r="K202" s="287" t="s">
        <v>1789</v>
      </c>
      <c r="L202" s="209" t="s">
        <v>1790</v>
      </c>
      <c r="M202" s="227" t="s">
        <v>1791</v>
      </c>
      <c r="N202" s="227" t="s">
        <v>1792</v>
      </c>
      <c r="O202" s="19"/>
      <c r="P202" s="19"/>
    </row>
    <row r="203" spans="1:16" ht="12.75" customHeight="1">
      <c r="A203">
        <f>ROW()-ROW($A$1)</f>
        <v>202</v>
      </c>
      <c r="B203" t="s">
        <v>297</v>
      </c>
      <c r="C203" t="n">
        <v>2</v>
      </c>
      <c r="D203" t="n">
        <v>264</v>
      </c>
      <c r="E203" s="19" t="str">
        <f aca="1">VLOOKUP(T_Aop[[#This Row],[Id]],T_Aop[],ID_Jezik+10,1)</f>
        <v>572, 672 neto prikaz</v>
      </c>
      <c r="F203" t="str">
        <f aca="1">REPT("  ",T_Aop[[#This Row],[Aop nivo]])&amp;VLOOKUP(T_Aop[[#This Row],[Id]],T_Aop[],ID_Jezik+6,1)</f>
        <v>    3. Neto gubici po osnovu otuđenja bioloških sredstava</v>
      </c>
      <c r="G203" s="222" t="s">
        <v>1793</v>
      </c>
      <c r="H203" s="222" t="s">
        <v>1794</v>
      </c>
      <c r="I203" s="229" t="s">
        <v>1795</v>
      </c>
      <c r="J203" s="281" t="s">
        <v>1796</v>
      </c>
      <c r="K203" s="287" t="s">
        <v>1797</v>
      </c>
      <c r="L203" s="209" t="s">
        <v>1798</v>
      </c>
      <c r="M203" s="227" t="s">
        <v>1799</v>
      </c>
      <c r="N203" s="227" t="s">
        <v>1800</v>
      </c>
      <c r="O203" s="19"/>
      <c r="P203" s="19"/>
    </row>
    <row r="204" spans="1:16" ht="12.75" customHeight="1">
      <c r="A204">
        <f>ROW()-ROW($A$1)</f>
        <v>203</v>
      </c>
      <c r="B204" t="s">
        <v>297</v>
      </c>
      <c r="C204" t="n">
        <v>2</v>
      </c>
      <c r="D204" t="n">
        <v>265</v>
      </c>
      <c r="E204" s="19" t="str">
        <f aca="1">VLOOKUP(T_Aop[[#This Row],[Id]],T_Aop[],ID_Jezik+10,1)</f>
        <v>573, 673, neto prikaz</v>
      </c>
      <c r="F204" t="str">
        <f aca="1">REPT("  ",T_Aop[[#This Row],[Aop nivo]])&amp;VLOOKUP(T_Aop[[#This Row],[Id]],T_Aop[],ID_Jezik+6,1)</f>
        <v>    4. Neto gubici po osnovu otuđenja stalnih sredstava namijenjenih prodaji i sredstava poslovanja koje se obustavlja</v>
      </c>
      <c r="G204" s="222" t="s">
        <v>1801</v>
      </c>
      <c r="H204" s="222" t="s">
        <v>1802</v>
      </c>
      <c r="I204" s="229" t="s">
        <v>1803</v>
      </c>
      <c r="J204" s="281" t="s">
        <v>1804</v>
      </c>
      <c r="K204" s="287" t="s">
        <v>1805</v>
      </c>
      <c r="L204" s="209" t="s">
        <v>1806</v>
      </c>
      <c r="M204" s="227" t="s">
        <v>1807</v>
      </c>
      <c r="N204" s="227" t="s">
        <v>1808</v>
      </c>
      <c r="O204" s="19"/>
      <c r="P204" s="19"/>
    </row>
    <row r="205" spans="1:16" ht="12.75" customHeight="1">
      <c r="A205">
        <f>ROW()-ROW($A$1)</f>
        <v>204</v>
      </c>
      <c r="B205" t="s">
        <v>297</v>
      </c>
      <c r="C205" t="n">
        <v>2</v>
      </c>
      <c r="D205" t="n">
        <v>266</v>
      </c>
      <c r="E205" s="19" t="str">
        <f aca="1">VLOOKUP(T_Aop[[#This Row],[Id]],T_Aop[],ID_Jezik+10,1)</f>
        <v>574, 674 neto prikaz</v>
      </c>
      <c r="F205" t="str">
        <f aca="1">REPT("  ",T_Aop[[#This Row],[Aop nivo]])&amp;VLOOKUP(T_Aop[[#This Row],[Id]],T_Aop[],ID_Jezik+6,1)</f>
        <v>    5. Neto gubici od otuđenja finansijskih sredstava i ulaganja u povezana lica</v>
      </c>
      <c r="G205" s="222" t="s">
        <v>1809</v>
      </c>
      <c r="H205" s="222" t="s">
        <v>1810</v>
      </c>
      <c r="I205" s="229" t="s">
        <v>1811</v>
      </c>
      <c r="J205" s="281" t="s">
        <v>1812</v>
      </c>
      <c r="K205" s="287" t="s">
        <v>1813</v>
      </c>
      <c r="L205" s="209" t="s">
        <v>1814</v>
      </c>
      <c r="M205" s="227" t="s">
        <v>1815</v>
      </c>
      <c r="N205" s="227" t="s">
        <v>1816</v>
      </c>
      <c r="O205" s="19"/>
      <c r="P205" s="19"/>
    </row>
    <row r="206" spans="1:16" ht="17.25" customHeight="1">
      <c r="A206">
        <f>ROW()-ROW($A$1)</f>
        <v>205</v>
      </c>
      <c r="B206" t="s">
        <v>297</v>
      </c>
      <c r="C206" t="n">
        <v>2</v>
      </c>
      <c r="D206" t="n">
        <v>267</v>
      </c>
      <c r="E206" s="19" t="str">
        <f aca="1">VLOOKUP(T_Aop[[#This Row],[Id]],T_Aop[],ID_Jezik+10,1)</f>
        <v>575, 675 neto prikaz </v>
      </c>
      <c r="F206" t="str">
        <f aca="1">REPT("  ",T_Aop[[#This Row],[Aop nivo]])&amp;VLOOKUP(T_Aop[[#This Row],[Id]],T_Aop[],ID_Jezik+6,1)</f>
        <v>    6. Neto gubici po osnovu prodaje materijala</v>
      </c>
      <c r="G206" s="222" t="s">
        <v>1817</v>
      </c>
      <c r="H206" s="222" t="s">
        <v>1818</v>
      </c>
      <c r="I206" s="229" t="s">
        <v>1819</v>
      </c>
      <c r="J206" s="281" t="s">
        <v>1820</v>
      </c>
      <c r="K206" s="287" t="s">
        <v>1821</v>
      </c>
      <c r="L206" s="209" t="s">
        <v>1822</v>
      </c>
      <c r="M206" s="227" t="s">
        <v>1823</v>
      </c>
      <c r="N206" s="227" t="s">
        <v>1824</v>
      </c>
      <c r="O206" s="19"/>
      <c r="P206" s="19"/>
    </row>
    <row r="207" spans="1:16">
      <c r="A207">
        <f>ROW()-ROW($A$1)</f>
        <v>206</v>
      </c>
      <c r="B207" t="s">
        <v>297</v>
      </c>
      <c r="C207" t="n">
        <v>2</v>
      </c>
      <c r="D207" t="n">
        <v>268</v>
      </c>
      <c r="E207" s="19" t="str">
        <f aca="1">VLOOKUP(T_Aop[[#This Row],[Id]],T_Aop[],ID_Jezik+10,1)</f>
        <v>576</v>
      </c>
      <c r="F207" t="str">
        <f aca="1">REPT("  ",T_Aop[[#This Row],[Aop nivo]])&amp;VLOOKUP(T_Aop[[#This Row],[Id]],T_Aop[],ID_Jezik+6,1)</f>
        <v>    7.  Manjkovi</v>
      </c>
      <c r="G207" s="222" t="s">
        <v>1825</v>
      </c>
      <c r="H207" s="222" t="s">
        <v>1826</v>
      </c>
      <c r="I207" s="229" t="s">
        <v>1827</v>
      </c>
      <c r="J207" s="281" t="s">
        <v>1828</v>
      </c>
      <c r="K207" s="287" t="s">
        <v>1829</v>
      </c>
      <c r="L207" s="209" t="n">
        <v>576</v>
      </c>
      <c r="M207" s="227" t="n">
        <v>576</v>
      </c>
      <c r="N207" s="227" t="n">
        <v>576</v>
      </c>
      <c r="O207" s="19"/>
      <c r="P207" s="19" t="n">
        <v>1</v>
      </c>
    </row>
    <row r="208" spans="1:16" ht="12.75" customHeight="1">
      <c r="A208">
        <f>ROW()-ROW($A$1)</f>
        <v>207</v>
      </c>
      <c r="B208" t="s">
        <v>297</v>
      </c>
      <c r="C208" t="n">
        <v>2</v>
      </c>
      <c r="D208" t="n">
        <v>269</v>
      </c>
      <c r="E208" s="19" t="str">
        <f aca="1">VLOOKUP(T_Aop[[#This Row],[Id]],T_Aop[],ID_Jezik+10,1)</f>
        <v>577, 678 neto prikaz</v>
      </c>
      <c r="F208" t="str">
        <f aca="1">REPT("  ",T_Aop[[#This Row],[Aop nivo]])&amp;VLOOKUP(T_Aop[[#This Row],[Id]],T_Aop[],ID_Jezik+6,1)</f>
        <v>    8. Neto gubici od derivatnih finansijskih instrumenata</v>
      </c>
      <c r="G208" s="222" t="s">
        <v>1830</v>
      </c>
      <c r="H208" s="222" t="s">
        <v>1831</v>
      </c>
      <c r="I208" s="229" t="s">
        <v>1832</v>
      </c>
      <c r="J208" s="281" t="s">
        <v>1833</v>
      </c>
      <c r="K208" s="287" t="s">
        <v>1834</v>
      </c>
      <c r="L208" s="209" t="s">
        <v>1835</v>
      </c>
      <c r="M208" s="227" t="s">
        <v>1836</v>
      </c>
      <c r="N208" s="227" t="s">
        <v>1837</v>
      </c>
      <c r="O208" s="19"/>
      <c r="P208" s="19"/>
    </row>
    <row r="209" spans="1:16" ht="12.75" customHeight="1">
      <c r="A209">
        <f>ROW()-ROW($A$1)</f>
        <v>208</v>
      </c>
      <c r="B209" t="s">
        <v>297</v>
      </c>
      <c r="C209" t="n">
        <v>2</v>
      </c>
      <c r="D209" t="n">
        <v>270</v>
      </c>
      <c r="E209" s="19" t="str">
        <f aca="1">VLOOKUP(T_Aop[[#This Row],[Id]],T_Aop[],ID_Jezik+10,1)</f>
        <v>578, 579</v>
      </c>
      <c r="F209" t="str">
        <f aca="1">REPT("  ",T_Aop[[#This Row],[Aop nivo]])&amp;VLOOKUP(T_Aop[[#This Row],[Id]],T_Aop[],ID_Jezik+6,1)</f>
        <v>    9. Ostali rashodi i gubici</v>
      </c>
      <c r="G209" s="222" t="s">
        <v>1838</v>
      </c>
      <c r="H209" s="222" t="s">
        <v>1839</v>
      </c>
      <c r="I209" s="229" t="s">
        <v>1840</v>
      </c>
      <c r="J209" s="281" t="s">
        <v>1841</v>
      </c>
      <c r="K209" s="287" t="s">
        <v>1842</v>
      </c>
      <c r="L209" s="209" t="s">
        <v>1842</v>
      </c>
      <c r="M209" s="227" t="s">
        <v>1842</v>
      </c>
      <c r="N209" s="227" t="s">
        <v>1842</v>
      </c>
      <c r="O209" s="19"/>
      <c r="P209" s="19"/>
    </row>
    <row r="210" spans="1:16" ht="12.75" customHeight="1">
      <c r="A210">
        <f>ROW()-ROW($A$1)</f>
        <v>209</v>
      </c>
      <c r="B210" t="s">
        <v>297</v>
      </c>
      <c r="C210" t="n">
        <v>1</v>
      </c>
      <c r="D210" t="n">
        <v>271</v>
      </c>
      <c r="E210" s="19">
        <f aca="1">VLOOKUP(T_Aop[[#This Row],[Id]],T_Aop[],ID_Jezik+10,1)</f>
        <v>0</v>
      </c>
      <c r="F210" t="str">
        <f aca="1">REPT("  ",T_Aop[[#This Row],[Aop nivo]])&amp;VLOOKUP(T_Aop[[#This Row],[Id]],T_Aop[],ID_Jezik+6,1)</f>
        <v>  Ž. DOBITAK PO OSNOVU OSTALIH PRIHODA I RASHODA (251 – 261)</v>
      </c>
      <c r="G210" s="215" t="s">
        <v>1843</v>
      </c>
      <c r="H210" s="222" t="s">
        <v>1844</v>
      </c>
      <c r="I210" s="229" t="s">
        <v>1845</v>
      </c>
      <c r="J210" s="281" t="s">
        <v>1846</v>
      </c>
      <c r="K210" s="287"/>
      <c r="L210" s="209"/>
      <c r="M210" s="227"/>
      <c r="N210" s="227"/>
      <c r="O210" s="19" t="n">
        <v>1</v>
      </c>
      <c r="P210" s="19"/>
    </row>
    <row r="211" spans="1:16" ht="12.75" customHeight="1">
      <c r="A211">
        <f>ROW()-ROW($A$1)</f>
        <v>210</v>
      </c>
      <c r="B211" t="s">
        <v>297</v>
      </c>
      <c r="C211" t="n">
        <v>1</v>
      </c>
      <c r="D211" t="n">
        <v>272</v>
      </c>
      <c r="E211" s="19">
        <f aca="1">VLOOKUP(T_Aop[[#This Row],[Id]],T_Aop[],ID_Jezik+10,1)</f>
        <v>0</v>
      </c>
      <c r="F211" t="str">
        <f aca="1">REPT("  ",T_Aop[[#This Row],[Aop nivo]])&amp;VLOOKUP(T_Aop[[#This Row],[Id]],T_Aop[],ID_Jezik+6,1)</f>
        <v>  Z. GUBITAK PO OSNOVU OSTALIH PRIHODA I RASHODA (261 – 251)</v>
      </c>
      <c r="G211" s="215" t="s">
        <v>1847</v>
      </c>
      <c r="H211" s="222" t="s">
        <v>1848</v>
      </c>
      <c r="I211" s="229" t="s">
        <v>1849</v>
      </c>
      <c r="J211" s="281" t="s">
        <v>1850</v>
      </c>
      <c r="K211" s="287"/>
      <c r="L211" s="209"/>
      <c r="M211" s="227"/>
      <c r="N211" s="227"/>
      <c r="O211" s="19" t="n">
        <v>1</v>
      </c>
      <c r="P211" s="19"/>
    </row>
    <row r="212" spans="1:16" ht="12.75" customHeight="1">
      <c r="A212">
        <f>ROW()-ROW($A$1)</f>
        <v>211</v>
      </c>
      <c r="B212" t="s">
        <v>297</v>
      </c>
      <c r="C212" t="n">
        <v>1</v>
      </c>
      <c r="D212" t="n">
        <v>273</v>
      </c>
      <c r="E212" s="19" t="str">
        <f aca="1">VLOOKUP(T_Aop[[#This Row],[Id]],T_Aop[],ID_Jezik+10,1)</f>
        <v>68</v>
      </c>
      <c r="F212" t="str">
        <f aca="1">REPT("  ",T_Aop[[#This Row],[Aop nivo]])&amp;VLOOKUP(T_Aop[[#This Row],[Id]],T_Aop[],ID_Jezik+6,1)</f>
        <v>  I. PRIHODI I RASHODI OD USKLAĐIVANJA VRIJEDNOSTI IMOVINE 
I   PRIHODI OD USKLAĐIVANJA VRIJEDNOSTI IMOVINE (274 + 281)</v>
      </c>
      <c r="G212" s="214" t="s">
        <v>1851</v>
      </c>
      <c r="H212" s="225" t="s">
        <v>1852</v>
      </c>
      <c r="I212" s="230" t="s">
        <v>1853</v>
      </c>
      <c r="J212" s="281" t="s">
        <v>1854</v>
      </c>
      <c r="K212" s="287" t="s">
        <v>1855</v>
      </c>
      <c r="L212" s="209" t="n">
        <v>68</v>
      </c>
      <c r="M212" s="227" t="n">
        <v>68</v>
      </c>
      <c r="N212" s="227" t="n">
        <v>68</v>
      </c>
      <c r="O212" s="19" t="n">
        <v>1</v>
      </c>
      <c r="P212" s="19"/>
    </row>
    <row r="213" spans="1:16" ht="12.75" customHeight="1">
      <c r="A213">
        <f>ROW()-ROW($A$1)</f>
        <v>212</v>
      </c>
      <c r="B213" t="s">
        <v>297</v>
      </c>
      <c r="C213" t="n">
        <v>2</v>
      </c>
      <c r="D213" t="n">
        <v>274</v>
      </c>
      <c r="E213" s="19" t="str">
        <f aca="1">VLOOKUP(T_Aop[[#This Row],[Id]],T_Aop[],ID_Jezik+10,1)</f>
        <v>dio 68</v>
      </c>
      <c r="F213" t="str">
        <f aca="1">REPT("  ",T_Aop[[#This Row],[Aop nivo]])&amp;VLOOKUP(T_Aop[[#This Row],[Id]],T_Aop[],ID_Jezik+6,1)</f>
        <v>    1. Neto dobici od usklađivanja imovine (osim finansijske)  (275 do 280)</v>
      </c>
      <c r="G213" s="222" t="s">
        <v>1856</v>
      </c>
      <c r="H213" s="222" t="s">
        <v>1857</v>
      </c>
      <c r="I213" s="229" t="s">
        <v>1858</v>
      </c>
      <c r="J213" s="281" t="s">
        <v>1859</v>
      </c>
      <c r="K213" s="287" t="s">
        <v>1860</v>
      </c>
      <c r="L213" s="209" t="s">
        <v>1861</v>
      </c>
      <c r="M213" s="227" t="s">
        <v>1862</v>
      </c>
      <c r="N213" s="227" t="s">
        <v>1863</v>
      </c>
      <c r="O213" s="19" t="n">
        <v>1</v>
      </c>
      <c r="P213" s="19"/>
    </row>
    <row r="214" spans="1:16" ht="12.75" customHeight="1">
      <c r="A214">
        <f>ROW()-ROW($A$1)</f>
        <v>213</v>
      </c>
      <c r="B214" t="s">
        <v>297</v>
      </c>
      <c r="C214" t="n">
        <v>3</v>
      </c>
      <c r="D214" t="n">
        <v>275</v>
      </c>
      <c r="E214" s="19" t="str">
        <f aca="1">VLOOKUP(T_Aop[[#This Row],[Id]],T_Aop[],ID_Jezik+10,1)</f>
        <v>680, 580 neto prikaz</v>
      </c>
      <c r="F214" t="str">
        <f aca="1">REPT("  ",T_Aop[[#This Row],[Aop nivo]])&amp;VLOOKUP(T_Aop[[#This Row],[Id]],T_Aop[],ID_Jezik+6,1)</f>
        <v>      1.1. Neto dobici od umanjenja ranije priznatih gubitaka usljed obezvređenja nematerijalnih sredstava</v>
      </c>
      <c r="G214" s="222" t="s">
        <v>1864</v>
      </c>
      <c r="H214" s="60" t="s">
        <v>1865</v>
      </c>
      <c r="I214" s="229" t="s">
        <v>1866</v>
      </c>
      <c r="J214" s="281" t="s">
        <v>1867</v>
      </c>
      <c r="K214" s="287" t="s">
        <v>1868</v>
      </c>
      <c r="L214" s="209" t="s">
        <v>1869</v>
      </c>
      <c r="M214" s="227" t="s">
        <v>1870</v>
      </c>
      <c r="N214" s="227" t="s">
        <v>1871</v>
      </c>
      <c r="O214" s="19"/>
      <c r="P214" s="19"/>
    </row>
    <row r="215" spans="1:16" ht="12.75" customHeight="1">
      <c r="A215">
        <f>ROW()-ROW($A$1)</f>
        <v>214</v>
      </c>
      <c r="B215" t="s">
        <v>297</v>
      </c>
      <c r="C215" t="n">
        <v>3</v>
      </c>
      <c r="D215" t="n">
        <v>276</v>
      </c>
      <c r="E215" s="19" t="str">
        <f aca="1">VLOOKUP(T_Aop[[#This Row],[Id]],T_Aop[],ID_Jezik+10,1)</f>
        <v>681, 581 neto prikaz</v>
      </c>
      <c r="F215" t="str">
        <f aca="1">REPT("  ",T_Aop[[#This Row],[Aop nivo]])&amp;VLOOKUP(T_Aop[[#This Row],[Id]],T_Aop[],ID_Jezik+6,1)</f>
        <v>      1.2. Neto dobici od umanjenja ranije priznatih gubitaka usljed obezvređenja nekretnina, postrojenja i opreme</v>
      </c>
      <c r="G215" s="222" t="s">
        <v>1872</v>
      </c>
      <c r="H215" s="60" t="s">
        <v>1873</v>
      </c>
      <c r="I215" s="229" t="s">
        <v>1874</v>
      </c>
      <c r="J215" s="281" t="s">
        <v>1875</v>
      </c>
      <c r="K215" s="287" t="s">
        <v>1876</v>
      </c>
      <c r="L215" s="209" t="s">
        <v>1877</v>
      </c>
      <c r="M215" s="227" t="s">
        <v>1878</v>
      </c>
      <c r="N215" s="227" t="s">
        <v>1879</v>
      </c>
      <c r="O215" s="19"/>
      <c r="P215" s="19"/>
    </row>
    <row r="216" spans="1:16" ht="12.75" customHeight="1">
      <c r="A216">
        <f>ROW()-ROW($A$1)</f>
        <v>215</v>
      </c>
      <c r="B216" t="s">
        <v>297</v>
      </c>
      <c r="C216" t="n">
        <v>3</v>
      </c>
      <c r="D216" t="n">
        <v>277</v>
      </c>
      <c r="E216" s="19" t="str">
        <f aca="1">VLOOKUP(T_Aop[[#This Row],[Id]],T_Aop[],ID_Jezik+10,1)</f>
        <v>682, 582 neto prikaz</v>
      </c>
      <c r="F216" t="str">
        <f aca="1">REPT("  ",T_Aop[[#This Row],[Aop nivo]])&amp;VLOOKUP(T_Aop[[#This Row],[Id]],T_Aop[],ID_Jezik+6,1)</f>
        <v>      1.3.  Neto dobici od umanjenja ranije priznatih gubitaka usljed obezvređenja investicionih nekretnina koje se vrednuju po nabavnoj vrijednosti</v>
      </c>
      <c r="G216" s="222" t="s">
        <v>1880</v>
      </c>
      <c r="H216" s="60" t="s">
        <v>1881</v>
      </c>
      <c r="I216" s="229" t="s">
        <v>1882</v>
      </c>
      <c r="J216" s="281" t="s">
        <v>1883</v>
      </c>
      <c r="K216" s="287" t="s">
        <v>1884</v>
      </c>
      <c r="L216" s="209" t="s">
        <v>1885</v>
      </c>
      <c r="M216" s="227" t="s">
        <v>1886</v>
      </c>
      <c r="N216" s="227" t="s">
        <v>1887</v>
      </c>
      <c r="O216" s="19"/>
      <c r="P216" s="19"/>
    </row>
    <row r="217" spans="1:16" ht="12.75" customHeight="1">
      <c r="A217">
        <f>ROW()-ROW($A$1)</f>
        <v>216</v>
      </c>
      <c r="B217" t="s">
        <v>297</v>
      </c>
      <c r="C217" t="n">
        <v>3</v>
      </c>
      <c r="D217" t="n">
        <v>278</v>
      </c>
      <c r="E217" s="19" t="str">
        <f aca="1">VLOOKUP(T_Aop[[#This Row],[Id]],T_Aop[],ID_Jezik+10,1)</f>
        <v>683, 583 neto prikaz</v>
      </c>
      <c r="F217" t="str">
        <f aca="1">REPT("  ",T_Aop[[#This Row],[Aop nivo]])&amp;VLOOKUP(T_Aop[[#This Row],[Id]],T_Aop[],ID_Jezik+6,1)</f>
        <v>      1.4.  Neto dobici od umanjenja ranije priznatih gubitaka usljed obezvređenja bioloških sredstva koja se vrednuju po nabavnoj vrijednosti</v>
      </c>
      <c r="G217" s="222" t="s">
        <v>1888</v>
      </c>
      <c r="H217" s="60" t="s">
        <v>1889</v>
      </c>
      <c r="I217" s="229" t="s">
        <v>1890</v>
      </c>
      <c r="J217" s="281" t="s">
        <v>1891</v>
      </c>
      <c r="K217" s="287" t="s">
        <v>1892</v>
      </c>
      <c r="L217" s="209" t="s">
        <v>1893</v>
      </c>
      <c r="M217" s="227" t="s">
        <v>1894</v>
      </c>
      <c r="N217" s="227" t="s">
        <v>1895</v>
      </c>
      <c r="O217" s="19"/>
      <c r="P217" s="19"/>
    </row>
    <row r="218" spans="1:16" ht="12.75" customHeight="1">
      <c r="A218">
        <f>ROW()-ROW($A$1)</f>
        <v>217</v>
      </c>
      <c r="B218" t="s">
        <v>297</v>
      </c>
      <c r="C218" t="n">
        <v>3</v>
      </c>
      <c r="D218" t="n">
        <v>279</v>
      </c>
      <c r="E218" s="19" t="str">
        <f aca="1">VLOOKUP(T_Aop[[#This Row],[Id]],T_Aop[],ID_Jezik+10,1)</f>
        <v>685, 585 neto prikaz</v>
      </c>
      <c r="F218" t="str">
        <f aca="1">REPT("  ",T_Aop[[#This Row],[Aop nivo]])&amp;VLOOKUP(T_Aop[[#This Row],[Id]],T_Aop[],ID_Jezik+6,1)</f>
        <v>      1.5.  Neto dobici od usklađivanja vrijednosti zaliha materijala i robe </v>
      </c>
      <c r="G218" s="222" t="s">
        <v>1896</v>
      </c>
      <c r="H218" s="60" t="s">
        <v>1897</v>
      </c>
      <c r="I218" s="229" t="s">
        <v>1898</v>
      </c>
      <c r="J218" s="281" t="s">
        <v>1899</v>
      </c>
      <c r="K218" s="287" t="s">
        <v>1900</v>
      </c>
      <c r="L218" s="209" t="s">
        <v>1901</v>
      </c>
      <c r="M218" s="227" t="s">
        <v>1902</v>
      </c>
      <c r="N218" s="227" t="s">
        <v>1903</v>
      </c>
      <c r="O218" s="19"/>
      <c r="P218" s="19" t="n">
        <v>1</v>
      </c>
    </row>
    <row r="219" spans="1:16" ht="12.75" customHeight="1">
      <c r="A219">
        <f>ROW()-ROW($A$1)</f>
        <v>218</v>
      </c>
      <c r="B219" t="s">
        <v>297</v>
      </c>
      <c r="C219" t="n">
        <v>3</v>
      </c>
      <c r="D219" t="n">
        <v>280</v>
      </c>
      <c r="E219" s="19" t="str">
        <f aca="1">VLOOKUP(T_Aop[[#This Row],[Id]],T_Aop[],ID_Jezik+10,1)</f>
        <v>688, dio 689, 588, dio 589neto prikaz</v>
      </c>
      <c r="F219" t="str">
        <f aca="1">REPT("  ",T_Aop[[#This Row],[Aop nivo]])&amp;VLOOKUP(T_Aop[[#This Row],[Id]],T_Aop[],ID_Jezik+6,1)</f>
        <v>      1.6.  Neto dobici od usklađivanja vrijednost stalnih sredstava namijenjenih prodaji, sredstava poslovanja koje se obustavlja i ostalih nefinansijskih sredstava</v>
      </c>
      <c r="G219" s="222" t="s">
        <v>1904</v>
      </c>
      <c r="H219" s="60" t="s">
        <v>1905</v>
      </c>
      <c r="I219" s="229" t="s">
        <v>1906</v>
      </c>
      <c r="J219" s="281" t="s">
        <v>1907</v>
      </c>
      <c r="K219" s="287" t="s">
        <v>1908</v>
      </c>
      <c r="L219" s="209" t="s">
        <v>1909</v>
      </c>
      <c r="M219" s="227" t="s">
        <v>1909</v>
      </c>
      <c r="N219" s="227" t="s">
        <v>1910</v>
      </c>
      <c r="O219" s="19"/>
      <c r="P219" s="19"/>
    </row>
    <row r="220" spans="1:16" ht="12.75" customHeight="1">
      <c r="A220">
        <f>ROW()-ROW($A$1)</f>
        <v>219</v>
      </c>
      <c r="B220" t="s">
        <v>297</v>
      </c>
      <c r="C220" t="n">
        <v>2</v>
      </c>
      <c r="D220" t="n">
        <v>281</v>
      </c>
      <c r="E220" s="19" t="str">
        <f aca="1">VLOOKUP(T_Aop[[#This Row],[Id]],T_Aop[],ID_Jezik+10,1)</f>
        <v>dio 68</v>
      </c>
      <c r="F220" t="str">
        <f aca="1">REPT("  ",T_Aop[[#This Row],[Aop nivo]])&amp;VLOOKUP(T_Aop[[#This Row],[Id]],T_Aop[],ID_Jezik+6,1)</f>
        <v>    2. Neto dobici od usklađivanja vrijednosti finansijskih sredstava (282 do 285)</v>
      </c>
      <c r="G220" s="222" t="s">
        <v>1911</v>
      </c>
      <c r="H220" s="60" t="s">
        <v>1912</v>
      </c>
      <c r="I220" s="229" t="s">
        <v>1913</v>
      </c>
      <c r="J220" s="281" t="s">
        <v>1914</v>
      </c>
      <c r="K220" s="287" t="s">
        <v>1860</v>
      </c>
      <c r="L220" s="209" t="s">
        <v>1861</v>
      </c>
      <c r="M220" s="227" t="s">
        <v>1915</v>
      </c>
      <c r="N220" s="227" t="s">
        <v>1863</v>
      </c>
      <c r="O220" s="19"/>
      <c r="P220" s="19"/>
    </row>
    <row r="221" spans="1:16" ht="12.75" customHeight="1">
      <c r="A221">
        <f>ROW()-ROW($A$1)</f>
        <v>220</v>
      </c>
      <c r="B221" t="s">
        <v>297</v>
      </c>
      <c r="C221" t="n">
        <v>3</v>
      </c>
      <c r="D221" t="n">
        <v>282</v>
      </c>
      <c r="E221" s="19" t="str">
        <f aca="1">VLOOKUP(T_Aop[[#This Row],[Id]],T_Aop[],ID_Jezik+10,1)</f>
        <v>684, 584 neto prikaz</v>
      </c>
      <c r="F221" t="str">
        <f aca="1">REPT("  ",T_Aop[[#This Row],[Aop nivo]])&amp;VLOOKUP(T_Aop[[#This Row],[Id]],T_Aop[],ID_Jezik+6,1)</f>
        <v>      2.1  Neto dobici od usklađivanja vrijednosti dugoročnih finansijskih sredstava </v>
      </c>
      <c r="G221" s="222" t="s">
        <v>1916</v>
      </c>
      <c r="H221" s="60" t="s">
        <v>1917</v>
      </c>
      <c r="I221" s="229" t="s">
        <v>1918</v>
      </c>
      <c r="J221" s="281" t="s">
        <v>1919</v>
      </c>
      <c r="K221" s="287" t="s">
        <v>1920</v>
      </c>
      <c r="L221" s="209" t="s">
        <v>1921</v>
      </c>
      <c r="M221" s="227" t="s">
        <v>1922</v>
      </c>
      <c r="N221" s="227" t="s">
        <v>1923</v>
      </c>
      <c r="O221" s="19"/>
      <c r="P221" s="19"/>
    </row>
    <row r="222" spans="1:16" ht="12.75" customHeight="1">
      <c r="A222">
        <f>ROW()-ROW($A$1)</f>
        <v>221</v>
      </c>
      <c r="B222" t="s">
        <v>297</v>
      </c>
      <c r="C222" t="n">
        <v>3</v>
      </c>
      <c r="D222" t="n">
        <v>283</v>
      </c>
      <c r="E222" s="19" t="str">
        <f aca="1">VLOOKUP(T_Aop[[#This Row],[Id]],T_Aop[],ID_Jezik+10,1)</f>
        <v>686, 585 neto prikaz</v>
      </c>
      <c r="F222" t="str">
        <f aca="1">REPT("  ",T_Aop[[#This Row],[Aop nivo]])&amp;VLOOKUP(T_Aop[[#This Row],[Id]],T_Aop[],ID_Jezik+6,1)</f>
        <v>      2.2  Neto dobici od usklađivanja vrijednosti kratkoročnih finansijskih sredstava (osim potraživanja od kupaca)</v>
      </c>
      <c r="G222" s="222" t="s">
        <v>1924</v>
      </c>
      <c r="H222" s="60" t="s">
        <v>1925</v>
      </c>
      <c r="I222" s="229" t="s">
        <v>1926</v>
      </c>
      <c r="J222" s="281" t="s">
        <v>1927</v>
      </c>
      <c r="K222" s="287" t="s">
        <v>1928</v>
      </c>
      <c r="L222" s="209" t="s">
        <v>1929</v>
      </c>
      <c r="M222" s="227" t="s">
        <v>1930</v>
      </c>
      <c r="N222" s="227" t="s">
        <v>1931</v>
      </c>
      <c r="O222" s="19"/>
      <c r="P222" s="19"/>
    </row>
    <row r="223" spans="1:16" ht="12.75" customHeight="1">
      <c r="A223">
        <f>ROW()-ROW($A$1)</f>
        <v>222</v>
      </c>
      <c r="B223" t="s">
        <v>297</v>
      </c>
      <c r="C223" t="n">
        <v>3</v>
      </c>
      <c r="D223" t="n">
        <v>284</v>
      </c>
      <c r="E223" s="19" t="str">
        <f aca="1">VLOOKUP(T_Aop[[#This Row],[Id]],T_Aop[],ID_Jezik+10,1)</f>
        <v>687, 587 neto prikaz</v>
      </c>
      <c r="F223" t="str">
        <f aca="1">REPT("  ",T_Aop[[#This Row],[Aop nivo]])&amp;VLOOKUP(T_Aop[[#This Row],[Id]],T_Aop[],ID_Jezik+6,1)</f>
        <v>      2.3  Neto dobici od umanjenja ranije priznatih kreditnih gubitaka usljed obezvređenja potraživanja od kupaca </v>
      </c>
      <c r="G223" s="222" t="s">
        <v>1932</v>
      </c>
      <c r="H223" s="60" t="s">
        <v>1933</v>
      </c>
      <c r="I223" s="231" t="s">
        <v>1934</v>
      </c>
      <c r="J223" s="281" t="s">
        <v>1935</v>
      </c>
      <c r="K223" s="287" t="s">
        <v>1936</v>
      </c>
      <c r="L223" s="209" t="s">
        <v>1937</v>
      </c>
      <c r="M223" s="227" t="s">
        <v>1938</v>
      </c>
      <c r="N223" s="227" t="s">
        <v>1939</v>
      </c>
      <c r="O223" s="19" t="n">
        <v>1</v>
      </c>
      <c r="P223" s="19"/>
    </row>
    <row r="224" spans="1:16" ht="12.75" customHeight="1">
      <c r="A224">
        <f>ROW()-ROW($A$1)</f>
        <v>223</v>
      </c>
      <c r="B224" t="s">
        <v>297</v>
      </c>
      <c r="C224" t="n">
        <v>3</v>
      </c>
      <c r="D224" t="n">
        <v>285</v>
      </c>
      <c r="E224" s="19" t="str">
        <f aca="1">VLOOKUP(T_Aop[[#This Row],[Id]],T_Aop[],ID_Jezik+10,1)</f>
        <v>dio 689, dio 589 neto prikaz</v>
      </c>
      <c r="F224" t="str">
        <f aca="1">REPT("  ",T_Aop[[#This Row],[Aop nivo]])&amp;VLOOKUP(T_Aop[[#This Row],[Id]],T_Aop[],ID_Jezik+6,1)</f>
        <v>      2.4  Neto dobici od usklađivanja vrijednosti ostalih finansijskih sredstava</v>
      </c>
      <c r="G224" s="222" t="s">
        <v>1940</v>
      </c>
      <c r="H224" s="60" t="s">
        <v>1941</v>
      </c>
      <c r="I224" s="229" t="s">
        <v>1942</v>
      </c>
      <c r="J224" s="281" t="s">
        <v>1943</v>
      </c>
      <c r="K224" s="287" t="s">
        <v>1944</v>
      </c>
      <c r="L224" s="209" t="s">
        <v>1945</v>
      </c>
      <c r="M224" s="227" t="s">
        <v>1946</v>
      </c>
      <c r="N224" s="227" t="s">
        <v>1947</v>
      </c>
      <c r="O224" s="19"/>
      <c r="P224" s="19"/>
    </row>
    <row r="225" spans="1:16" ht="12.75" customHeight="1">
      <c r="A225">
        <f>ROW()-ROW($A$1)</f>
        <v>224</v>
      </c>
      <c r="B225" t="s">
        <v>297</v>
      </c>
      <c r="C225" t="n">
        <v>1</v>
      </c>
      <c r="D225" t="n">
        <v>286</v>
      </c>
      <c r="E225" s="19" t="str">
        <f aca="1">VLOOKUP(T_Aop[[#This Row],[Id]],T_Aop[],ID_Jezik+10,1)</f>
        <v>58</v>
      </c>
      <c r="F225" t="str">
        <f aca="1">REPT("  ",T_Aop[[#This Row],[Aop nivo]])&amp;VLOOKUP(T_Aop[[#This Row],[Id]],T_Aop[],ID_Jezik+6,1)</f>
        <v>  II  RASHODI OD USKLAĐIVANJA VRIJEDNOSTI IMOVINE (287 + 294)</v>
      </c>
      <c r="G225" s="215" t="s">
        <v>1948</v>
      </c>
      <c r="H225" s="60" t="s">
        <v>1949</v>
      </c>
      <c r="I225" s="229" t="s">
        <v>1950</v>
      </c>
      <c r="J225" s="281" t="s">
        <v>1951</v>
      </c>
      <c r="K225" s="287" t="s">
        <v>1952</v>
      </c>
      <c r="L225" s="209" t="n">
        <v>58</v>
      </c>
      <c r="M225" s="227" t="n">
        <v>58</v>
      </c>
      <c r="N225" s="227" t="n">
        <v>58</v>
      </c>
      <c r="O225" s="19"/>
      <c r="P225" s="19"/>
    </row>
    <row r="226" spans="1:16" ht="12.75" customHeight="1">
      <c r="A226">
        <f>ROW()-ROW($A$1)</f>
        <v>225</v>
      </c>
      <c r="B226" t="s">
        <v>297</v>
      </c>
      <c r="C226" t="n">
        <v>2</v>
      </c>
      <c r="D226" t="n">
        <v>287</v>
      </c>
      <c r="E226" s="19">
        <f aca="1">VLOOKUP(T_Aop[[#This Row],[Id]],T_Aop[],ID_Jezik+10,1)</f>
        <v>0</v>
      </c>
      <c r="F226" t="str">
        <f aca="1">REPT("  ",T_Aop[[#This Row],[Aop nivo]])&amp;VLOOKUP(T_Aop[[#This Row],[Id]],T_Aop[],ID_Jezik+6,1)</f>
        <v>    1.  Rashodi od usklađivanja vrijednosti imovine (osim finansijske) (288 do 293)</v>
      </c>
      <c r="G226" s="222" t="s">
        <v>1953</v>
      </c>
      <c r="H226" s="60" t="s">
        <v>1954</v>
      </c>
      <c r="I226" s="229" t="s">
        <v>1955</v>
      </c>
      <c r="J226" s="281" t="s">
        <v>1956</v>
      </c>
      <c r="K226" s="287"/>
      <c r="L226" s="209"/>
      <c r="M226" s="227"/>
      <c r="N226" s="227"/>
      <c r="O226" s="19"/>
      <c r="P226" s="19"/>
    </row>
    <row r="227" spans="1:16" ht="12.75" customHeight="1">
      <c r="A227">
        <f>ROW()-ROW($A$1)</f>
        <v>226</v>
      </c>
      <c r="B227" t="s">
        <v>297</v>
      </c>
      <c r="C227" t="n">
        <v>3</v>
      </c>
      <c r="D227" t="n">
        <v>288</v>
      </c>
      <c r="E227" s="19" t="str">
        <f aca="1">VLOOKUP(T_Aop[[#This Row],[Id]],T_Aop[],ID_Jezik+10,1)</f>
        <v>580, 680 neto prikaz</v>
      </c>
      <c r="F227" t="str">
        <f aca="1">REPT("  ",T_Aop[[#This Row],[Aop nivo]])&amp;VLOOKUP(T_Aop[[#This Row],[Id]],T_Aop[],ID_Jezik+6,1)</f>
        <v>      1.1. Neto gubici po osnovu obezvređenja nematerijalnih sredstava</v>
      </c>
      <c r="G227" s="222" t="s">
        <v>1957</v>
      </c>
      <c r="H227" s="60" t="s">
        <v>1958</v>
      </c>
      <c r="I227" s="229" t="s">
        <v>1959</v>
      </c>
      <c r="J227" s="281" t="s">
        <v>1960</v>
      </c>
      <c r="K227" s="287" t="s">
        <v>1961</v>
      </c>
      <c r="L227" s="209" t="s">
        <v>1962</v>
      </c>
      <c r="M227" s="227" t="s">
        <v>1962</v>
      </c>
      <c r="N227" s="227" t="s">
        <v>1963</v>
      </c>
      <c r="O227" s="19"/>
      <c r="P227" s="19"/>
    </row>
    <row r="228" spans="1:16" ht="12.75" customHeight="1">
      <c r="A228">
        <f>ROW()-ROW($A$1)</f>
        <v>227</v>
      </c>
      <c r="B228" t="s">
        <v>297</v>
      </c>
      <c r="C228" t="n">
        <v>3</v>
      </c>
      <c r="D228" t="n">
        <v>289</v>
      </c>
      <c r="E228" s="19" t="str">
        <f aca="1">VLOOKUP(T_Aop[[#This Row],[Id]],T_Aop[],ID_Jezik+10,1)</f>
        <v>581, 681 neto prikaz</v>
      </c>
      <c r="F228" t="str">
        <f aca="1">REPT("  ",T_Aop[[#This Row],[Aop nivo]])&amp;VLOOKUP(T_Aop[[#This Row],[Id]],T_Aop[],ID_Jezik+6,1)</f>
        <v>      1.2. Neto gubici po osnovu obezvređenja nekretnina, postrojenja i opreme</v>
      </c>
      <c r="G228" s="222" t="s">
        <v>1964</v>
      </c>
      <c r="H228" s="60" t="s">
        <v>1965</v>
      </c>
      <c r="I228" s="229" t="s">
        <v>1966</v>
      </c>
      <c r="J228" s="281" t="s">
        <v>1967</v>
      </c>
      <c r="K228" s="287" t="s">
        <v>1968</v>
      </c>
      <c r="L228" s="209" t="s">
        <v>1969</v>
      </c>
      <c r="M228" s="227" t="s">
        <v>1970</v>
      </c>
      <c r="N228" s="227" t="s">
        <v>1971</v>
      </c>
      <c r="O228" s="19"/>
      <c r="P228" s="19"/>
    </row>
    <row r="229" spans="1:16" ht="12.75" customHeight="1">
      <c r="A229">
        <f>ROW()-ROW($A$1)</f>
        <v>228</v>
      </c>
      <c r="B229" t="s">
        <v>297</v>
      </c>
      <c r="C229" t="n">
        <v>3</v>
      </c>
      <c r="D229" t="n">
        <v>290</v>
      </c>
      <c r="E229" s="19" t="str">
        <f aca="1">VLOOKUP(T_Aop[[#This Row],[Id]],T_Aop[],ID_Jezik+10,1)</f>
        <v>582, 682 neto prikaz</v>
      </c>
      <c r="F229" t="str">
        <f aca="1">REPT("  ",T_Aop[[#This Row],[Aop nivo]])&amp;VLOOKUP(T_Aop[[#This Row],[Id]],T_Aop[],ID_Jezik+6,1)</f>
        <v>      1.3. Neto gubici po osnovu obezvređenja investicionih nekretnina koje se vrednuju po nabavnoj vrijednosti</v>
      </c>
      <c r="G229" s="222" t="s">
        <v>1972</v>
      </c>
      <c r="H229" s="60" t="s">
        <v>1973</v>
      </c>
      <c r="I229" s="229" t="s">
        <v>1974</v>
      </c>
      <c r="J229" s="281" t="s">
        <v>1975</v>
      </c>
      <c r="K229" s="287" t="s">
        <v>1976</v>
      </c>
      <c r="L229" s="209" t="s">
        <v>1977</v>
      </c>
      <c r="M229" s="227" t="s">
        <v>1978</v>
      </c>
      <c r="N229" s="227" t="s">
        <v>1979</v>
      </c>
      <c r="O229" s="19"/>
      <c r="P229" s="19"/>
    </row>
    <row r="230" spans="1:16" ht="12.75" customHeight="1">
      <c r="A230">
        <f>ROW()-ROW($A$1)</f>
        <v>229</v>
      </c>
      <c r="B230" t="s">
        <v>297</v>
      </c>
      <c r="C230" t="n">
        <v>3</v>
      </c>
      <c r="D230" t="n">
        <v>291</v>
      </c>
      <c r="E230" s="19" t="str">
        <f aca="1">VLOOKUP(T_Aop[[#This Row],[Id]],T_Aop[],ID_Jezik+10,1)</f>
        <v>583, 683 neto prikaz</v>
      </c>
      <c r="F230" t="str">
        <f aca="1">REPT("  ",T_Aop[[#This Row],[Aop nivo]])&amp;VLOOKUP(T_Aop[[#This Row],[Id]],T_Aop[],ID_Jezik+6,1)</f>
        <v>      1.4. Neto gubici po osnovu obezvređenja bioloških sredstva koje se vrednuju po nabavnoj vrijednosti</v>
      </c>
      <c r="G230" s="222" t="s">
        <v>1980</v>
      </c>
      <c r="H230" s="60" t="s">
        <v>1981</v>
      </c>
      <c r="I230" s="229" t="s">
        <v>1982</v>
      </c>
      <c r="J230" s="281" t="s">
        <v>1983</v>
      </c>
      <c r="K230" s="287" t="s">
        <v>1984</v>
      </c>
      <c r="L230" s="209" t="s">
        <v>1985</v>
      </c>
      <c r="M230" s="227" t="s">
        <v>1986</v>
      </c>
      <c r="N230" s="227" t="s">
        <v>1987</v>
      </c>
      <c r="O230" s="19"/>
      <c r="P230" s="19"/>
    </row>
    <row r="231" spans="1:16" ht="12.75" customHeight="1">
      <c r="A231">
        <f>ROW()-ROW($A$1)</f>
        <v>230</v>
      </c>
      <c r="B231" t="s">
        <v>297</v>
      </c>
      <c r="C231" t="n">
        <v>3</v>
      </c>
      <c r="D231" t="n">
        <v>292</v>
      </c>
      <c r="E231" s="19" t="str">
        <f aca="1">VLOOKUP(T_Aop[[#This Row],[Id]],T_Aop[],ID_Jezik+10,1)</f>
        <v>585, 685 neto prikaz</v>
      </c>
      <c r="F231" t="str">
        <f aca="1">REPT("  ",T_Aop[[#This Row],[Aop nivo]])&amp;VLOOKUP(T_Aop[[#This Row],[Id]],T_Aop[],ID_Jezik+6,1)</f>
        <v>      1.5. Neto gubici od usklađivanja vrijednosti zaliha materijala i robe </v>
      </c>
      <c r="G231" s="222" t="s">
        <v>1988</v>
      </c>
      <c r="H231" s="60" t="s">
        <v>1989</v>
      </c>
      <c r="I231" s="229" t="s">
        <v>1990</v>
      </c>
      <c r="J231" s="281" t="s">
        <v>1991</v>
      </c>
      <c r="K231" s="287" t="s">
        <v>1992</v>
      </c>
      <c r="L231" s="209" t="s">
        <v>1993</v>
      </c>
      <c r="M231" s="227" t="s">
        <v>1994</v>
      </c>
      <c r="N231" s="227" t="s">
        <v>1995</v>
      </c>
      <c r="O231" s="19"/>
      <c r="P231" s="19"/>
    </row>
    <row r="232" spans="1:16" ht="12.75" customHeight="1">
      <c r="A232">
        <f>ROW()-ROW($A$1)</f>
        <v>231</v>
      </c>
      <c r="B232" t="s">
        <v>297</v>
      </c>
      <c r="C232" t="n">
        <v>3</v>
      </c>
      <c r="D232" t="n">
        <v>293</v>
      </c>
      <c r="E232" s="19" t="str">
        <f aca="1">VLOOKUP(T_Aop[[#This Row],[Id]],T_Aop[],ID_Jezik+10,1)</f>
        <v>588, dio 589, 688, dio 689 neto prikaz</v>
      </c>
      <c r="F232" t="str">
        <f aca="1">REPT("  ",T_Aop[[#This Row],[Aop nivo]])&amp;VLOOKUP(T_Aop[[#This Row],[Id]],T_Aop[],ID_Jezik+6,1)</f>
        <v>      1.6. Neto gubici od usklađivanja vrijednosti stalnih sredstava namijenjenih prodaji, sredstava poslovanja koje se obustavlja i ostalih nefinansijskih sredstava</v>
      </c>
      <c r="G232" s="222" t="s">
        <v>1996</v>
      </c>
      <c r="H232" s="60" t="s">
        <v>1997</v>
      </c>
      <c r="I232" s="229" t="s">
        <v>1998</v>
      </c>
      <c r="J232" s="281" t="s">
        <v>1999</v>
      </c>
      <c r="K232" s="287" t="s">
        <v>2000</v>
      </c>
      <c r="L232" s="209" t="s">
        <v>2001</v>
      </c>
      <c r="M232" s="227" t="s">
        <v>2002</v>
      </c>
      <c r="N232" s="227" t="s">
        <v>2003</v>
      </c>
      <c r="O232" s="19"/>
      <c r="P232" s="19"/>
    </row>
    <row r="233" spans="1:16" ht="12.75" customHeight="1">
      <c r="A233">
        <f>ROW()-ROW($A$1)</f>
        <v>232</v>
      </c>
      <c r="B233" t="s">
        <v>297</v>
      </c>
      <c r="C233" t="n">
        <v>2</v>
      </c>
      <c r="D233" t="n">
        <v>294</v>
      </c>
      <c r="E233" s="19">
        <f aca="1">VLOOKUP(T_Aop[[#This Row],[Id]],T_Aop[],ID_Jezik+10,1)</f>
        <v>0</v>
      </c>
      <c r="F233" t="str">
        <f aca="1">REPT("  ",T_Aop[[#This Row],[Aop nivo]])&amp;VLOOKUP(T_Aop[[#This Row],[Id]],T_Aop[],ID_Jezik+6,1)</f>
        <v>    2.  Gubici od usklađivanja vrijednosti finansijskih sredstava (295 do 298)</v>
      </c>
      <c r="G233" s="222" t="s">
        <v>2004</v>
      </c>
      <c r="H233" s="60" t="s">
        <v>2005</v>
      </c>
      <c r="I233" s="229" t="s">
        <v>2006</v>
      </c>
      <c r="J233" s="281" t="s">
        <v>2007</v>
      </c>
      <c r="K233" s="287"/>
      <c r="L233" s="209"/>
      <c r="M233" s="227"/>
      <c r="N233" s="227"/>
      <c r="O233" s="19" t="n">
        <v>1</v>
      </c>
      <c r="P233" s="19"/>
    </row>
    <row r="234" spans="1:16" ht="12.75" customHeight="1">
      <c r="A234">
        <f>ROW()-ROW($A$1)</f>
        <v>233</v>
      </c>
      <c r="B234" t="s">
        <v>297</v>
      </c>
      <c r="C234" t="n">
        <v>3</v>
      </c>
      <c r="D234" t="n">
        <v>295</v>
      </c>
      <c r="E234" s="19" t="str">
        <f aca="1">VLOOKUP(T_Aop[[#This Row],[Id]],T_Aop[],ID_Jezik+10,1)</f>
        <v>584, 684 neto prikaz</v>
      </c>
      <c r="F234" t="str">
        <f aca="1">REPT("  ",T_Aop[[#This Row],[Aop nivo]])&amp;VLOOKUP(T_Aop[[#This Row],[Id]],T_Aop[],ID_Jezik+6,1)</f>
        <v>      2.1 Neto gubici od usklađivanja vrijednosti dugoročnih finansijskih sredstava</v>
      </c>
      <c r="G234" s="222" t="s">
        <v>2008</v>
      </c>
      <c r="H234" s="60" t="s">
        <v>2009</v>
      </c>
      <c r="I234" s="229" t="s">
        <v>2010</v>
      </c>
      <c r="J234" s="281" t="s">
        <v>2011</v>
      </c>
      <c r="K234" s="287" t="s">
        <v>2012</v>
      </c>
      <c r="L234" s="209" t="s">
        <v>2013</v>
      </c>
      <c r="M234" s="227" t="s">
        <v>2013</v>
      </c>
      <c r="N234" s="227" t="s">
        <v>2014</v>
      </c>
      <c r="O234" s="19" t="n">
        <v>1</v>
      </c>
      <c r="P234" s="19"/>
    </row>
    <row r="235" spans="1:16" ht="12.75" customHeight="1">
      <c r="A235">
        <f>ROW()-ROW($A$1)</f>
        <v>234</v>
      </c>
      <c r="B235" t="s">
        <v>297</v>
      </c>
      <c r="C235" t="n">
        <v>3</v>
      </c>
      <c r="D235" t="n">
        <v>296</v>
      </c>
      <c r="E235" s="19" t="str">
        <f aca="1">VLOOKUP(T_Aop[[#This Row],[Id]],T_Aop[],ID_Jezik+10,1)</f>
        <v>586, 686 neto prikaz</v>
      </c>
      <c r="F235" t="str">
        <f aca="1">REPT("  ",T_Aop[[#This Row],[Aop nivo]])&amp;VLOOKUP(T_Aop[[#This Row],[Id]],T_Aop[],ID_Jezik+6,1)</f>
        <v>      2.2  Neto gubici od usklađivanja vrijednosti kratkoročnih finansijskih sredstava (osim potraživanja od kupaca)</v>
      </c>
      <c r="G235" s="222" t="s">
        <v>2015</v>
      </c>
      <c r="H235" s="60" t="s">
        <v>2016</v>
      </c>
      <c r="I235" s="229" t="s">
        <v>2017</v>
      </c>
      <c r="J235" s="281" t="s">
        <v>2018</v>
      </c>
      <c r="K235" s="287" t="s">
        <v>2019</v>
      </c>
      <c r="L235" s="209" t="s">
        <v>2020</v>
      </c>
      <c r="M235" s="227" t="s">
        <v>2021</v>
      </c>
      <c r="N235" s="227" t="s">
        <v>2022</v>
      </c>
      <c r="O235" s="19" t="n">
        <v>1</v>
      </c>
      <c r="P235" s="19" t="n">
        <v>1</v>
      </c>
    </row>
    <row r="236" spans="1:16" ht="12.75" customHeight="1">
      <c r="A236">
        <f>ROW()-ROW($A$1)</f>
        <v>235</v>
      </c>
      <c r="B236" t="s">
        <v>297</v>
      </c>
      <c r="C236" t="n">
        <v>3</v>
      </c>
      <c r="D236" t="n">
        <v>297</v>
      </c>
      <c r="E236" s="19" t="str">
        <f aca="1">VLOOKUP(T_Aop[[#This Row],[Id]],T_Aop[],ID_Jezik+10,1)</f>
        <v>587, 687 neto prikaz</v>
      </c>
      <c r="F236" t="str">
        <f aca="1">REPT("  ",T_Aop[[#This Row],[Aop nivo]])&amp;VLOOKUP(T_Aop[[#This Row],[Id]],T_Aop[],ID_Jezik+6,1)</f>
        <v>      2.3 Neto gubici od usklađivanja vrijednosti potraživanja od kupaca</v>
      </c>
      <c r="G236" s="222" t="s">
        <v>2023</v>
      </c>
      <c r="H236" s="60" t="s">
        <v>2024</v>
      </c>
      <c r="I236" s="229" t="s">
        <v>2025</v>
      </c>
      <c r="J236" s="281" t="s">
        <v>2026</v>
      </c>
      <c r="K236" s="287" t="s">
        <v>2027</v>
      </c>
      <c r="L236" s="209" t="s">
        <v>2028</v>
      </c>
      <c r="M236" s="227" t="s">
        <v>2029</v>
      </c>
      <c r="N236" s="227" t="s">
        <v>2030</v>
      </c>
      <c r="O236" s="19" t="n">
        <v>1</v>
      </c>
      <c r="P236" s="19" t="n">
        <v>1</v>
      </c>
    </row>
    <row r="237" spans="1:16" ht="12.75" customHeight="1">
      <c r="A237">
        <f>ROW()-ROW($A$1)</f>
        <v>236</v>
      </c>
      <c r="B237" t="s">
        <v>297</v>
      </c>
      <c r="C237" t="n">
        <v>3</v>
      </c>
      <c r="D237" t="n">
        <v>298</v>
      </c>
      <c r="E237" s="19" t="str">
        <f aca="1">VLOOKUP(T_Aop[[#This Row],[Id]],T_Aop[],ID_Jezik+10,1)</f>
        <v>dio 589, dio 689neto prikaz</v>
      </c>
      <c r="F237" t="str">
        <f aca="1">REPT("  ",T_Aop[[#This Row],[Aop nivo]])&amp;VLOOKUP(T_Aop[[#This Row],[Id]],T_Aop[],ID_Jezik+6,1)</f>
        <v>      2.4  Neto gubici od usklađivanja vrijednosti ostalih finansijskih sredstava</v>
      </c>
      <c r="G237" s="222" t="s">
        <v>2031</v>
      </c>
      <c r="H237" s="60" t="s">
        <v>2032</v>
      </c>
      <c r="I237" s="229" t="s">
        <v>2033</v>
      </c>
      <c r="J237" s="281" t="s">
        <v>2034</v>
      </c>
      <c r="K237" s="287" t="s">
        <v>2035</v>
      </c>
      <c r="L237" s="209" t="s">
        <v>2036</v>
      </c>
      <c r="M237" s="227" t="s">
        <v>2037</v>
      </c>
      <c r="N237" s="227" t="s">
        <v>2038</v>
      </c>
      <c r="O237" s="19" t="n">
        <v>1</v>
      </c>
      <c r="P237" s="19"/>
    </row>
    <row r="238" spans="1:16" ht="12.75" customHeight="1">
      <c r="A238">
        <f>ROW()-ROW($A$1)</f>
        <v>237</v>
      </c>
      <c r="B238" t="s">
        <v>297</v>
      </c>
      <c r="C238" t="n">
        <v>1</v>
      </c>
      <c r="D238" t="n">
        <v>299</v>
      </c>
      <c r="E238" s="19">
        <f aca="1">VLOOKUP(T_Aop[[#This Row],[Id]],T_Aop[],ID_Jezik+10,1)</f>
        <v>0</v>
      </c>
      <c r="F238" t="str">
        <f aca="1">REPT("  ",T_Aop[[#This Row],[Aop nivo]])&amp;VLOOKUP(T_Aop[[#This Row],[Id]],T_Aop[],ID_Jezik+6,1)</f>
        <v>  J. DOBITAK PO OSNOVU USKLAĐIVANJA VRIJEDNOSTI IMOVINE (273 – 286) </v>
      </c>
      <c r="G238" s="225" t="s">
        <v>2039</v>
      </c>
      <c r="H238" s="221" t="s">
        <v>2040</v>
      </c>
      <c r="I238" s="229" t="s">
        <v>2041</v>
      </c>
      <c r="J238" s="281" t="s">
        <v>2042</v>
      </c>
      <c r="K238" s="287"/>
      <c r="L238" s="209"/>
      <c r="M238" s="227"/>
      <c r="N238" s="227"/>
      <c r="O238" s="19"/>
      <c r="P238" s="19"/>
    </row>
    <row r="239" spans="1:16" ht="12.75" customHeight="1">
      <c r="A239">
        <f>ROW()-ROW($A$1)</f>
        <v>238</v>
      </c>
      <c r="B239" t="s">
        <v>297</v>
      </c>
      <c r="C239" t="n">
        <v>1</v>
      </c>
      <c r="D239" t="n">
        <v>300</v>
      </c>
      <c r="E239" s="19">
        <f aca="1">VLOOKUP(T_Aop[[#This Row],[Id]],T_Aop[],ID_Jezik+10,1)</f>
        <v>0</v>
      </c>
      <c r="F239" t="str">
        <f aca="1">REPT("  ",T_Aop[[#This Row],[Aop nivo]])&amp;VLOOKUP(T_Aop[[#This Row],[Id]],T_Aop[],ID_Jezik+6,1)</f>
        <v>  K. GUBITAK PO OSNOVU USKLAĐIVANJA VRIJEDNOSTI IMOVINE (286 – 273)</v>
      </c>
      <c r="G239" s="225" t="s">
        <v>2043</v>
      </c>
      <c r="H239" s="221" t="s">
        <v>2044</v>
      </c>
      <c r="I239" s="229" t="s">
        <v>2045</v>
      </c>
      <c r="J239" s="281" t="s">
        <v>2046</v>
      </c>
      <c r="K239" s="287"/>
      <c r="L239" s="209"/>
      <c r="M239" s="227"/>
      <c r="N239" s="227"/>
      <c r="O239" s="19"/>
      <c r="P239" s="19"/>
    </row>
    <row r="240" spans="1:16" ht="12.75" customHeight="1">
      <c r="A240">
        <f>ROW()-ROW($A$1)</f>
        <v>239</v>
      </c>
      <c r="B240" t="s">
        <v>297</v>
      </c>
      <c r="C240" t="n">
        <v>1</v>
      </c>
      <c r="D240" t="n">
        <v>301</v>
      </c>
      <c r="E240" s="19" t="str">
        <f aca="1">VLOOKUP(T_Aop[[#This Row],[Id]],T_Aop[],ID_Jezik+10,1)</f>
        <v>690 i 691</v>
      </c>
      <c r="F240" t="str">
        <f aca="1">REPT("  ",T_Aop[[#This Row],[Aop nivo]])&amp;VLOOKUP(T_Aop[[#This Row],[Id]],T_Aop[],ID_Jezik+6,1)</f>
        <v>  L. Prihodi po osnovu promjene računovodstvenih politika i ispravke grešaka iz ranijih godina </v>
      </c>
      <c r="G240" s="222" t="s">
        <v>2047</v>
      </c>
      <c r="H240" s="60" t="s">
        <v>2048</v>
      </c>
      <c r="I240" s="229" t="s">
        <v>2049</v>
      </c>
      <c r="J240" s="281" t="s">
        <v>2050</v>
      </c>
      <c r="K240" s="287" t="s">
        <v>2051</v>
      </c>
      <c r="L240" s="209" t="s">
        <v>2052</v>
      </c>
      <c r="M240" s="227" t="s">
        <v>2053</v>
      </c>
      <c r="N240" s="227" t="s">
        <v>2052</v>
      </c>
      <c r="O240" s="19" t="n">
        <v>1</v>
      </c>
      <c r="P240" s="19"/>
    </row>
    <row r="241" spans="1:16" s="269" customFormat="1" ht="12.75" customHeight="1">
      <c r="A241">
        <f>ROW()-ROW($A$1)</f>
        <v>240</v>
      </c>
      <c r="B241" t="s">
        <v>297</v>
      </c>
      <c r="C241" t="n">
        <v>1</v>
      </c>
      <c r="D241" t="n">
        <v>302</v>
      </c>
      <c r="E241" s="19" t="str">
        <f aca="1">VLOOKUP(T_Aop[[#This Row],[Id]],T_Aop[],ID_Jezik+10,1)</f>
        <v>590 i 591</v>
      </c>
      <c r="F241" t="str">
        <f aca="1">REPT("  ",T_Aop[[#This Row],[Aop nivo]])&amp;VLOOKUP(T_Aop[[#This Row],[Id]],T_Aop[],ID_Jezik+6,1)</f>
        <v>  LJ. Rashodi po osnovu promjene računovodstvenih politika i ispravke grešaka iz ranijih godina</v>
      </c>
      <c r="G241" s="222" t="s">
        <v>2054</v>
      </c>
      <c r="H241" s="60" t="s">
        <v>2055</v>
      </c>
      <c r="I241" s="229" t="s">
        <v>2056</v>
      </c>
      <c r="J241" s="281" t="s">
        <v>2057</v>
      </c>
      <c r="K241" s="287" t="s">
        <v>2058</v>
      </c>
      <c r="L241" s="209" t="s">
        <v>2059</v>
      </c>
      <c r="M241" s="227" t="s">
        <v>2060</v>
      </c>
      <c r="N241" s="227" t="s">
        <v>2059</v>
      </c>
      <c r="O241" s="19"/>
      <c r="P241" s="19"/>
    </row>
    <row r="242" spans="1:16" s="269" customFormat="1" ht="12.75" customHeight="1">
      <c r="A242">
        <f>ROW()-ROW($A$1)</f>
        <v>241</v>
      </c>
      <c r="B242" t="s">
        <v>297</v>
      </c>
      <c r="C242" t="n">
        <v>0</v>
      </c>
      <c r="D242" t="n">
        <v>303</v>
      </c>
      <c r="E242" s="19">
        <f aca="1">VLOOKUP(T_Aop[[#This Row],[Id]],T_Aop[],ID_Jezik+10,1)</f>
        <v>0</v>
      </c>
      <c r="F242" t="str">
        <f aca="1">REPT("  ",T_Aop[[#This Row],[Aop nivo]])&amp;VLOOKUP(T_Aop[[#This Row],[Id]],T_Aop[],ID_Jezik+6,1)</f>
        <v>Udio u dobiti pridruženog društva i zajedničkog poduhvata primjenom metode udjela</v>
      </c>
      <c r="G242" s="222" t="s">
        <v>2061</v>
      </c>
      <c r="H242" s="60" t="s">
        <v>2062</v>
      </c>
      <c r="I242" s="229" t="s">
        <v>2063</v>
      </c>
      <c r="J242" s="281" t="s">
        <v>2064</v>
      </c>
      <c r="K242" s="287"/>
      <c r="L242" s="209"/>
      <c r="M242" s="227"/>
      <c r="N242" s="227"/>
      <c r="O242" s="19" t="n">
        <v>1</v>
      </c>
      <c r="P242" s="19"/>
    </row>
    <row r="243" spans="1:16" s="269" customFormat="1" ht="12.75" customHeight="1">
      <c r="A243">
        <f>ROW()-ROW($A$1)</f>
        <v>242</v>
      </c>
      <c r="B243" t="s">
        <v>297</v>
      </c>
      <c r="C243" t="n">
        <v>0</v>
      </c>
      <c r="D243" t="n">
        <v>304</v>
      </c>
      <c r="E243" s="19">
        <f aca="1">VLOOKUP(T_Aop[[#This Row],[Id]],T_Aop[],ID_Jezik+10,1)</f>
        <v>0</v>
      </c>
      <c r="F243" t="str">
        <f aca="1">REPT("  ",T_Aop[[#This Row],[Aop nivo]])&amp;VLOOKUP(T_Aop[[#This Row],[Id]],T_Aop[],ID_Jezik+6,1)</f>
        <v>Udio u gubitku pridruženog društva i zajedničkog poduhvata primjenom metode udjela</v>
      </c>
      <c r="G243" s="222" t="s">
        <v>2065</v>
      </c>
      <c r="H243" s="60" t="s">
        <v>2066</v>
      </c>
      <c r="I243" s="229" t="s">
        <v>2067</v>
      </c>
      <c r="J243" s="281" t="s">
        <v>2068</v>
      </c>
      <c r="K243" s="287"/>
      <c r="L243" s="209"/>
      <c r="M243" s="227"/>
      <c r="N243" s="227"/>
      <c r="O243" s="19" t="n">
        <v>1</v>
      </c>
      <c r="P243" s="19"/>
    </row>
    <row r="244" spans="1:16" s="269" customFormat="1" ht="12.75" customHeight="1">
      <c r="A244">
        <f>ROW()-ROW($A$1)</f>
        <v>243</v>
      </c>
      <c r="B244" t="s">
        <v>297</v>
      </c>
      <c r="C244" t="n">
        <v>1</v>
      </c>
      <c r="D244" t="n">
        <v>305</v>
      </c>
      <c r="E244" s="19">
        <f aca="1">VLOOKUP(T_Aop[[#This Row],[Id]],T_Aop[],ID_Jezik+10,1)</f>
        <v>0</v>
      </c>
      <c r="F244" t="str">
        <f aca="1">REPT("  ",T_Aop[[#This Row],[Aop nivo]])&amp;VLOOKUP(T_Aop[[#This Row],[Id]],T_Aop[],ID_Jezik+6,1)</f>
        <v>  UKUPNI PRIHODI (201+239+251+273+301+303)</v>
      </c>
      <c r="G244" s="215" t="s">
        <v>2069</v>
      </c>
      <c r="H244" s="60" t="s">
        <v>2070</v>
      </c>
      <c r="I244" s="229" t="s">
        <v>2071</v>
      </c>
      <c r="J244" s="281" t="s">
        <v>2072</v>
      </c>
      <c r="K244" s="287"/>
      <c r="L244" s="209"/>
      <c r="M244" s="227"/>
      <c r="N244" s="227"/>
      <c r="O244" s="19" t="n">
        <v>1</v>
      </c>
      <c r="P244" s="19"/>
    </row>
    <row r="245" spans="1:16" s="269" customFormat="1" ht="12.75" customHeight="1">
      <c r="A245">
        <f>ROW()-ROW($A$1)</f>
        <v>244</v>
      </c>
      <c r="B245" t="s">
        <v>297</v>
      </c>
      <c r="C245" t="n">
        <v>1</v>
      </c>
      <c r="D245" t="n">
        <v>306</v>
      </c>
      <c r="E245" s="19">
        <f aca="1">VLOOKUP(T_Aop[[#This Row],[Id]],T_Aop[],ID_Jezik+10,1)</f>
        <v>0</v>
      </c>
      <c r="F245" t="str">
        <f aca="1">REPT("  ",T_Aop[[#This Row],[Aop nivo]])&amp;VLOOKUP(T_Aop[[#This Row],[Id]],T_Aop[],ID_Jezik+6,1)</f>
        <v>  UKUPNI RASHODI (219+244+261+286+302+304)</v>
      </c>
      <c r="G245" s="215" t="s">
        <v>2073</v>
      </c>
      <c r="H245" s="60" t="s">
        <v>2074</v>
      </c>
      <c r="I245" s="229" t="s">
        <v>2075</v>
      </c>
      <c r="J245" s="281" t="s">
        <v>2076</v>
      </c>
      <c r="K245" s="287"/>
      <c r="L245" s="209"/>
      <c r="M245" s="227"/>
      <c r="N245" s="227"/>
      <c r="O245" s="19"/>
      <c r="P245" s="19"/>
    </row>
    <row r="246" spans="1:16" s="269" customFormat="1" ht="24" customHeight="1">
      <c r="A246">
        <f>ROW()-ROW($A$1)</f>
        <v>245</v>
      </c>
      <c r="B246" t="s">
        <v>297</v>
      </c>
      <c r="C246" t="n">
        <v>1</v>
      </c>
      <c r="D246" t="n">
        <v>307</v>
      </c>
      <c r="E246" s="19">
        <f aca="1">VLOOKUP(T_Aop[[#This Row],[Id]],T_Aop[],ID_Jezik+10,1)</f>
        <v>0</v>
      </c>
      <c r="F246" t="str">
        <f aca="1">REPT("  ",T_Aop[[#This Row],[Aop nivo]])&amp;VLOOKUP(T_Aop[[#This Row],[Id]],T_Aop[],ID_Jezik+6,1)</f>
        <v>  M. DOBIT I GUBITAK PRIJE OPOREZIVANJA
1. Dobit prije oporezivanja (305 – 306)</v>
      </c>
      <c r="G246" s="214" t="s">
        <v>2077</v>
      </c>
      <c r="H246" s="221" t="s">
        <v>2078</v>
      </c>
      <c r="I246" s="230" t="s">
        <v>2079</v>
      </c>
      <c r="J246" s="281" t="s">
        <v>2080</v>
      </c>
      <c r="K246" s="227"/>
      <c r="L246" s="211"/>
      <c r="M246" s="211"/>
      <c r="N246" s="193"/>
      <c r="O246" s="19"/>
      <c r="P246" s="19"/>
    </row>
    <row r="247" spans="1:16" s="269" customFormat="1" ht="12.75" customHeight="1">
      <c r="A247">
        <f>ROW()-ROW($A$1)</f>
        <v>246</v>
      </c>
      <c r="B247" t="s">
        <v>297</v>
      </c>
      <c r="C247" t="n">
        <v>1</v>
      </c>
      <c r="D247" t="n">
        <v>308</v>
      </c>
      <c r="E247" s="19">
        <f aca="1">VLOOKUP(T_Aop[[#This Row],[Id]],T_Aop[],ID_Jezik+10,1)</f>
        <v>0</v>
      </c>
      <c r="F247" t="str">
        <f aca="1">REPT("  ",T_Aop[[#This Row],[Aop nivo]])&amp;VLOOKUP(T_Aop[[#This Row],[Id]],T_Aop[],ID_Jezik+6,1)</f>
        <v>  2. Gubitak prije oporezivanja (306 – 305)</v>
      </c>
      <c r="G247" s="222" t="s">
        <v>2081</v>
      </c>
      <c r="H247" s="237" t="s">
        <v>2082</v>
      </c>
      <c r="I247" s="238" t="s">
        <v>2083</v>
      </c>
      <c r="J247" s="290" t="s">
        <v>2084</v>
      </c>
      <c r="K247" s="239"/>
      <c r="L247" s="240"/>
      <c r="M247" s="211"/>
      <c r="N247" s="193"/>
      <c r="O247" s="19"/>
      <c r="P247" s="19"/>
    </row>
    <row r="248" spans="1:16" s="269" customFormat="1" ht="12.75" customHeight="1">
      <c r="A248">
        <f>ROW()-ROW($A$1)</f>
        <v>247</v>
      </c>
      <c r="B248" t="s">
        <v>297</v>
      </c>
      <c r="C248" t="n">
        <v>1</v>
      </c>
      <c r="D248" t="n">
        <v>309</v>
      </c>
      <c r="E248" s="19" t="str">
        <f aca="1">VLOOKUP(T_Aop[[#This Row],[Id]],T_Aop[],ID_Jezik+10,1)</f>
        <v>721</v>
      </c>
      <c r="F248" t="str">
        <f aca="1">REPT("  ",T_Aop[[#This Row],[Aop nivo]])&amp;VLOOKUP(T_Aop[[#This Row],[Id]],T_Aop[],ID_Jezik+6,1)</f>
        <v>  N. TEKUĆI I ODLOŽENI POREZ NA DOBIT
1. Poreski rashodi perioda </v>
      </c>
      <c r="G248" s="225" t="s">
        <v>2085</v>
      </c>
      <c r="H248" s="241" t="s">
        <v>2086</v>
      </c>
      <c r="I248" s="238" t="s">
        <v>2087</v>
      </c>
      <c r="J248" s="290" t="s">
        <v>2088</v>
      </c>
      <c r="K248" s="239" t="s">
        <v>2089</v>
      </c>
      <c r="L248" s="240" t="n">
        <v>721</v>
      </c>
      <c r="M248" s="211" t="n">
        <v>721</v>
      </c>
      <c r="N248" s="193" t="n">
        <v>721</v>
      </c>
      <c r="O248" s="19"/>
      <c r="P248" s="19"/>
    </row>
    <row r="249" spans="1:16" s="269" customFormat="1" ht="12.75" customHeight="1">
      <c r="A249">
        <f>ROW()-ROW($A$1)</f>
        <v>248</v>
      </c>
      <c r="B249" t="s">
        <v>297</v>
      </c>
      <c r="C249" t="n">
        <v>2</v>
      </c>
      <c r="D249" t="n">
        <v>310</v>
      </c>
      <c r="E249" s="19">
        <f aca="1">VLOOKUP(T_Aop[[#This Row],[Id]],T_Aop[],ID_Jezik+10,1)</f>
        <v>0</v>
      </c>
      <c r="F249" t="str">
        <f aca="1">REPT("  ",T_Aop[[#This Row],[Aop nivo]])&amp;VLOOKUP(T_Aop[[#This Row],[Id]],T_Aop[],ID_Jezik+6,1)</f>
        <v>    2. Odloženi poreski rashodi (311 + 312)</v>
      </c>
      <c r="G249" s="222" t="s">
        <v>2090</v>
      </c>
      <c r="H249" s="237" t="s">
        <v>2091</v>
      </c>
      <c r="I249" s="238" t="s">
        <v>2092</v>
      </c>
      <c r="J249" s="290" t="s">
        <v>2093</v>
      </c>
      <c r="K249" s="239"/>
      <c r="L249" s="240"/>
      <c r="M249" s="211"/>
      <c r="N249" s="193"/>
      <c r="O249" s="19"/>
      <c r="P249" s="19"/>
    </row>
    <row r="250" spans="1:16" s="269" customFormat="1" ht="12.75" customHeight="1">
      <c r="A250">
        <f>ROW()-ROW($A$1)</f>
        <v>249</v>
      </c>
      <c r="B250" t="s">
        <v>297</v>
      </c>
      <c r="C250" t="n">
        <v>3</v>
      </c>
      <c r="D250" t="n">
        <v>311</v>
      </c>
      <c r="E250" s="19" t="str">
        <f aca="1">VLOOKUP(T_Aop[[#This Row],[Id]],T_Aop[],ID_Jezik+10,1)</f>
        <v>722</v>
      </c>
      <c r="F250" t="str">
        <f aca="1">REPT("  ",T_Aop[[#This Row],[Aop nivo]])&amp;VLOOKUP(T_Aop[[#This Row],[Id]],T_Aop[],ID_Jezik+6,1)</f>
        <v>      2.1   Efekat smanjenja odloženih poreskih sredstava</v>
      </c>
      <c r="G250" s="222" t="s">
        <v>2094</v>
      </c>
      <c r="H250" s="237" t="s">
        <v>2095</v>
      </c>
      <c r="I250" s="238" t="s">
        <v>2096</v>
      </c>
      <c r="J250" s="290" t="s">
        <v>2097</v>
      </c>
      <c r="K250" s="239" t="s">
        <v>2098</v>
      </c>
      <c r="L250" s="240" t="n">
        <v>722</v>
      </c>
      <c r="M250" s="211" t="n">
        <v>722</v>
      </c>
      <c r="N250" s="193" t="n">
        <v>722</v>
      </c>
      <c r="O250" s="19"/>
      <c r="P250" s="19"/>
    </row>
    <row r="251" spans="1:16" s="269" customFormat="1" ht="12.75" customHeight="1">
      <c r="A251">
        <f>ROW()-ROW($A$1)</f>
        <v>250</v>
      </c>
      <c r="B251" t="s">
        <v>297</v>
      </c>
      <c r="C251" t="n">
        <v>3</v>
      </c>
      <c r="D251" t="n">
        <v>312</v>
      </c>
      <c r="E251" s="19" t="str">
        <f aca="1">VLOOKUP(T_Aop[[#This Row],[Id]],T_Aop[],ID_Jezik+10,1)</f>
        <v>724</v>
      </c>
      <c r="F251" t="str">
        <f aca="1">REPT("  ",T_Aop[[#This Row],[Aop nivo]])&amp;VLOOKUP(T_Aop[[#This Row],[Id]],T_Aop[],ID_Jezik+6,1)</f>
        <v>      2.2   Efekat povećanja odloženih poreskih obaveza</v>
      </c>
      <c r="G251" s="222" t="s">
        <v>2099</v>
      </c>
      <c r="H251" s="237" t="s">
        <v>2100</v>
      </c>
      <c r="I251" s="242" t="s">
        <v>2101</v>
      </c>
      <c r="J251" s="290" t="s">
        <v>2102</v>
      </c>
      <c r="K251" s="239" t="s">
        <v>2103</v>
      </c>
      <c r="L251" s="240" t="n">
        <v>724</v>
      </c>
      <c r="M251" s="211" t="n">
        <v>724</v>
      </c>
      <c r="N251" s="193" t="n">
        <v>724</v>
      </c>
      <c r="O251" s="19"/>
      <c r="P251" s="19"/>
    </row>
    <row r="252" spans="1:16" s="269" customFormat="1" ht="12.75" customHeight="1">
      <c r="A252">
        <f>ROW()-ROW($A$1)</f>
        <v>251</v>
      </c>
      <c r="B252" t="s">
        <v>297</v>
      </c>
      <c r="C252" t="n">
        <v>2</v>
      </c>
      <c r="D252" t="n">
        <v>313</v>
      </c>
      <c r="E252" s="19">
        <f aca="1">VLOOKUP(T_Aop[[#This Row],[Id]],T_Aop[],ID_Jezik+10,1)</f>
        <v>0</v>
      </c>
      <c r="F252" t="str">
        <f aca="1">REPT("  ",T_Aop[[#This Row],[Aop nivo]])&amp;VLOOKUP(T_Aop[[#This Row],[Id]],T_Aop[],ID_Jezik+6,1)</f>
        <v>    3. Odloženi poreski prihodi (314 + 315)</v>
      </c>
      <c r="G252" s="222" t="s">
        <v>2104</v>
      </c>
      <c r="H252" s="237" t="s">
        <v>2105</v>
      </c>
      <c r="I252" s="238" t="s">
        <v>2106</v>
      </c>
      <c r="J252" s="290" t="s">
        <v>2107</v>
      </c>
      <c r="K252" s="239"/>
      <c r="L252" s="240"/>
      <c r="M252" s="211"/>
      <c r="N252" s="193"/>
      <c r="O252" s="19"/>
      <c r="P252" s="19"/>
    </row>
    <row r="253" spans="1:16" s="269" customFormat="1" ht="12.75" customHeight="1">
      <c r="A253">
        <f>ROW()-ROW($A$1)</f>
        <v>252</v>
      </c>
      <c r="B253" t="s">
        <v>297</v>
      </c>
      <c r="C253" t="n">
        <v>3</v>
      </c>
      <c r="D253" t="n">
        <v>314</v>
      </c>
      <c r="E253" s="19" t="str">
        <f aca="1">VLOOKUP(T_Aop[[#This Row],[Id]],T_Aop[],ID_Jezik+10,1)</f>
        <v>723</v>
      </c>
      <c r="F253" t="str">
        <f aca="1">REPT("  ",T_Aop[[#This Row],[Aop nivo]])&amp;VLOOKUP(T_Aop[[#This Row],[Id]],T_Aop[],ID_Jezik+6,1)</f>
        <v>      3.1 Efekat povećanja odloženih poreskih sredstava</v>
      </c>
      <c r="G253" s="222" t="s">
        <v>2108</v>
      </c>
      <c r="H253" s="237" t="s">
        <v>2109</v>
      </c>
      <c r="I253" s="238" t="s">
        <v>2110</v>
      </c>
      <c r="J253" s="290" t="s">
        <v>2111</v>
      </c>
      <c r="K253" s="239" t="s">
        <v>2112</v>
      </c>
      <c r="L253" s="243" t="n">
        <v>723</v>
      </c>
      <c r="M253" s="212" t="n">
        <v>723</v>
      </c>
      <c r="N253" s="193" t="n">
        <v>723</v>
      </c>
      <c r="O253" s="19"/>
      <c r="P253" s="19"/>
    </row>
    <row r="254" spans="1:16" s="269" customFormat="1" ht="12.75" customHeight="1">
      <c r="A254">
        <f>ROW()-ROW($A$1)</f>
        <v>253</v>
      </c>
      <c r="B254" t="s">
        <v>297</v>
      </c>
      <c r="C254" t="n">
        <v>3</v>
      </c>
      <c r="D254" t="n">
        <v>315</v>
      </c>
      <c r="E254" s="19" t="str">
        <f aca="1">VLOOKUP(T_Aop[[#This Row],[Id]],T_Aop[],ID_Jezik+10,1)</f>
        <v>725</v>
      </c>
      <c r="F254" t="str">
        <f aca="1">REPT("  ",T_Aop[[#This Row],[Aop nivo]])&amp;VLOOKUP(T_Aop[[#This Row],[Id]],T_Aop[],ID_Jezik+6,1)</f>
        <v>      3.2 Efekat smanjenja odloženih poreskih obaveza</v>
      </c>
      <c r="G254" s="222" t="s">
        <v>2113</v>
      </c>
      <c r="H254" s="237" t="s">
        <v>2114</v>
      </c>
      <c r="I254" s="238" t="s">
        <v>2115</v>
      </c>
      <c r="J254" s="290" t="s">
        <v>2116</v>
      </c>
      <c r="K254" s="239" t="s">
        <v>2117</v>
      </c>
      <c r="L254" s="240" t="n">
        <v>725</v>
      </c>
      <c r="M254" s="211" t="n">
        <v>725</v>
      </c>
      <c r="N254" s="193" t="n">
        <v>725</v>
      </c>
      <c r="O254" s="19"/>
      <c r="P254" s="19"/>
    </row>
    <row r="255" spans="1:16" s="269" customFormat="1" ht="27.75" customHeight="1">
      <c r="A255">
        <f>ROW()-ROW($A$1)</f>
        <v>254</v>
      </c>
      <c r="B255" t="s">
        <v>297</v>
      </c>
      <c r="C255" t="n">
        <v>1</v>
      </c>
      <c r="D255" t="n">
        <v>316</v>
      </c>
      <c r="E255" s="19">
        <f aca="1">VLOOKUP(T_Aop[[#This Row],[Id]],T_Aop[],ID_Jezik+10,1)</f>
        <v>0</v>
      </c>
      <c r="F255" s="192" t="str">
        <f aca="1">REPT("  ",T_Aop[[#This Row],[Aop nivo]])&amp;VLOOKUP(T_Aop[[#This Row],[Id]],T_Aop[],ID_Jezik+6,1)</f>
        <v>  NJ. NETO DOBIT I NETO GUBITAK PERIODA
 1. Neto dobit tekuće godine (307-309-310+313)&gt;0 i 307&gt;0 ili (313-308-309-310)&gt;0 i 308&gt;0</v>
      </c>
      <c r="G255" s="225" t="s">
        <v>2118</v>
      </c>
      <c r="H255" s="241" t="s">
        <v>2119</v>
      </c>
      <c r="I255" s="238" t="s">
        <v>2120</v>
      </c>
      <c r="J255" s="290" t="s">
        <v>2121</v>
      </c>
      <c r="K255" s="239"/>
      <c r="L255" s="240"/>
      <c r="M255" s="211"/>
      <c r="N255" s="193"/>
      <c r="O255" s="19"/>
      <c r="P255" s="19"/>
    </row>
    <row r="256" spans="1:16" s="269" customFormat="1" ht="12.75" customHeight="1">
      <c r="A256">
        <f>ROW()-ROW($A$1)</f>
        <v>255</v>
      </c>
      <c r="B256" t="s">
        <v>297</v>
      </c>
      <c r="C256" t="n">
        <v>0</v>
      </c>
      <c r="D256" t="n">
        <v>317</v>
      </c>
      <c r="E256" s="19" t="str">
        <f aca="1">VLOOKUP(T_Aop[[#This Row],[Id]],T_Aop[],ID_Jezik+10,1)</f>
        <v> </v>
      </c>
      <c r="F256" s="143" t="str">
        <f aca="1">REPT("  ",T_Aop[[#This Row],[Aop nivo]])&amp;VLOOKUP(T_Aop[[#This Row],[Id]],T_Aop[],ID_Jezik+6,1)</f>
        <v>2. Neto gubitak tekuće godine (308+309+310-313)&gt;0 i 308&gt;0 ili (309+310-307-313)&gt;0 i 307&gt;0</v>
      </c>
      <c r="G256" s="222" t="s">
        <v>2122</v>
      </c>
      <c r="H256" s="237" t="s">
        <v>2123</v>
      </c>
      <c r="I256" s="238" t="s">
        <v>2124</v>
      </c>
      <c r="J256" s="290" t="s">
        <v>2125</v>
      </c>
      <c r="K256" s="239" t="s">
        <v>50</v>
      </c>
      <c r="L256" s="240" t="s">
        <v>50</v>
      </c>
      <c r="M256" s="211" t="s">
        <v>50</v>
      </c>
      <c r="N256" s="193"/>
      <c r="O256" s="19"/>
      <c r="P256" s="19"/>
    </row>
    <row r="257" spans="1:16" s="269" customFormat="1" ht="12.75" customHeight="1">
      <c r="A257">
        <f>ROW()-ROW($A$1)</f>
        <v>256</v>
      </c>
      <c r="B257" t="s">
        <v>297</v>
      </c>
      <c r="C257" t="n">
        <v>1</v>
      </c>
      <c r="D257" t="n">
        <v>318</v>
      </c>
      <c r="E257" s="19" t="str">
        <f aca="1">VLOOKUP(T_Aop[[#This Row],[Id]],T_Aop[],ID_Jezik+10,1)</f>
        <v>726</v>
      </c>
      <c r="F257" t="str">
        <f aca="1">REPT("  ",T_Aop[[#This Row],[Aop nivo]])&amp;VLOOKUP(T_Aop[[#This Row],[Id]],T_Aop[],ID_Jezik+6,1)</f>
        <v>  O. Međudividende i drugi vidovi raspodjele dobitka u toku perioda</v>
      </c>
      <c r="G257" s="222" t="s">
        <v>2126</v>
      </c>
      <c r="H257" s="237" t="s">
        <v>2127</v>
      </c>
      <c r="I257" s="238" t="s">
        <v>2128</v>
      </c>
      <c r="J257" s="290" t="s">
        <v>2129</v>
      </c>
      <c r="K257" s="239" t="s">
        <v>2130</v>
      </c>
      <c r="L257" s="240" t="n">
        <v>726</v>
      </c>
      <c r="M257" s="211" t="n">
        <v>726</v>
      </c>
      <c r="N257" s="193" t="n">
        <v>726</v>
      </c>
      <c r="O257" s="19"/>
      <c r="P257" s="19"/>
    </row>
    <row r="258" spans="1:16" s="269" customFormat="1" ht="12.75" customHeight="1">
      <c r="A258">
        <f>ROW()-ROW($A$1)</f>
        <v>257</v>
      </c>
      <c r="B258" t="s">
        <v>297</v>
      </c>
      <c r="C258" t="n">
        <v>0</v>
      </c>
      <c r="D258" t="n">
        <v>319</v>
      </c>
      <c r="E258" s="19">
        <f aca="1">VLOOKUP(T_Aop[[#This Row],[Id]],T_Aop[],ID_Jezik+10,1)</f>
        <v>0</v>
      </c>
      <c r="F258" t="str">
        <f aca="1">REPT("  ",T_Aop[[#This Row],[Aop nivo]])&amp;VLOOKUP(T_Aop[[#This Row],[Id]],T_Aop[],ID_Jezik+6,1)</f>
        <v>Dio neto dobiti/gubitka koji pripada većinskim vlasnicima</v>
      </c>
      <c r="G258" s="222" t="s">
        <v>2131</v>
      </c>
      <c r="H258" s="237" t="s">
        <v>2132</v>
      </c>
      <c r="I258" s="238" t="s">
        <v>2133</v>
      </c>
      <c r="J258" s="290" t="s">
        <v>2134</v>
      </c>
      <c r="K258" s="239"/>
      <c r="L258" s="240"/>
      <c r="M258" s="213"/>
      <c r="N258" s="193"/>
      <c r="O258" s="19"/>
      <c r="P258" s="19"/>
    </row>
    <row r="259" spans="1:16" s="269" customFormat="1" ht="12.75" customHeight="1">
      <c r="A259">
        <f>ROW()-ROW($A$1)</f>
        <v>258</v>
      </c>
      <c r="B259" t="s">
        <v>297</v>
      </c>
      <c r="C259" t="n">
        <v>0</v>
      </c>
      <c r="D259" t="n">
        <v>320</v>
      </c>
      <c r="E259" s="19">
        <f aca="1">VLOOKUP(T_Aop[[#This Row],[Id]],T_Aop[],ID_Jezik+10,1)</f>
        <v>0</v>
      </c>
      <c r="F259" t="str">
        <f aca="1">REPT("  ",T_Aop[[#This Row],[Aop nivo]])&amp;VLOOKUP(T_Aop[[#This Row],[Id]],T_Aop[],ID_Jezik+6,1)</f>
        <v>Dio neto dobiti/gubitka koji pripada manjinskim vlasnicima</v>
      </c>
      <c r="G259" s="222" t="s">
        <v>2135</v>
      </c>
      <c r="H259" s="237" t="s">
        <v>2136</v>
      </c>
      <c r="I259" s="238" t="s">
        <v>2137</v>
      </c>
      <c r="J259" s="290" t="s">
        <v>2138</v>
      </c>
      <c r="K259" s="239"/>
      <c r="L259" s="240"/>
      <c r="M259" s="213"/>
      <c r="N259" s="193"/>
      <c r="O259" s="19"/>
      <c r="P259" s="19"/>
    </row>
    <row r="260" spans="1:16" s="269" customFormat="1" ht="12.75" customHeight="1">
      <c r="A260">
        <f>ROW()-ROW($A$1)</f>
        <v>259</v>
      </c>
      <c r="B260" t="s">
        <v>297</v>
      </c>
      <c r="C260" t="n">
        <v>0</v>
      </c>
      <c r="D260" t="n">
        <v>321</v>
      </c>
      <c r="E260" s="19">
        <f aca="1">VLOOKUP(T_Aop[[#This Row],[Id]],T_Aop[],ID_Jezik+10,1)</f>
        <v>0</v>
      </c>
      <c r="F260" t="str">
        <f aca="1">REPT("  ",T_Aop[[#This Row],[Aop nivo]])&amp;VLOOKUP(T_Aop[[#This Row],[Id]],T_Aop[],ID_Jezik+6,1)</f>
        <v>Obična zarada po akciji</v>
      </c>
      <c r="G260" s="222" t="s">
        <v>2139</v>
      </c>
      <c r="H260" s="237" t="s">
        <v>2140</v>
      </c>
      <c r="I260" s="238" t="s">
        <v>2141</v>
      </c>
      <c r="J260" s="290" t="s">
        <v>2142</v>
      </c>
      <c r="K260" s="239"/>
      <c r="L260" s="240"/>
      <c r="M260" s="213"/>
      <c r="N260" s="193"/>
      <c r="O260" s="19"/>
      <c r="P260" s="19"/>
    </row>
    <row r="261" spans="1:16" s="269" customFormat="1" ht="12.75" customHeight="1">
      <c r="A261">
        <f>ROW()-ROW($A$1)</f>
        <v>260</v>
      </c>
      <c r="B261" t="s">
        <v>297</v>
      </c>
      <c r="C261" t="n">
        <v>0</v>
      </c>
      <c r="D261" t="n">
        <v>322</v>
      </c>
      <c r="E261" s="19">
        <f aca="1">VLOOKUP(T_Aop[[#This Row],[Id]],T_Aop[],ID_Jezik+10,1)</f>
        <v>0</v>
      </c>
      <c r="F261" t="str">
        <f aca="1">REPT("  ",T_Aop[[#This Row],[Aop nivo]])&amp;VLOOKUP(T_Aop[[#This Row],[Id]],T_Aop[],ID_Jezik+6,1)</f>
        <v>Razrijeđena zarada po akciji</v>
      </c>
      <c r="G261" s="222" t="s">
        <v>2143</v>
      </c>
      <c r="H261" s="237" t="s">
        <v>2144</v>
      </c>
      <c r="I261" s="238" t="s">
        <v>2145</v>
      </c>
      <c r="J261" s="290" t="s">
        <v>2146</v>
      </c>
      <c r="K261" s="239"/>
      <c r="L261" s="240"/>
      <c r="M261" s="213"/>
      <c r="N261" s="193"/>
      <c r="O261" s="19"/>
      <c r="P261" s="19"/>
    </row>
    <row r="262" spans="1:16" s="269" customFormat="1" ht="12.75" customHeight="1">
      <c r="A262">
        <f>ROW()-ROW($A$1)</f>
        <v>261</v>
      </c>
      <c r="B262" t="s">
        <v>297</v>
      </c>
      <c r="C262" t="n">
        <v>0</v>
      </c>
      <c r="D262" t="n">
        <v>323</v>
      </c>
      <c r="E262" s="19">
        <f aca="1">VLOOKUP(T_Aop[[#This Row],[Id]],T_Aop[],ID_Jezik+10,1)</f>
        <v>0</v>
      </c>
      <c r="F262" t="str">
        <f aca="1">REPT("  ",T_Aop[[#This Row],[Aop nivo]])&amp;VLOOKUP(T_Aop[[#This Row],[Id]],T_Aop[],ID_Jezik+6,1)</f>
        <v>Prosječan broj zaposlenih po osnovu časova rada</v>
      </c>
      <c r="G262" s="222" t="s">
        <v>2147</v>
      </c>
      <c r="H262" s="237" t="s">
        <v>2148</v>
      </c>
      <c r="I262" s="244" t="s">
        <v>2149</v>
      </c>
      <c r="J262" s="290" t="s">
        <v>2150</v>
      </c>
      <c r="K262" s="239"/>
      <c r="L262" s="240"/>
      <c r="M262" s="213"/>
      <c r="N262" s="193"/>
      <c r="O262" s="19"/>
      <c r="P262" s="19"/>
    </row>
    <row r="263" spans="1:16" s="269" customFormat="1" ht="12.75" customHeight="1">
      <c r="A263">
        <f>ROW()-ROW($A$1)</f>
        <v>262</v>
      </c>
      <c r="B263" t="s">
        <v>297</v>
      </c>
      <c r="C263" t="n">
        <v>0</v>
      </c>
      <c r="D263" t="n">
        <v>324</v>
      </c>
      <c r="E263" s="19">
        <f aca="1">VLOOKUP(T_Aop[[#This Row],[Id]],T_Aop[],ID_Jezik+10,1)</f>
        <v>0</v>
      </c>
      <c r="F263" t="str">
        <f aca="1">REPT("  ",T_Aop[[#This Row],[Aop nivo]])&amp;VLOOKUP(T_Aop[[#This Row],[Id]],T_Aop[],ID_Jezik+6,1)</f>
        <v>Prosječan broj zaposlenih po osnovu stanja na kraju mjeseca</v>
      </c>
      <c r="G263" s="222" t="s">
        <v>2151</v>
      </c>
      <c r="H263" s="237" t="s">
        <v>2152</v>
      </c>
      <c r="I263" s="244" t="s">
        <v>2153</v>
      </c>
      <c r="J263" s="290" t="s">
        <v>2154</v>
      </c>
      <c r="K263" s="239"/>
      <c r="L263" s="240"/>
      <c r="M263" s="213"/>
      <c r="N263" s="193"/>
      <c r="O263" s="19"/>
      <c r="P263" s="19"/>
    </row>
    <row r="264" spans="1:16" s="269" customFormat="1" ht="20.25" customHeight="1">
      <c r="A264">
        <f>ROW()-ROW($A$1)</f>
        <v>263</v>
      </c>
      <c r="B264" t="s">
        <v>306</v>
      </c>
      <c r="C264" t="n">
        <v>0</v>
      </c>
      <c r="D264" t="n">
        <v>400</v>
      </c>
      <c r="E264" s="19">
        <f aca="1">VLOOKUP(T_Aop[[#This Row],[Id]],T_Aop[],ID_Jezik+10,1)</f>
        <v>0</v>
      </c>
      <c r="F264" t="str">
        <f aca="1">REPT("  ",T_Aop[[#This Row],[Aop nivo]])&amp;VLOOKUP(T_Aop[[#This Row],[Id]],T_Aop[],ID_Jezik+6,1)</f>
        <v>A  NETO DOBIT ILI NETO GUBITAK PERIODA</v>
      </c>
      <c r="G264" s="222" t="s">
        <v>2155</v>
      </c>
      <c r="H264" s="245" t="s">
        <v>2156</v>
      </c>
      <c r="I264" s="246" t="s">
        <v>2157</v>
      </c>
      <c r="J264" s="291" t="s">
        <v>2158</v>
      </c>
      <c r="K264" s="239"/>
      <c r="L264" s="239"/>
      <c r="M264" s="226"/>
      <c r="N264" s="193" t="s">
        <v>2159</v>
      </c>
      <c r="O264" s="19" t="n">
        <v>1</v>
      </c>
      <c r="P264" s="19"/>
    </row>
    <row r="265" spans="1:16" s="269" customFormat="1" ht="29.25" customHeight="1">
      <c r="A265">
        <f>ROW()-ROW($A$1)</f>
        <v>264</v>
      </c>
      <c r="B265" t="s">
        <v>306</v>
      </c>
      <c r="C265" t="n">
        <v>2</v>
      </c>
      <c r="D265" t="n">
        <v>401</v>
      </c>
      <c r="E265" s="19">
        <f aca="1">VLOOKUP(T_Aop[[#This Row],[Id]],T_Aop[],ID_Jezik+10,1)</f>
        <v>0</v>
      </c>
      <c r="F265" t="str">
        <f aca="1">REPT("  ",T_Aop[[#This Row],[Aop nivo]])&amp;VLOOKUP(T_Aop[[#This Row],[Id]],T_Aop[],ID_Jezik+6,1)</f>
        <v>    1. Stavke koje mogu biti reklasifikovane u bilans uspjeha (±402+403±404±405±406±407)</v>
      </c>
      <c r="G265" s="192" t="s">
        <v>2160</v>
      </c>
      <c r="H265" s="247" t="s">
        <v>2161</v>
      </c>
      <c r="I265" s="248" t="s">
        <v>2162</v>
      </c>
      <c r="J265" s="292" t="s">
        <v>2163</v>
      </c>
      <c r="K265" s="239"/>
      <c r="L265" s="239"/>
      <c r="M265" s="226"/>
      <c r="N265" s="193"/>
      <c r="O265" s="19" t="n">
        <v>1</v>
      </c>
      <c r="P265" s="19"/>
    </row>
    <row r="266" spans="1:16" s="269" customFormat="1" ht="12.75" customHeight="1">
      <c r="A266">
        <f>ROW()-ROW($A$1)</f>
        <v>265</v>
      </c>
      <c r="B266" t="s">
        <v>306</v>
      </c>
      <c r="C266" t="n">
        <v>3</v>
      </c>
      <c r="D266" t="n">
        <v>402</v>
      </c>
      <c r="E266" s="19" t="str">
        <f aca="1">VLOOKUP(T_Aop[[#This Row],[Id]],T_Aop[],ID_Jezik+10,1)</f>
        <v>Promjena na 332 i 333</v>
      </c>
      <c r="F266" t="str">
        <f aca="1">REPT("  ",T_Aop[[#This Row],[Aop nivo]])&amp;VLOOKUP(T_Aop[[#This Row],[Id]],T_Aop[],ID_Jezik+6,1)</f>
        <v>      1.1 Povećanje/(smanjenje) fer vrijednosti dužničkih instrumenata po fer vrijednosti kroz ostali ukupan rezultat</v>
      </c>
      <c r="G266" s="222" t="s">
        <v>2164</v>
      </c>
      <c r="H266" s="249" t="s">
        <v>2165</v>
      </c>
      <c r="I266" s="238" t="s">
        <v>2166</v>
      </c>
      <c r="J266" s="290" t="s">
        <v>2167</v>
      </c>
      <c r="K266" s="239" t="s">
        <v>2168</v>
      </c>
      <c r="L266" s="239" t="s">
        <v>2169</v>
      </c>
      <c r="M266" s="226" t="s">
        <v>2170</v>
      </c>
      <c r="N266" s="193" t="s">
        <v>2171</v>
      </c>
      <c r="O266" s="19"/>
      <c r="P266" s="19" t="n">
        <v>1</v>
      </c>
    </row>
    <row r="267" spans="1:16" s="269" customFormat="1" ht="12.75" customHeight="1">
      <c r="A267">
        <f>ROW()-ROW($A$1)</f>
        <v>266</v>
      </c>
      <c r="B267" t="s">
        <v>306</v>
      </c>
      <c r="C267" t="n">
        <v>3</v>
      </c>
      <c r="D267" t="n">
        <v>403</v>
      </c>
      <c r="E267" s="19" t="str">
        <f aca="1">VLOOKUP(T_Aop[[#This Row],[Id]],T_Aop[],ID_Jezik+10,1)</f>
        <v>Promjena na 331</v>
      </c>
      <c r="F267" t="str">
        <f aca="1">REPT("  ",T_Aop[[#This Row],[Aop nivo]])&amp;VLOOKUP(T_Aop[[#This Row],[Id]],T_Aop[],ID_Jezik+6,1)</f>
        <v>      1.2 Efekti proistekli iz transakcija zaštite ("hedging")</v>
      </c>
      <c r="G267" s="222" t="s">
        <v>2172</v>
      </c>
      <c r="H267" s="249" t="s">
        <v>2173</v>
      </c>
      <c r="I267" s="238" t="s">
        <v>2174</v>
      </c>
      <c r="J267" s="290" t="s">
        <v>2175</v>
      </c>
      <c r="K267" s="239" t="s">
        <v>2176</v>
      </c>
      <c r="L267" s="239" t="s">
        <v>2177</v>
      </c>
      <c r="M267" s="226" t="s">
        <v>2178</v>
      </c>
      <c r="N267" s="193" t="s">
        <v>2179</v>
      </c>
      <c r="O267" s="19"/>
      <c r="P267" s="19"/>
    </row>
    <row r="268" spans="1:16" s="269" customFormat="1" ht="12.75" customHeight="1">
      <c r="A268">
        <f>ROW()-ROW($A$1)</f>
        <v>267</v>
      </c>
      <c r="B268" t="s">
        <v>306</v>
      </c>
      <c r="C268" t="n">
        <v>3</v>
      </c>
      <c r="D268" t="n">
        <v>404</v>
      </c>
      <c r="E268" s="19">
        <f aca="1">VLOOKUP(T_Aop[[#This Row],[Id]],T_Aop[],ID_Jezik+10,1)</f>
        <v>0</v>
      </c>
      <c r="F268" t="str">
        <f aca="1">REPT("  ",T_Aop[[#This Row],[Aop nivo]])&amp;VLOOKUP(T_Aop[[#This Row],[Id]],T_Aop[],ID_Jezik+6,1)</f>
        <v>      1.3 Udio u ostalom ukupnom rezultatu pridruženog društva i zajedničkog poduhvata primjenom metode udjela</v>
      </c>
      <c r="G268" s="222" t="s">
        <v>2180</v>
      </c>
      <c r="H268" s="249" t="s">
        <v>2181</v>
      </c>
      <c r="I268" s="238" t="s">
        <v>2182</v>
      </c>
      <c r="J268" s="290" t="s">
        <v>2183</v>
      </c>
      <c r="K268" s="239"/>
      <c r="L268" s="239"/>
      <c r="M268" s="226"/>
      <c r="N268" s="193"/>
      <c r="O268" s="19"/>
      <c r="P268" s="19"/>
    </row>
    <row r="269" spans="1:16" s="269" customFormat="1" ht="12.75" customHeight="1">
      <c r="A269">
        <f>ROW()-ROW($A$1)</f>
        <v>268</v>
      </c>
      <c r="B269" t="s">
        <v>306</v>
      </c>
      <c r="C269" t="n">
        <v>3</v>
      </c>
      <c r="D269" t="n">
        <v>405</v>
      </c>
      <c r="E269" s="19">
        <f aca="1">VLOOKUP(T_Aop[[#This Row],[Id]],T_Aop[],ID_Jezik+10,1)</f>
        <v>0</v>
      </c>
      <c r="F269" t="str">
        <f aca="1">REPT("  ",T_Aop[[#This Row],[Aop nivo]])&amp;VLOOKUP(T_Aop[[#This Row],[Id]],T_Aop[],ID_Jezik+6,1)</f>
        <v>      1.4 Dobici ili gubici po osnovu konverzije finansijskih izvještaja inostranog poslovanja</v>
      </c>
      <c r="G269" s="222" t="s">
        <v>2184</v>
      </c>
      <c r="H269" s="249" t="s">
        <v>2185</v>
      </c>
      <c r="I269" s="238" t="s">
        <v>2186</v>
      </c>
      <c r="J269" s="290" t="s">
        <v>2187</v>
      </c>
      <c r="K269" s="239"/>
      <c r="L269" s="239"/>
      <c r="M269" s="226"/>
      <c r="N269" s="193"/>
      <c r="O269" s="19"/>
      <c r="P269" s="19"/>
    </row>
    <row r="270" spans="1:16" s="269" customFormat="1" ht="12.75" customHeight="1">
      <c r="A270">
        <f>ROW()-ROW($A$1)</f>
        <v>269</v>
      </c>
      <c r="B270" t="s">
        <v>306</v>
      </c>
      <c r="C270" t="n">
        <v>3</v>
      </c>
      <c r="D270" t="n">
        <v>406</v>
      </c>
      <c r="E270" s="19" t="str">
        <f aca="1">VLOOKUP(T_Aop[[#This Row],[Id]],T_Aop[],ID_Jezik+10,1)</f>
        <v>Promjena na 339, dio</v>
      </c>
      <c r="F270" t="str">
        <f aca="1">REPT("  ",T_Aop[[#This Row],[Aop nivo]])&amp;VLOOKUP(T_Aop[[#This Row],[Id]],T_Aop[],ID_Jezik+6,1)</f>
        <v>      1.5 Ostale stavke koje mogu biti reklasifikovane u bilans uspjeha</v>
      </c>
      <c r="G270" s="222" t="s">
        <v>2188</v>
      </c>
      <c r="H270" s="249" t="s">
        <v>2189</v>
      </c>
      <c r="I270" s="238" t="s">
        <v>2190</v>
      </c>
      <c r="J270" s="290" t="s">
        <v>2191</v>
      </c>
      <c r="K270" s="239" t="s">
        <v>2192</v>
      </c>
      <c r="L270" s="239" t="s">
        <v>2193</v>
      </c>
      <c r="M270" s="226" t="s">
        <v>2194</v>
      </c>
      <c r="N270" s="193" t="s">
        <v>2195</v>
      </c>
      <c r="O270" s="19"/>
      <c r="P270" s="19"/>
    </row>
    <row r="271" spans="1:16" s="269" customFormat="1" ht="12.75" customHeight="1">
      <c r="A271">
        <f>ROW()-ROW($A$1)</f>
        <v>270</v>
      </c>
      <c r="B271" t="s">
        <v>306</v>
      </c>
      <c r="C271" t="n">
        <v>3</v>
      </c>
      <c r="D271" t="n">
        <v>407</v>
      </c>
      <c r="E271" s="19">
        <f aca="1">VLOOKUP(T_Aop[[#This Row],[Id]],T_Aop[],ID_Jezik+10,1)</f>
        <v>0</v>
      </c>
      <c r="F271" t="str">
        <f aca="1">REPT("  ",T_Aop[[#This Row],[Aop nivo]])&amp;VLOOKUP(T_Aop[[#This Row],[Id]],T_Aop[],ID_Jezik+6,1)</f>
        <v>      1.6  Odloženi porez na dobit koji se odnosi na ove stavke </v>
      </c>
      <c r="G271" s="222" t="s">
        <v>2196</v>
      </c>
      <c r="H271" s="249" t="s">
        <v>2197</v>
      </c>
      <c r="I271" s="238" t="s">
        <v>2198</v>
      </c>
      <c r="J271" s="290" t="s">
        <v>2199</v>
      </c>
      <c r="K271" s="239"/>
      <c r="L271" s="239"/>
      <c r="M271" s="226"/>
      <c r="N271" s="193"/>
      <c r="O271" s="19"/>
      <c r="P271" s="19"/>
    </row>
    <row r="272" spans="1:16" s="269" customFormat="1" ht="12.75" customHeight="1">
      <c r="A272">
        <f>ROW()-ROW($A$1)</f>
        <v>271</v>
      </c>
      <c r="B272" t="s">
        <v>306</v>
      </c>
      <c r="C272" t="n">
        <v>2</v>
      </c>
      <c r="D272" t="n">
        <v>408</v>
      </c>
      <c r="E272" s="19">
        <f aca="1">VLOOKUP(T_Aop[[#This Row],[Id]],T_Aop[],ID_Jezik+10,1)</f>
        <v>0</v>
      </c>
      <c r="F272" t="str">
        <f aca="1">REPT("  ",T_Aop[[#This Row],[Aop nivo]])&amp;VLOOKUP(T_Aop[[#This Row],[Id]],T_Aop[],ID_Jezik+6,1)</f>
        <v>    2.  Stavke koje neće biti reklasifikovane u bilans uspjeha (± 409± 410 ± 411 ± 412 ± 413 ± 414)</v>
      </c>
      <c r="G272" s="222" t="s">
        <v>2200</v>
      </c>
      <c r="H272" s="245" t="s">
        <v>2201</v>
      </c>
      <c r="I272" s="238" t="s">
        <v>2202</v>
      </c>
      <c r="J272" s="290" t="s">
        <v>2203</v>
      </c>
      <c r="K272" s="239"/>
      <c r="L272" s="239"/>
      <c r="M272" s="226"/>
      <c r="N272" s="193"/>
      <c r="O272" s="19" t="n">
        <v>1</v>
      </c>
      <c r="P272" s="19"/>
    </row>
    <row r="273" spans="1:16" s="269" customFormat="1" ht="12.75" customHeight="1">
      <c r="A273">
        <f>ROW()-ROW($A$1)</f>
        <v>272</v>
      </c>
      <c r="B273" t="s">
        <v>306</v>
      </c>
      <c r="C273" t="n">
        <v>3</v>
      </c>
      <c r="D273" t="n">
        <v>409</v>
      </c>
      <c r="E273" s="19" t="str">
        <f aca="1">VLOOKUP(T_Aop[[#This Row],[Id]],T_Aop[],ID_Jezik+10,1)</f>
        <v>Promjena na 330</v>
      </c>
      <c r="F273" t="str">
        <f aca="1">REPT("  ",T_Aop[[#This Row],[Aop nivo]])&amp;VLOOKUP(T_Aop[[#This Row],[Id]],T_Aop[],ID_Jezik+6,1)</f>
        <v>      2.1 Revalorizacija nekretnina, postrojenja, opreme i nematerijalne imovine</v>
      </c>
      <c r="G273" s="222" t="s">
        <v>2204</v>
      </c>
      <c r="H273" s="249" t="s">
        <v>2205</v>
      </c>
      <c r="I273" s="238" t="s">
        <v>2206</v>
      </c>
      <c r="J273" s="290" t="s">
        <v>2207</v>
      </c>
      <c r="K273" s="239" t="s">
        <v>2208</v>
      </c>
      <c r="L273" s="239" t="s">
        <v>2209</v>
      </c>
      <c r="M273" s="226" t="s">
        <v>2210</v>
      </c>
      <c r="N273" s="193" t="s">
        <v>2211</v>
      </c>
      <c r="O273" s="19"/>
      <c r="P273" s="19"/>
    </row>
    <row r="274" spans="1:16" s="269" customFormat="1" ht="12.75" customHeight="1">
      <c r="A274">
        <f>ROW()-ROW($A$1)</f>
        <v>273</v>
      </c>
      <c r="B274" t="s">
        <v>306</v>
      </c>
      <c r="C274" t="n">
        <v>3</v>
      </c>
      <c r="D274" t="n">
        <v>410</v>
      </c>
      <c r="E274" s="19" t="str">
        <f aca="1">VLOOKUP(T_Aop[[#This Row],[Id]],T_Aop[],ID_Jezik+10,1)</f>
        <v>Promjena na 332 i 333</v>
      </c>
      <c r="F274" t="str">
        <f aca="1">REPT("  ",T_Aop[[#This Row],[Aop nivo]])&amp;VLOOKUP(T_Aop[[#This Row],[Id]],T_Aop[],ID_Jezik+6,1)</f>
        <v>      2.2  Povećanje/(smanjenje) fer vrijednosti vlasničkih instrumenata po fer vrijednosti kroz ostali ukupan rezultat</v>
      </c>
      <c r="G274" s="222" t="s">
        <v>2212</v>
      </c>
      <c r="H274" s="249" t="s">
        <v>2213</v>
      </c>
      <c r="I274" s="238" t="s">
        <v>2214</v>
      </c>
      <c r="J274" s="290" t="s">
        <v>2215</v>
      </c>
      <c r="K274" s="239" t="s">
        <v>2168</v>
      </c>
      <c r="L274" s="239" t="s">
        <v>2169</v>
      </c>
      <c r="M274" s="226" t="s">
        <v>2216</v>
      </c>
      <c r="N274" s="193" t="s">
        <v>2217</v>
      </c>
      <c r="O274" s="19"/>
      <c r="P274" s="19"/>
    </row>
    <row r="275" spans="1:16" s="269" customFormat="1" ht="12.75" customHeight="1">
      <c r="A275">
        <f>ROW()-ROW($A$1)</f>
        <v>274</v>
      </c>
      <c r="B275" t="s">
        <v>306</v>
      </c>
      <c r="C275" t="n">
        <v>3</v>
      </c>
      <c r="D275" t="n">
        <v>411</v>
      </c>
      <c r="E275" s="19" t="str">
        <f aca="1">VLOOKUP(T_Aop[[#This Row],[Id]],T_Aop[],ID_Jezik+10,1)</f>
        <v>Promjena na 339, dio</v>
      </c>
      <c r="F275" t="str">
        <f aca="1">REPT("  ",T_Aop[[#This Row],[Aop nivo]])&amp;VLOOKUP(T_Aop[[#This Row],[Id]],T_Aop[],ID_Jezik+6,1)</f>
        <v>      2.3  Aktuarski dobici/(gubici) od planova definisanih primanja</v>
      </c>
      <c r="G275" s="222" t="s">
        <v>2218</v>
      </c>
      <c r="H275" s="249" t="s">
        <v>2219</v>
      </c>
      <c r="I275" s="238" t="s">
        <v>2220</v>
      </c>
      <c r="J275" s="290" t="s">
        <v>2221</v>
      </c>
      <c r="K275" s="239" t="s">
        <v>2192</v>
      </c>
      <c r="L275" s="239" t="s">
        <v>2193</v>
      </c>
      <c r="M275" s="226" t="s">
        <v>2194</v>
      </c>
      <c r="N275" s="193" t="s">
        <v>2195</v>
      </c>
      <c r="O275" s="19"/>
      <c r="P275" s="19"/>
    </row>
    <row r="276" spans="1:16" s="269" customFormat="1" ht="12.75" customHeight="1">
      <c r="A276">
        <f>ROW()-ROW($A$1)</f>
        <v>275</v>
      </c>
      <c r="B276" t="s">
        <v>306</v>
      </c>
      <c r="C276" t="n">
        <v>3</v>
      </c>
      <c r="D276" t="n">
        <v>412</v>
      </c>
      <c r="E276" s="19">
        <f aca="1">VLOOKUP(T_Aop[[#This Row],[Id]],T_Aop[],ID_Jezik+10,1)</f>
        <v>0</v>
      </c>
      <c r="F276" t="str">
        <f aca="1">REPT("  ",T_Aop[[#This Row],[Aop nivo]])&amp;VLOOKUP(T_Aop[[#This Row],[Id]],T_Aop[],ID_Jezik+6,1)</f>
        <v>      2.4 Udio u ostalom ukupnom rezultatu pridruženog društva i zajedničkog poduhvata primjenom metode udjela</v>
      </c>
      <c r="G276" s="222" t="s">
        <v>2222</v>
      </c>
      <c r="H276" s="249" t="s">
        <v>2223</v>
      </c>
      <c r="I276" s="238" t="s">
        <v>2224</v>
      </c>
      <c r="J276" s="290" t="s">
        <v>2225</v>
      </c>
      <c r="K276" s="239"/>
      <c r="L276" s="239"/>
      <c r="M276" s="226"/>
      <c r="N276" s="193"/>
      <c r="O276" s="19"/>
      <c r="P276" s="19"/>
    </row>
    <row r="277" spans="1:16" s="269" customFormat="1" ht="12.75" customHeight="1">
      <c r="A277">
        <f>ROW()-ROW($A$1)</f>
        <v>276</v>
      </c>
      <c r="B277" t="s">
        <v>306</v>
      </c>
      <c r="C277" t="n">
        <v>3</v>
      </c>
      <c r="D277" t="n">
        <v>413</v>
      </c>
      <c r="E277" s="19" t="str">
        <f aca="1">VLOOKUP(T_Aop[[#This Row],[Id]],T_Aop[],ID_Jezik+10,1)</f>
        <v>Promjena na 339, dio</v>
      </c>
      <c r="F277" t="str">
        <f aca="1">REPT("  ",T_Aop[[#This Row],[Aop nivo]])&amp;VLOOKUP(T_Aop[[#This Row],[Id]],T_Aop[],ID_Jezik+6,1)</f>
        <v>      2.5 Ostale stavke koje neće biti reklasifikovane u bilans uspjeha</v>
      </c>
      <c r="G277" s="222" t="s">
        <v>2226</v>
      </c>
      <c r="H277" s="250" t="s">
        <v>2227</v>
      </c>
      <c r="I277" s="238" t="s">
        <v>2228</v>
      </c>
      <c r="J277" s="290" t="s">
        <v>2229</v>
      </c>
      <c r="K277" s="239" t="s">
        <v>2192</v>
      </c>
      <c r="L277" s="239" t="s">
        <v>2193</v>
      </c>
      <c r="M277" s="226" t="s">
        <v>2194</v>
      </c>
      <c r="N277" s="193" t="s">
        <v>2195</v>
      </c>
      <c r="O277" s="19"/>
      <c r="P277" s="19"/>
    </row>
    <row r="278" spans="1:16" s="269" customFormat="1" ht="12.75" customHeight="1">
      <c r="A278">
        <f>ROW()-ROW($A$1)</f>
        <v>277</v>
      </c>
      <c r="B278" t="s">
        <v>306</v>
      </c>
      <c r="C278" t="n">
        <v>3</v>
      </c>
      <c r="D278" t="n">
        <v>414</v>
      </c>
      <c r="E278" s="19">
        <f aca="1">VLOOKUP(T_Aop[[#This Row],[Id]],T_Aop[],ID_Jezik+10,1)</f>
        <v>0</v>
      </c>
      <c r="F278" t="str">
        <f aca="1">REPT("  ",T_Aop[[#This Row],[Aop nivo]])&amp;VLOOKUP(T_Aop[[#This Row],[Id]],T_Aop[],ID_Jezik+6,1)</f>
        <v>      2.6 Odloženi porez na dobit koji se odnosi na ove stavke</v>
      </c>
      <c r="G278" s="222" t="s">
        <v>2230</v>
      </c>
      <c r="H278" s="250" t="s">
        <v>2231</v>
      </c>
      <c r="I278" s="238" t="s">
        <v>2232</v>
      </c>
      <c r="J278" s="290" t="s">
        <v>2233</v>
      </c>
      <c r="K278" s="239"/>
      <c r="L278" s="239"/>
      <c r="M278" s="226"/>
      <c r="N278" s="224"/>
      <c r="O278" s="19" t="n">
        <v>1</v>
      </c>
      <c r="P278" s="19"/>
    </row>
    <row r="279" spans="1:16" s="269" customFormat="1" ht="12.75" customHeight="1">
      <c r="A279">
        <f>ROW()-ROW($A$1)</f>
        <v>278</v>
      </c>
      <c r="B279" t="s">
        <v>306</v>
      </c>
      <c r="C279" t="n">
        <v>1</v>
      </c>
      <c r="D279" t="n">
        <v>415</v>
      </c>
      <c r="E279" s="19">
        <f aca="1">VLOOKUP(T_Aop[[#This Row],[Id]],T_Aop[],ID_Jezik+10,1)</f>
        <v>0</v>
      </c>
      <c r="F279" t="str">
        <f aca="1">REPT("  ",T_Aop[[#This Row],[Aop nivo]])&amp;VLOOKUP(T_Aop[[#This Row],[Id]],T_Aop[],ID_Jezik+6,1)</f>
        <v>  B. OSTALA DOBIT/GUBITAK U PERIODU (± 401 ± 408)</v>
      </c>
      <c r="G279" s="222" t="s">
        <v>2234</v>
      </c>
      <c r="H279" s="251" t="s">
        <v>2235</v>
      </c>
      <c r="I279" s="246" t="s">
        <v>2236</v>
      </c>
      <c r="J279" s="290" t="s">
        <v>2237</v>
      </c>
      <c r="K279" s="239"/>
      <c r="L279" s="239"/>
      <c r="M279" s="226"/>
      <c r="N279" s="224"/>
      <c r="O279" s="19" t="n">
        <v>1</v>
      </c>
      <c r="P279" s="19"/>
    </row>
    <row r="280" spans="1:16" s="269" customFormat="1" ht="12.75" customHeight="1">
      <c r="A280">
        <f>ROW()-ROW($A$1)</f>
        <v>279</v>
      </c>
      <c r="B280" t="s">
        <v>306</v>
      </c>
      <c r="C280"/>
      <c r="D280"/>
      <c r="E280" s="19">
        <f aca="1">VLOOKUP(T_Aop[[#This Row],[Id]],T_Aop[],ID_Jezik+10,1)</f>
        <v>0</v>
      </c>
      <c r="F280" t="str">
        <f aca="1">REPT("  ",T_Aop[[#This Row],[Aop nivo]])&amp;VLOOKUP(T_Aop[[#This Row],[Id]],T_Aop[],ID_Jezik+6,1)</f>
        <v/>
      </c>
      <c r="G280" s="222"/>
      <c r="H280" s="237"/>
      <c r="I280" s="238"/>
      <c r="J280" s="290"/>
      <c r="K280" s="239"/>
      <c r="L280" s="239"/>
      <c r="M280" s="226"/>
      <c r="N280" s="224"/>
      <c r="O280" s="19"/>
      <c r="P280" s="19"/>
    </row>
    <row r="281" spans="1:16" s="269" customFormat="1" ht="12.75" customHeight="1">
      <c r="A281" s="256">
        <f>ROW()-ROW($A$1)</f>
        <v>280</v>
      </c>
      <c r="B281" s="256" t="s">
        <v>306</v>
      </c>
      <c r="C281" s="256" t="n">
        <v>0</v>
      </c>
      <c r="D281" s="256" t="n">
        <v>416</v>
      </c>
      <c r="E281" s="257">
        <f aca="1">VLOOKUP(T_Aop[[#This Row],[Id]],T_Aop[],ID_Jezik+10,1)</f>
        <v>0</v>
      </c>
      <c r="F281" s="256" t="str">
        <f aca="1">REPT("  ",T_Aop[[#This Row],[Aop nivo]])&amp;VLOOKUP(T_Aop[[#This Row],[Id]],T_Aop[],ID_Jezik+6,1)</f>
        <v> V. UKUPNA DOBIT / (GUBITAK) (400± 415)</v>
      </c>
      <c r="G281" s="238" t="s">
        <v>2238</v>
      </c>
      <c r="H281" s="245" t="s">
        <v>2239</v>
      </c>
      <c r="I281" s="246" t="s">
        <v>2240</v>
      </c>
      <c r="J281" s="290" t="s">
        <v>2241</v>
      </c>
      <c r="K281" s="239"/>
      <c r="L281" s="239"/>
      <c r="M281" s="239"/>
      <c r="N281" s="260"/>
      <c r="O281" s="257" t="n">
        <v>1</v>
      </c>
      <c r="P281" s="257"/>
    </row>
    <row r="282" spans="1:16" s="269" customFormat="1" ht="12.75" customHeight="1">
      <c r="A282" s="256">
        <f>ROW()-ROW($A$1)</f>
        <v>281</v>
      </c>
      <c r="B282" s="256" t="s">
        <v>306</v>
      </c>
      <c r="C282" s="256" t="n">
        <v>0</v>
      </c>
      <c r="D282" s="256"/>
      <c r="E282" s="257">
        <f aca="1">VLOOKUP(T_Aop[[#This Row],[Id]],T_Aop[],ID_Jezik+10,1)</f>
        <v>0</v>
      </c>
      <c r="F282" s="256" t="str">
        <f aca="1">REPT("  ",T_Aop[[#This Row],[Aop nivo]])&amp;VLOOKUP(T_Aop[[#This Row],[Id]],T_Aop[],ID_Jezik+6,1)</f>
        <v> </v>
      </c>
      <c r="G282" s="238" t="s">
        <v>50</v>
      </c>
      <c r="H282" s="245" t="s">
        <v>50</v>
      </c>
      <c r="I282" s="238"/>
      <c r="J282" s="290"/>
      <c r="K282" s="239"/>
      <c r="L282" s="239"/>
      <c r="M282" s="239"/>
      <c r="N282" s="260"/>
      <c r="O282" s="257" t="n">
        <v>1</v>
      </c>
      <c r="P282" s="257"/>
    </row>
    <row r="283" spans="1:16" s="269" customFormat="1" ht="12.75" customHeight="1">
      <c r="A283" s="256">
        <f>ROW()-ROW($A$1)</f>
        <v>282</v>
      </c>
      <c r="B283" s="256" t="s">
        <v>306</v>
      </c>
      <c r="C283" s="256" t="n">
        <v>0</v>
      </c>
      <c r="D283" s="256" t="n">
        <v>417</v>
      </c>
      <c r="E283" s="257">
        <f aca="1">VLOOKUP(T_Aop[[#This Row],[Id]],T_Aop[],ID_Jezik+10,1)</f>
        <v>0</v>
      </c>
      <c r="F283" s="256" t="str">
        <f aca="1">REPT("  ",T_Aop[[#This Row],[Aop nivo]])&amp;VLOOKUP(T_Aop[[#This Row],[Id]],T_Aop[],ID_Jezik+6,1)</f>
        <v>Dio ukupne dobiti/gubitka koji pripada većinskim vlasnicima</v>
      </c>
      <c r="G283" s="238" t="s">
        <v>2242</v>
      </c>
      <c r="H283" s="245" t="s">
        <v>2243</v>
      </c>
      <c r="I283" s="238" t="s">
        <v>2244</v>
      </c>
      <c r="J283" s="290" t="s">
        <v>2245</v>
      </c>
      <c r="K283" s="239"/>
      <c r="L283" s="239"/>
      <c r="M283" s="239"/>
      <c r="N283" s="260"/>
      <c r="O283" s="257" t="n">
        <v>1</v>
      </c>
      <c r="P283" s="257"/>
    </row>
    <row r="284" spans="1:16" s="269" customFormat="1" ht="12.75" customHeight="1">
      <c r="A284" s="256">
        <f>ROW()-ROW($A$1)</f>
        <v>283</v>
      </c>
      <c r="B284" s="256" t="s">
        <v>306</v>
      </c>
      <c r="C284" s="256" t="n">
        <v>0</v>
      </c>
      <c r="D284" s="256" t="n">
        <v>418</v>
      </c>
      <c r="E284" s="257">
        <f aca="1">VLOOKUP(T_Aop[[#This Row],[Id]],T_Aop[],ID_Jezik+10,1)</f>
        <v>0</v>
      </c>
      <c r="F284" s="256" t="str">
        <f aca="1">REPT("  ",T_Aop[[#This Row],[Aop nivo]])&amp;VLOOKUP(T_Aop[[#This Row],[Id]],T_Aop[],ID_Jezik+6,1)</f>
        <v>Dio ukupne dobiti/gubitka koji pripada manjinskim vlasnicima</v>
      </c>
      <c r="G284" s="238" t="s">
        <v>2246</v>
      </c>
      <c r="H284" s="245" t="s">
        <v>2247</v>
      </c>
      <c r="I284" s="238" t="s">
        <v>2248</v>
      </c>
      <c r="J284" s="290" t="s">
        <v>2249</v>
      </c>
      <c r="K284" s="239"/>
      <c r="L284" s="239"/>
      <c r="M284" s="239"/>
      <c r="N284" s="260"/>
      <c r="O284" s="257" t="n">
        <v>1</v>
      </c>
      <c r="P284" s="257"/>
    </row>
    <row r="285" spans="1:16" s="269" customFormat="1" ht="32.25" customHeight="1">
      <c r="A285" s="256">
        <f>ROW()-ROW($A$1)</f>
        <v>284</v>
      </c>
      <c r="B285" s="256" t="s">
        <v>316</v>
      </c>
      <c r="C285" s="256" t="n">
        <v>0</v>
      </c>
      <c r="D285" s="256" t="n">
        <v>501</v>
      </c>
      <c r="E285" s="257" t="str">
        <f aca="1">VLOOKUP(T_Aop[[#This Row],[Id]],T_Aop[],ID_Jezik+10,1)</f>
        <v>A
I</v>
      </c>
      <c r="F285" s="277" t="str">
        <f aca="1">REPT("  ",T_Aop[[#This Row],[Aop nivo]])&amp;VLOOKUP(T_Aop[[#This Row],[Id]],T_Aop[],ID_Jezik+6,1)</f>
        <v>TOKOVI GOTOVINE IZ POSLOVNIH AKTIVNOSTI 
Prilivi gotovine iz poslovne aktivnosti (502 do 505)</v>
      </c>
      <c r="G285" s="350" t="s">
        <v>2250</v>
      </c>
      <c r="H285" s="241" t="s">
        <v>2251</v>
      </c>
      <c r="I285" s="258" t="s">
        <v>2252</v>
      </c>
      <c r="J285" s="290" t="s">
        <v>2253</v>
      </c>
      <c r="K285" s="239" t="s">
        <v>2254</v>
      </c>
      <c r="L285" s="239" t="s">
        <v>2255</v>
      </c>
      <c r="M285" s="239" t="s">
        <v>2254</v>
      </c>
      <c r="N285" s="259" t="s">
        <v>2256</v>
      </c>
      <c r="O285" s="257" t="n">
        <v>1</v>
      </c>
      <c r="P285" s="257"/>
    </row>
    <row r="286" spans="1:16" s="269" customFormat="1" ht="12.75" customHeight="1">
      <c r="A286" s="256">
        <f>ROW()-ROW($A$1)</f>
        <v>285</v>
      </c>
      <c r="B286" s="256" t="s">
        <v>316</v>
      </c>
      <c r="C286" s="256" t="n">
        <v>2</v>
      </c>
      <c r="D286" s="256" t="n">
        <v>502</v>
      </c>
      <c r="E286" s="257" t="str">
        <f aca="1">VLOOKUP(T_Aop[[#This Row],[Id]],T_Aop[],ID_Jezik+10,1)</f>
        <v>1</v>
      </c>
      <c r="F286" s="256" t="str">
        <f aca="1">REPT("  ",T_Aop[[#This Row],[Aop nivo]])&amp;VLOOKUP(T_Aop[[#This Row],[Id]],T_Aop[],ID_Jezik+6,1)</f>
        <v>    Prilivi od kupaca i primljeni avansi u zemlji</v>
      </c>
      <c r="G286" s="238" t="s">
        <v>2257</v>
      </c>
      <c r="H286" s="237" t="s">
        <v>2258</v>
      </c>
      <c r="I286" s="238" t="s">
        <v>2259</v>
      </c>
      <c r="J286" s="290" t="s">
        <v>2260</v>
      </c>
      <c r="K286" s="239" t="s">
        <v>2261</v>
      </c>
      <c r="L286" s="239" t="n">
        <v>1</v>
      </c>
      <c r="M286" s="239" t="s">
        <v>2261</v>
      </c>
      <c r="N286" s="259" t="s">
        <v>34</v>
      </c>
      <c r="O286" s="257"/>
      <c r="P286" s="257"/>
    </row>
    <row r="287" spans="1:16" s="269" customFormat="1" ht="12.75" customHeight="1">
      <c r="A287" s="256">
        <f>ROW()-ROW($A$1)</f>
        <v>286</v>
      </c>
      <c r="B287" s="256" t="s">
        <v>316</v>
      </c>
      <c r="C287" s="256" t="n">
        <v>2</v>
      </c>
      <c r="D287" s="256" t="n">
        <v>503</v>
      </c>
      <c r="E287" s="257" t="str">
        <f aca="1">VLOOKUP(T_Aop[[#This Row],[Id]],T_Aop[],ID_Jezik+10,1)</f>
        <v>2</v>
      </c>
      <c r="F287" s="256" t="str">
        <f aca="1">REPT("  ",T_Aop[[#This Row],[Aop nivo]])&amp;VLOOKUP(T_Aop[[#This Row],[Id]],T_Aop[],ID_Jezik+6,1)</f>
        <v>    Prilivi od kupaca i primljeni avansi u inostranstvu</v>
      </c>
      <c r="G287" s="238" t="s">
        <v>2262</v>
      </c>
      <c r="H287" s="237" t="s">
        <v>2263</v>
      </c>
      <c r="I287" s="238" t="s">
        <v>2264</v>
      </c>
      <c r="J287" s="290" t="s">
        <v>2265</v>
      </c>
      <c r="K287" s="239" t="s">
        <v>2266</v>
      </c>
      <c r="L287" s="239" t="n">
        <v>2</v>
      </c>
      <c r="M287" s="239" t="s">
        <v>2266</v>
      </c>
      <c r="N287" s="259" t="s">
        <v>36</v>
      </c>
      <c r="O287" s="257"/>
      <c r="P287" s="257"/>
    </row>
    <row r="288" spans="1:16" s="269" customFormat="1" ht="12.75" customHeight="1">
      <c r="A288" s="256">
        <f>ROW()-ROW($A$1)</f>
        <v>287</v>
      </c>
      <c r="B288" s="256" t="s">
        <v>316</v>
      </c>
      <c r="C288" s="256" t="n">
        <v>2</v>
      </c>
      <c r="D288" s="256" t="n">
        <v>504</v>
      </c>
      <c r="E288" s="257" t="str">
        <f aca="1">VLOOKUP(T_Aop[[#This Row],[Id]],T_Aop[],ID_Jezik+10,1)</f>
        <v>3</v>
      </c>
      <c r="F288" s="256" t="str">
        <f aca="1">REPT("  ",T_Aop[[#This Row],[Aop nivo]])&amp;VLOOKUP(T_Aop[[#This Row],[Id]],T_Aop[],ID_Jezik+6,1)</f>
        <v>    Prilivi od premija, subvencija, dotacija i sl.</v>
      </c>
      <c r="G288" s="238" t="s">
        <v>2267</v>
      </c>
      <c r="H288" s="237" t="s">
        <v>2268</v>
      </c>
      <c r="I288" s="238" t="s">
        <v>2269</v>
      </c>
      <c r="J288" s="290" t="s">
        <v>2270</v>
      </c>
      <c r="K288" s="239" t="s">
        <v>2271</v>
      </c>
      <c r="L288" s="239" t="n">
        <v>3</v>
      </c>
      <c r="M288" s="239" t="s">
        <v>2271</v>
      </c>
      <c r="N288" s="259" t="s">
        <v>38</v>
      </c>
      <c r="O288" s="257"/>
      <c r="P288" s="257"/>
    </row>
    <row r="289" spans="1:16" s="269" customFormat="1" ht="12.75" customHeight="1">
      <c r="A289" s="256">
        <f>ROW()-ROW($A$1)</f>
        <v>288</v>
      </c>
      <c r="B289" s="256" t="s">
        <v>316</v>
      </c>
      <c r="C289" s="256" t="n">
        <v>2</v>
      </c>
      <c r="D289" s="256" t="n">
        <v>505</v>
      </c>
      <c r="E289" s="257" t="str">
        <f aca="1">VLOOKUP(T_Aop[[#This Row],[Id]],T_Aop[],ID_Jezik+10,1)</f>
        <v>4</v>
      </c>
      <c r="F289" s="256" t="str">
        <f aca="1">REPT("  ",T_Aop[[#This Row],[Aop nivo]])&amp;VLOOKUP(T_Aop[[#This Row],[Id]],T_Aop[],ID_Jezik+6,1)</f>
        <v>    Ostali prilivi iz poslovnih aktivnosti</v>
      </c>
      <c r="G289" s="238" t="s">
        <v>2272</v>
      </c>
      <c r="H289" s="237" t="s">
        <v>2273</v>
      </c>
      <c r="I289" s="238" t="s">
        <v>2274</v>
      </c>
      <c r="J289" s="290" t="s">
        <v>2275</v>
      </c>
      <c r="K289" s="239" t="s">
        <v>2276</v>
      </c>
      <c r="L289" s="239" t="n">
        <v>4</v>
      </c>
      <c r="M289" s="239" t="s">
        <v>2276</v>
      </c>
      <c r="N289" s="259" t="s">
        <v>40</v>
      </c>
      <c r="O289" s="257"/>
      <c r="P289" s="257"/>
    </row>
    <row r="290" spans="1:16" s="269" customFormat="1" ht="12.75" customHeight="1">
      <c r="A290" s="256">
        <f>ROW()-ROW($A$1)</f>
        <v>289</v>
      </c>
      <c r="B290" s="256" t="s">
        <v>316</v>
      </c>
      <c r="C290" s="256" t="n">
        <v>2</v>
      </c>
      <c r="D290" s="256" t="n">
        <v>506</v>
      </c>
      <c r="E290" s="257" t="str">
        <f aca="1">VLOOKUP(T_Aop[[#This Row],[Id]],T_Aop[],ID_Jezik+10,1)</f>
        <v>II</v>
      </c>
      <c r="F290" s="256" t="str">
        <f aca="1">REPT("  ",T_Aop[[#This Row],[Aop nivo]])&amp;VLOOKUP(T_Aop[[#This Row],[Id]],T_Aop[],ID_Jezik+6,1)</f>
        <v>    Odlivi gotovine iz poslovnih aktivnosti (507 do 512)</v>
      </c>
      <c r="G290" s="238" t="s">
        <v>2277</v>
      </c>
      <c r="H290" s="237" t="s">
        <v>2278</v>
      </c>
      <c r="I290" s="238" t="s">
        <v>2279</v>
      </c>
      <c r="J290" s="290" t="s">
        <v>2280</v>
      </c>
      <c r="K290" s="239" t="s">
        <v>2281</v>
      </c>
      <c r="L290" s="239" t="s">
        <v>2281</v>
      </c>
      <c r="M290" s="239" t="s">
        <v>2281</v>
      </c>
      <c r="N290" s="259" t="s">
        <v>2281</v>
      </c>
      <c r="O290" s="257"/>
      <c r="P290" s="257"/>
    </row>
    <row r="291" spans="1:16" s="269" customFormat="1" ht="12.75" customHeight="1">
      <c r="A291" s="256">
        <f>ROW()-ROW($A$1)</f>
        <v>290</v>
      </c>
      <c r="B291" s="256" t="s">
        <v>316</v>
      </c>
      <c r="C291" s="256" t="n">
        <v>2</v>
      </c>
      <c r="D291" s="256" t="n">
        <v>507</v>
      </c>
      <c r="E291" s="257" t="str">
        <f aca="1">VLOOKUP(T_Aop[[#This Row],[Id]],T_Aop[],ID_Jezik+10,1)</f>
        <v>1</v>
      </c>
      <c r="F291" s="256" t="str">
        <f aca="1">REPT("  ",T_Aop[[#This Row],[Aop nivo]])&amp;VLOOKUP(T_Aop[[#This Row],[Id]],T_Aop[],ID_Jezik+6,1)</f>
        <v>    Odlivi po osnovu isplata dobavljačima i dati avansi u zemlji</v>
      </c>
      <c r="G291" s="238" t="s">
        <v>2282</v>
      </c>
      <c r="H291" s="237" t="s">
        <v>2283</v>
      </c>
      <c r="I291" s="238" t="s">
        <v>2284</v>
      </c>
      <c r="J291" s="290" t="s">
        <v>2285</v>
      </c>
      <c r="K291" s="239" t="s">
        <v>2261</v>
      </c>
      <c r="L291" s="239" t="n">
        <v>1</v>
      </c>
      <c r="M291" s="239" t="s">
        <v>2261</v>
      </c>
      <c r="N291" s="259" t="s">
        <v>34</v>
      </c>
      <c r="O291" s="257"/>
      <c r="P291" s="257"/>
    </row>
    <row r="292" spans="1:16" s="269" customFormat="1" ht="12.75" customHeight="1">
      <c r="A292" s="256">
        <f>ROW()-ROW($A$1)</f>
        <v>291</v>
      </c>
      <c r="B292" s="256" t="s">
        <v>316</v>
      </c>
      <c r="C292" s="256" t="n">
        <v>2</v>
      </c>
      <c r="D292" s="256" t="n">
        <v>508</v>
      </c>
      <c r="E292" s="257" t="str">
        <f aca="1">VLOOKUP(T_Aop[[#This Row],[Id]],T_Aop[],ID_Jezik+10,1)</f>
        <v>2</v>
      </c>
      <c r="F292" s="256" t="str">
        <f aca="1">REPT("  ",T_Aop[[#This Row],[Aop nivo]])&amp;VLOOKUP(T_Aop[[#This Row],[Id]],T_Aop[],ID_Jezik+6,1)</f>
        <v>    Odlivi po osnovu isplata dobavljačima i dati avansi u inostranstvu</v>
      </c>
      <c r="G292" s="238" t="s">
        <v>2286</v>
      </c>
      <c r="H292" s="237" t="s">
        <v>2287</v>
      </c>
      <c r="I292" s="238" t="s">
        <v>2288</v>
      </c>
      <c r="J292" s="290" t="s">
        <v>2289</v>
      </c>
      <c r="K292" s="239" t="s">
        <v>2266</v>
      </c>
      <c r="L292" s="239" t="n">
        <v>2</v>
      </c>
      <c r="M292" s="239" t="s">
        <v>2266</v>
      </c>
      <c r="N292" s="259" t="s">
        <v>36</v>
      </c>
      <c r="O292" s="257"/>
      <c r="P292" s="257"/>
    </row>
    <row r="293" spans="1:16" s="269" customFormat="1" ht="12.75" customHeight="1">
      <c r="A293" s="256">
        <f>ROW()-ROW($A$1)</f>
        <v>292</v>
      </c>
      <c r="B293" s="256" t="s">
        <v>316</v>
      </c>
      <c r="C293" s="256" t="n">
        <v>2</v>
      </c>
      <c r="D293" s="256" t="n">
        <v>509</v>
      </c>
      <c r="E293" s="257" t="str">
        <f aca="1">VLOOKUP(T_Aop[[#This Row],[Id]],T_Aop[],ID_Jezik+10,1)</f>
        <v>3</v>
      </c>
      <c r="F293" s="256" t="str">
        <f aca="1">REPT("  ",T_Aop[[#This Row],[Aop nivo]])&amp;VLOOKUP(T_Aop[[#This Row],[Id]],T_Aop[],ID_Jezik+6,1)</f>
        <v>    Odlivi po osnovu plaćenih kamata</v>
      </c>
      <c r="G293" s="238" t="s">
        <v>2290</v>
      </c>
      <c r="H293" s="237" t="s">
        <v>2291</v>
      </c>
      <c r="I293" s="238" t="s">
        <v>2292</v>
      </c>
      <c r="J293" s="290" t="s">
        <v>2293</v>
      </c>
      <c r="K293" s="239" t="s">
        <v>2271</v>
      </c>
      <c r="L293" s="239" t="n">
        <v>3</v>
      </c>
      <c r="M293" s="239" t="s">
        <v>2271</v>
      </c>
      <c r="N293" s="259" t="s">
        <v>38</v>
      </c>
      <c r="O293" s="257"/>
      <c r="P293" s="257"/>
    </row>
    <row r="294" spans="1:16" s="269" customFormat="1" ht="12.75" customHeight="1">
      <c r="A294" s="256">
        <f>ROW()-ROW($A$1)</f>
        <v>293</v>
      </c>
      <c r="B294" s="256" t="s">
        <v>316</v>
      </c>
      <c r="C294" s="256" t="n">
        <v>2</v>
      </c>
      <c r="D294" s="256" t="n">
        <v>510</v>
      </c>
      <c r="E294" s="257" t="str">
        <f aca="1">VLOOKUP(T_Aop[[#This Row],[Id]],T_Aop[],ID_Jezik+10,1)</f>
        <v>4</v>
      </c>
      <c r="F294" s="256" t="str">
        <f aca="1">REPT("  ",T_Aop[[#This Row],[Aop nivo]])&amp;VLOOKUP(T_Aop[[#This Row],[Id]],T_Aop[],ID_Jezik+6,1)</f>
        <v>    Odlivi po osnovu isplata plata, naknada plata i ostalih ličnih rashoda</v>
      </c>
      <c r="G294" s="238" t="s">
        <v>2294</v>
      </c>
      <c r="H294" s="237" t="s">
        <v>2295</v>
      </c>
      <c r="I294" s="238" t="s">
        <v>2296</v>
      </c>
      <c r="J294" s="290" t="s">
        <v>2297</v>
      </c>
      <c r="K294" s="239" t="s">
        <v>2276</v>
      </c>
      <c r="L294" s="239" t="n">
        <v>4</v>
      </c>
      <c r="M294" s="239" t="s">
        <v>2276</v>
      </c>
      <c r="N294" s="259" t="s">
        <v>40</v>
      </c>
      <c r="O294" s="257"/>
      <c r="P294" s="257"/>
    </row>
    <row r="295" spans="1:16" s="269" customFormat="1" ht="12.75" customHeight="1">
      <c r="A295" s="256">
        <f>ROW()-ROW($A$1)</f>
        <v>294</v>
      </c>
      <c r="B295" s="256" t="s">
        <v>316</v>
      </c>
      <c r="C295" s="256" t="n">
        <v>2</v>
      </c>
      <c r="D295" s="256" t="n">
        <v>511</v>
      </c>
      <c r="E295" s="257" t="str">
        <f aca="1">VLOOKUP(T_Aop[[#This Row],[Id]],T_Aop[],ID_Jezik+10,1)</f>
        <v>5</v>
      </c>
      <c r="F295" s="256" t="str">
        <f aca="1">REPT("  ",T_Aop[[#This Row],[Aop nivo]])&amp;VLOOKUP(T_Aop[[#This Row],[Id]],T_Aop[],ID_Jezik+6,1)</f>
        <v>    Odlivi po osnovu poreza na dobit</v>
      </c>
      <c r="G295" s="238" t="s">
        <v>2298</v>
      </c>
      <c r="H295" s="237" t="s">
        <v>2299</v>
      </c>
      <c r="I295" s="238" t="s">
        <v>2300</v>
      </c>
      <c r="J295" s="290" t="s">
        <v>2301</v>
      </c>
      <c r="K295" s="239" t="s">
        <v>2302</v>
      </c>
      <c r="L295" s="239" t="n">
        <v>5</v>
      </c>
      <c r="M295" s="239" t="s">
        <v>2302</v>
      </c>
      <c r="N295" s="259" t="s">
        <v>42</v>
      </c>
      <c r="O295" s="257"/>
      <c r="P295" s="257"/>
    </row>
    <row r="296" spans="1:16" s="269" customFormat="1" ht="12.75" customHeight="1">
      <c r="A296" s="256">
        <f>ROW()-ROW($A$1)</f>
        <v>295</v>
      </c>
      <c r="B296" s="256" t="s">
        <v>316</v>
      </c>
      <c r="C296" s="256" t="n">
        <v>2</v>
      </c>
      <c r="D296" s="256" t="n">
        <v>512</v>
      </c>
      <c r="E296" s="257" t="str">
        <f aca="1">VLOOKUP(T_Aop[[#This Row],[Id]],T_Aop[],ID_Jezik+10,1)</f>
        <v>6</v>
      </c>
      <c r="F296" s="256" t="str">
        <f aca="1">REPT("  ",T_Aop[[#This Row],[Aop nivo]])&amp;VLOOKUP(T_Aop[[#This Row],[Id]],T_Aop[],ID_Jezik+6,1)</f>
        <v>    Ostali odlivi iz poslovnih aktivnosti</v>
      </c>
      <c r="G296" s="238" t="s">
        <v>2303</v>
      </c>
      <c r="H296" s="237" t="s">
        <v>2304</v>
      </c>
      <c r="I296" s="238" t="s">
        <v>2305</v>
      </c>
      <c r="J296" s="290" t="s">
        <v>2306</v>
      </c>
      <c r="K296" s="239" t="s">
        <v>2307</v>
      </c>
      <c r="L296" s="239" t="n">
        <v>6</v>
      </c>
      <c r="M296" s="239" t="s">
        <v>2307</v>
      </c>
      <c r="N296" s="259" t="s">
        <v>44</v>
      </c>
      <c r="O296" s="257"/>
      <c r="P296" s="257"/>
    </row>
    <row r="297" spans="1:16" s="269" customFormat="1" ht="12.75" customHeight="1">
      <c r="A297" s="256">
        <f>ROW()-ROW($A$1)</f>
        <v>296</v>
      </c>
      <c r="B297" s="256" t="s">
        <v>316</v>
      </c>
      <c r="C297" s="256" t="n">
        <v>1</v>
      </c>
      <c r="D297" s="256" t="n">
        <v>513</v>
      </c>
      <c r="E297" s="257" t="str">
        <f aca="1">VLOOKUP(T_Aop[[#This Row],[Id]],T_Aop[],ID_Jezik+10,1)</f>
        <v>III</v>
      </c>
      <c r="F297" s="256" t="str">
        <f aca="1">REPT("  ",T_Aop[[#This Row],[Aop nivo]])&amp;VLOOKUP(T_Aop[[#This Row],[Id]],T_Aop[],ID_Jezik+6,1)</f>
        <v>  Neto priliv gotovine iz poslovnih aktivnosti (501 – 506)</v>
      </c>
      <c r="G297" s="238" t="s">
        <v>2308</v>
      </c>
      <c r="H297" s="237" t="s">
        <v>2309</v>
      </c>
      <c r="I297" s="238" t="s">
        <v>2310</v>
      </c>
      <c r="J297" s="290" t="s">
        <v>2311</v>
      </c>
      <c r="K297" s="239" t="s">
        <v>2312</v>
      </c>
      <c r="L297" s="239" t="s">
        <v>2312</v>
      </c>
      <c r="M297" s="239" t="s">
        <v>2312</v>
      </c>
      <c r="N297" s="259" t="s">
        <v>2312</v>
      </c>
      <c r="O297" s="257" t="n">
        <v>1</v>
      </c>
      <c r="P297" s="257"/>
    </row>
    <row r="298" spans="1:16" s="269" customFormat="1" ht="12.75" customHeight="1">
      <c r="A298" s="256">
        <f>ROW()-ROW($A$1)</f>
        <v>297</v>
      </c>
      <c r="B298" s="256" t="s">
        <v>316</v>
      </c>
      <c r="C298" s="256" t="n">
        <v>1</v>
      </c>
      <c r="D298" s="256" t="n">
        <v>514</v>
      </c>
      <c r="E298" s="257" t="str">
        <f aca="1">VLOOKUP(T_Aop[[#This Row],[Id]],T_Aop[],ID_Jezik+10,1)</f>
        <v>IV</v>
      </c>
      <c r="F298" s="256" t="str">
        <f aca="1">REPT("  ",T_Aop[[#This Row],[Aop nivo]])&amp;VLOOKUP(T_Aop[[#This Row],[Id]],T_Aop[],ID_Jezik+6,1)</f>
        <v>  Neto odliv gotovine iz poslovnih aktivnosti (506 – 501)</v>
      </c>
      <c r="G298" s="238" t="s">
        <v>2313</v>
      </c>
      <c r="H298" s="237" t="s">
        <v>2314</v>
      </c>
      <c r="I298" s="238" t="s">
        <v>2315</v>
      </c>
      <c r="J298" s="290" t="s">
        <v>2316</v>
      </c>
      <c r="K298" s="239" t="s">
        <v>2317</v>
      </c>
      <c r="L298" s="239" t="s">
        <v>2317</v>
      </c>
      <c r="M298" s="239" t="s">
        <v>2317</v>
      </c>
      <c r="N298" s="259" t="s">
        <v>2317</v>
      </c>
      <c r="O298" s="257" t="n">
        <v>1</v>
      </c>
      <c r="P298" s="257"/>
    </row>
    <row r="299" spans="1:16" s="269" customFormat="1" ht="12.75" customHeight="1">
      <c r="A299" s="256">
        <f>ROW()-ROW($A$1)</f>
        <v>298</v>
      </c>
      <c r="B299" s="256" t="s">
        <v>316</v>
      </c>
      <c r="C299" s="256" t="n">
        <v>0</v>
      </c>
      <c r="D299" s="256" t="n">
        <v>515</v>
      </c>
      <c r="E299" s="257" t="str">
        <f aca="1">VLOOKUP(T_Aop[[#This Row],[Id]],T_Aop[],ID_Jezik+10,1)</f>
        <v>B
I</v>
      </c>
      <c r="F299" s="277" t="str">
        <f aca="1">REPT("  ",T_Aop[[#This Row],[Aop nivo]])&amp;VLOOKUP(T_Aop[[#This Row],[Id]],T_Aop[],ID_Jezik+6,1)</f>
        <v>TOKOVI GOTOVINE IZ AKTIVNOSTI INVESTIRANJA
Prilivi gotovine iz aktivnosti investiranja (516 do 530)</v>
      </c>
      <c r="G299" s="350" t="s">
        <v>2318</v>
      </c>
      <c r="H299" s="237" t="s">
        <v>2319</v>
      </c>
      <c r="I299" s="258" t="s">
        <v>2320</v>
      </c>
      <c r="J299" s="290" t="s">
        <v>2321</v>
      </c>
      <c r="K299" s="239" t="s">
        <v>2322</v>
      </c>
      <c r="L299" s="239" t="s">
        <v>2323</v>
      </c>
      <c r="M299" s="239" t="s">
        <v>2322</v>
      </c>
      <c r="N299" s="259" t="s">
        <v>2324</v>
      </c>
      <c r="O299" s="257" t="n">
        <v>1</v>
      </c>
      <c r="P299" s="257"/>
    </row>
    <row r="300" spans="1:16" s="269" customFormat="1" ht="12.75" customHeight="1">
      <c r="A300" s="256">
        <f>ROW()-ROW($A$1)</f>
        <v>299</v>
      </c>
      <c r="B300" s="256" t="s">
        <v>316</v>
      </c>
      <c r="C300" s="256" t="n">
        <v>2</v>
      </c>
      <c r="D300" s="256" t="n">
        <v>516</v>
      </c>
      <c r="E300" s="257" t="str">
        <f aca="1">VLOOKUP(T_Aop[[#This Row],[Id]],T_Aop[],ID_Jezik+10,1)</f>
        <v>1</v>
      </c>
      <c r="F300" s="256" t="str">
        <f aca="1">REPT("  ",T_Aop[[#This Row],[Aop nivo]])&amp;VLOOKUP(T_Aop[[#This Row],[Id]],T_Aop[],ID_Jezik+6,1)</f>
        <v>    Prilivi gotovine po osnovu prodaje akcija i udjela zavisnih i pridruženih društava i zajedničkih poduhvata</v>
      </c>
      <c r="G300" s="238" t="s">
        <v>2325</v>
      </c>
      <c r="H300" s="237" t="s">
        <v>2326</v>
      </c>
      <c r="I300" s="238" t="s">
        <v>2327</v>
      </c>
      <c r="J300" s="290" t="s">
        <v>2328</v>
      </c>
      <c r="K300" s="239" t="s">
        <v>2261</v>
      </c>
      <c r="L300" s="239" t="n">
        <v>1</v>
      </c>
      <c r="M300" s="239" t="s">
        <v>2261</v>
      </c>
      <c r="N300" s="259" t="s">
        <v>34</v>
      </c>
      <c r="O300" s="257"/>
      <c r="P300" s="257"/>
    </row>
    <row r="301" spans="1:16" s="269" customFormat="1" ht="12.75" customHeight="1">
      <c r="A301" s="256">
        <f>ROW()-ROW($A$1)</f>
        <v>300</v>
      </c>
      <c r="B301" s="256" t="s">
        <v>316</v>
      </c>
      <c r="C301" s="256" t="n">
        <v>2</v>
      </c>
      <c r="D301" s="256" t="n">
        <v>517</v>
      </c>
      <c r="E301" s="257" t="str">
        <f aca="1">VLOOKUP(T_Aop[[#This Row],[Id]],T_Aop[],ID_Jezik+10,1)</f>
        <v>2</v>
      </c>
      <c r="F301" s="256" t="str">
        <f aca="1">REPT("  ",T_Aop[[#This Row],[Aop nivo]])&amp;VLOOKUP(T_Aop[[#This Row],[Id]],T_Aop[],ID_Jezik+6,1)</f>
        <v>    Prilivi po osnovu prodaje nekretnina, postrojenja i opreme</v>
      </c>
      <c r="G301" s="238" t="s">
        <v>2329</v>
      </c>
      <c r="H301" s="237" t="s">
        <v>2330</v>
      </c>
      <c r="I301" s="238" t="s">
        <v>2331</v>
      </c>
      <c r="J301" s="290" t="s">
        <v>2332</v>
      </c>
      <c r="K301" s="239" t="s">
        <v>2266</v>
      </c>
      <c r="L301" s="239" t="n">
        <v>2</v>
      </c>
      <c r="M301" s="239" t="s">
        <v>2266</v>
      </c>
      <c r="N301" s="259" t="s">
        <v>36</v>
      </c>
      <c r="O301" s="257"/>
      <c r="P301" s="257"/>
    </row>
    <row r="302" spans="1:16" s="269" customFormat="1" ht="12.75" customHeight="1">
      <c r="A302" s="256">
        <f>ROW()-ROW($A$1)</f>
        <v>301</v>
      </c>
      <c r="B302" s="256" t="s">
        <v>316</v>
      </c>
      <c r="C302" s="256" t="n">
        <v>2</v>
      </c>
      <c r="D302" s="256" t="n">
        <v>518</v>
      </c>
      <c r="E302" s="257" t="str">
        <f aca="1">VLOOKUP(T_Aop[[#This Row],[Id]],T_Aop[],ID_Jezik+10,1)</f>
        <v>3</v>
      </c>
      <c r="F302" s="256" t="str">
        <f aca="1">REPT("  ",T_Aop[[#This Row],[Aop nivo]])&amp;VLOOKUP(T_Aop[[#This Row],[Id]],T_Aop[],ID_Jezik+6,1)</f>
        <v>    Prilivi po osnovu prodaje investicionih nekretnina</v>
      </c>
      <c r="G302" s="238" t="s">
        <v>2333</v>
      </c>
      <c r="H302" s="237" t="s">
        <v>2334</v>
      </c>
      <c r="I302" s="238" t="s">
        <v>2335</v>
      </c>
      <c r="J302" s="290" t="s">
        <v>2336</v>
      </c>
      <c r="K302" s="239" t="s">
        <v>2271</v>
      </c>
      <c r="L302" s="239" t="n">
        <v>3</v>
      </c>
      <c r="M302" s="239" t="s">
        <v>2271</v>
      </c>
      <c r="N302" s="259" t="s">
        <v>38</v>
      </c>
      <c r="O302" s="257"/>
      <c r="P302" s="257" t="n">
        <v>1</v>
      </c>
    </row>
    <row r="303" spans="1:16" s="269" customFormat="1" ht="12.75" customHeight="1">
      <c r="A303" s="256">
        <f>ROW()-ROW($A$1)</f>
        <v>302</v>
      </c>
      <c r="B303" s="256" t="s">
        <v>316</v>
      </c>
      <c r="C303" s="256" t="n">
        <v>2</v>
      </c>
      <c r="D303" s="256" t="n">
        <v>519</v>
      </c>
      <c r="E303" s="257" t="str">
        <f aca="1">VLOOKUP(T_Aop[[#This Row],[Id]],T_Aop[],ID_Jezik+10,1)</f>
        <v>4</v>
      </c>
      <c r="F303" s="256" t="str">
        <f aca="1">REPT("  ",T_Aop[[#This Row],[Aop nivo]])&amp;VLOOKUP(T_Aop[[#This Row],[Id]],T_Aop[],ID_Jezik+6,1)</f>
        <v>    Prilivi po osnovu prodaje bioloških sredstava</v>
      </c>
      <c r="G303" s="238" t="s">
        <v>2337</v>
      </c>
      <c r="H303" s="237" t="s">
        <v>2338</v>
      </c>
      <c r="I303" s="238" t="s">
        <v>2339</v>
      </c>
      <c r="J303" s="290" t="s">
        <v>2340</v>
      </c>
      <c r="K303" s="239" t="s">
        <v>2276</v>
      </c>
      <c r="L303" s="239" t="n">
        <v>4</v>
      </c>
      <c r="M303" s="239" t="s">
        <v>2276</v>
      </c>
      <c r="N303" s="259" t="s">
        <v>40</v>
      </c>
      <c r="O303" s="257"/>
      <c r="P303" s="257"/>
    </row>
    <row r="304" spans="1:16" s="269" customFormat="1" ht="12.75" customHeight="1">
      <c r="A304" s="256">
        <f>ROW()-ROW($A$1)</f>
        <v>303</v>
      </c>
      <c r="B304" s="256" t="s">
        <v>316</v>
      </c>
      <c r="C304" s="256" t="n">
        <v>2</v>
      </c>
      <c r="D304" s="256" t="n">
        <v>520</v>
      </c>
      <c r="E304" s="257" t="str">
        <f aca="1">VLOOKUP(T_Aop[[#This Row],[Id]],T_Aop[],ID_Jezik+10,1)</f>
        <v>5</v>
      </c>
      <c r="F304" s="256" t="str">
        <f aca="1">REPT("  ",T_Aop[[#This Row],[Aop nivo]])&amp;VLOOKUP(T_Aop[[#This Row],[Id]],T_Aop[],ID_Jezik+6,1)</f>
        <v>    Prilivi po osnovu prodaje nematerijalnih sredstava</v>
      </c>
      <c r="G304" s="238" t="s">
        <v>2341</v>
      </c>
      <c r="H304" s="237" t="s">
        <v>2342</v>
      </c>
      <c r="I304" s="238" t="s">
        <v>2343</v>
      </c>
      <c r="J304" s="290" t="s">
        <v>2344</v>
      </c>
      <c r="K304" s="239" t="s">
        <v>2302</v>
      </c>
      <c r="L304" s="239" t="n">
        <v>5</v>
      </c>
      <c r="M304" s="239" t="s">
        <v>2302</v>
      </c>
      <c r="N304" s="259" t="s">
        <v>42</v>
      </c>
      <c r="O304" s="257"/>
      <c r="P304" s="257"/>
    </row>
    <row r="305" spans="1:16" s="269" customFormat="1" ht="12.75" customHeight="1">
      <c r="A305" s="256">
        <f>ROW()-ROW($A$1)</f>
        <v>304</v>
      </c>
      <c r="B305" s="256" t="s">
        <v>316</v>
      </c>
      <c r="C305" s="256" t="n">
        <v>2</v>
      </c>
      <c r="D305" s="256" t="n">
        <v>521</v>
      </c>
      <c r="E305" s="257" t="str">
        <f aca="1">VLOOKUP(T_Aop[[#This Row],[Id]],T_Aop[],ID_Jezik+10,1)</f>
        <v>6</v>
      </c>
      <c r="F305" s="256" t="str">
        <f aca="1">REPT("  ",T_Aop[[#This Row],[Aop nivo]])&amp;VLOOKUP(T_Aop[[#This Row],[Id]],T_Aop[],ID_Jezik+6,1)</f>
        <v>    Prilivi po osnovu prodaje stalnih sredstava namijenjenih prodaji</v>
      </c>
      <c r="G305" s="238" t="s">
        <v>2345</v>
      </c>
      <c r="H305" s="237" t="s">
        <v>2346</v>
      </c>
      <c r="I305" s="238" t="s">
        <v>2347</v>
      </c>
      <c r="J305" s="290" t="s">
        <v>2348</v>
      </c>
      <c r="K305" s="239" t="s">
        <v>2307</v>
      </c>
      <c r="L305" s="239" t="n">
        <v>6</v>
      </c>
      <c r="M305" s="239" t="s">
        <v>2307</v>
      </c>
      <c r="N305" s="259" t="s">
        <v>44</v>
      </c>
      <c r="O305" s="257"/>
      <c r="P305" s="257"/>
    </row>
    <row r="306" spans="1:16" s="269" customFormat="1" ht="12.75" customHeight="1">
      <c r="A306" s="256">
        <f>ROW()-ROW($A$1)</f>
        <v>305</v>
      </c>
      <c r="B306" s="256" t="s">
        <v>316</v>
      </c>
      <c r="C306" s="256" t="n">
        <v>2</v>
      </c>
      <c r="D306" s="256" t="n">
        <v>522</v>
      </c>
      <c r="E306" s="257" t="str">
        <f aca="1">VLOOKUP(T_Aop[[#This Row],[Id]],T_Aop[],ID_Jezik+10,1)</f>
        <v>7</v>
      </c>
      <c r="F306" s="256" t="str">
        <f aca="1">REPT("  ",T_Aop[[#This Row],[Aop nivo]])&amp;VLOOKUP(T_Aop[[#This Row],[Id]],T_Aop[],ID_Jezik+6,1)</f>
        <v>    Prilivi od finansijskih sredstava po fer vrijednosti kroz ostali ukupni rezultat</v>
      </c>
      <c r="G306" s="238" t="s">
        <v>2349</v>
      </c>
      <c r="H306" s="237" t="s">
        <v>2350</v>
      </c>
      <c r="I306" s="238" t="s">
        <v>2351</v>
      </c>
      <c r="J306" s="290" t="s">
        <v>2352</v>
      </c>
      <c r="K306" s="239" t="s">
        <v>2353</v>
      </c>
      <c r="L306" s="239" t="n">
        <v>7</v>
      </c>
      <c r="M306" s="239" t="s">
        <v>2353</v>
      </c>
      <c r="N306" s="259" t="s">
        <v>46</v>
      </c>
      <c r="O306" s="257"/>
      <c r="P306" s="257"/>
    </row>
    <row r="307" spans="1:16" s="269" customFormat="1" ht="12.75" customHeight="1">
      <c r="A307" s="256">
        <f>ROW()-ROW($A$1)</f>
        <v>306</v>
      </c>
      <c r="B307" s="256" t="s">
        <v>316</v>
      </c>
      <c r="C307" s="256" t="n">
        <v>2</v>
      </c>
      <c r="D307" s="256" t="n">
        <v>523</v>
      </c>
      <c r="E307" s="257" t="str">
        <f aca="1">VLOOKUP(T_Aop[[#This Row],[Id]],T_Aop[],ID_Jezik+10,1)</f>
        <v>8</v>
      </c>
      <c r="F307" s="256" t="str">
        <f aca="1">REPT("  ",T_Aop[[#This Row],[Aop nivo]])&amp;VLOOKUP(T_Aop[[#This Row],[Id]],T_Aop[],ID_Jezik+6,1)</f>
        <v>    Prilivi od finansijskih sredstva po fer vrijednosti kroz bilans uspjeha</v>
      </c>
      <c r="G307" s="238" t="s">
        <v>2354</v>
      </c>
      <c r="H307" s="237" t="s">
        <v>2355</v>
      </c>
      <c r="I307" s="238" t="s">
        <v>2356</v>
      </c>
      <c r="J307" s="290" t="s">
        <v>2357</v>
      </c>
      <c r="K307" s="239" t="s">
        <v>2358</v>
      </c>
      <c r="L307" s="239" t="n">
        <v>8</v>
      </c>
      <c r="M307" s="239" t="s">
        <v>2358</v>
      </c>
      <c r="N307" s="259" t="s">
        <v>2359</v>
      </c>
      <c r="O307" s="257"/>
      <c r="P307" s="257"/>
    </row>
    <row r="308" spans="1:16" s="269" customFormat="1" ht="12.75" customHeight="1">
      <c r="A308" s="256">
        <f>ROW()-ROW($A$1)</f>
        <v>307</v>
      </c>
      <c r="B308" s="256" t="s">
        <v>316</v>
      </c>
      <c r="C308" s="256" t="n">
        <v>2</v>
      </c>
      <c r="D308" s="256" t="n">
        <v>524</v>
      </c>
      <c r="E308" s="257" t="str">
        <f aca="1">VLOOKUP(T_Aop[[#This Row],[Id]],T_Aop[],ID_Jezik+10,1)</f>
        <v>9</v>
      </c>
      <c r="F308" s="256" t="str">
        <f aca="1">REPT("  ",T_Aop[[#This Row],[Aop nivo]])&amp;VLOOKUP(T_Aop[[#This Row],[Id]],T_Aop[],ID_Jezik+6,1)</f>
        <v>    Prilivi od ostalih finansijskih sredstava po amortizovanoj vrijednosti</v>
      </c>
      <c r="G308" s="238" t="s">
        <v>2360</v>
      </c>
      <c r="H308" s="237" t="s">
        <v>2361</v>
      </c>
      <c r="I308" s="238" t="s">
        <v>2362</v>
      </c>
      <c r="J308" s="290" t="s">
        <v>2363</v>
      </c>
      <c r="K308" s="239" t="s">
        <v>2364</v>
      </c>
      <c r="L308" s="239" t="n">
        <v>9</v>
      </c>
      <c r="M308" s="239" t="s">
        <v>2364</v>
      </c>
      <c r="N308" s="259" t="s">
        <v>2365</v>
      </c>
      <c r="O308" s="257"/>
      <c r="P308" s="257"/>
    </row>
    <row r="309" spans="1:16" s="269" customFormat="1" ht="12.75" customHeight="1">
      <c r="A309" s="256">
        <f>ROW()-ROW($A$1)</f>
        <v>308</v>
      </c>
      <c r="B309" s="256" t="s">
        <v>316</v>
      </c>
      <c r="C309" s="256" t="n">
        <v>2</v>
      </c>
      <c r="D309" s="256" t="n">
        <v>525</v>
      </c>
      <c r="E309" s="257" t="str">
        <f aca="1">VLOOKUP(T_Aop[[#This Row],[Id]],T_Aop[],ID_Jezik+10,1)</f>
        <v>10</v>
      </c>
      <c r="F309" s="256" t="str">
        <f aca="1">REPT("  ",T_Aop[[#This Row],[Aop nivo]])&amp;VLOOKUP(T_Aop[[#This Row],[Id]],T_Aop[],ID_Jezik+6,1)</f>
        <v>    Prilivi po osnovu lizinga (glavnica)</v>
      </c>
      <c r="G309" s="238" t="s">
        <v>2366</v>
      </c>
      <c r="H309" s="237" t="s">
        <v>2367</v>
      </c>
      <c r="I309" s="238" t="s">
        <v>2368</v>
      </c>
      <c r="J309" s="290" t="s">
        <v>2369</v>
      </c>
      <c r="K309" s="239" t="s">
        <v>2370</v>
      </c>
      <c r="L309" s="239" t="n">
        <v>10</v>
      </c>
      <c r="M309" s="239" t="s">
        <v>2370</v>
      </c>
      <c r="N309" s="259" t="s">
        <v>2371</v>
      </c>
      <c r="O309" s="257"/>
      <c r="P309" s="257" t="n">
        <v>1</v>
      </c>
    </row>
    <row r="310" spans="1:16" s="269" customFormat="1" ht="12.75" customHeight="1">
      <c r="A310" s="256">
        <f>ROW()-ROW($A$1)</f>
        <v>309</v>
      </c>
      <c r="B310" s="256" t="s">
        <v>316</v>
      </c>
      <c r="C310" s="256" t="n">
        <v>2</v>
      </c>
      <c r="D310" s="256" t="n">
        <v>526</v>
      </c>
      <c r="E310" s="257" t="str">
        <f aca="1">VLOOKUP(T_Aop[[#This Row],[Id]],T_Aop[],ID_Jezik+10,1)</f>
        <v>11</v>
      </c>
      <c r="F310" s="256" t="str">
        <f aca="1">REPT("  ",T_Aop[[#This Row],[Aop nivo]])&amp;VLOOKUP(T_Aop[[#This Row],[Id]],T_Aop[],ID_Jezik+6,1)</f>
        <v>    Prilivi po osnovu lizinga (kamata)</v>
      </c>
      <c r="G310" s="238" t="s">
        <v>2372</v>
      </c>
      <c r="H310" s="237" t="s">
        <v>2373</v>
      </c>
      <c r="I310" s="238" t="s">
        <v>2374</v>
      </c>
      <c r="J310" s="290" t="s">
        <v>2375</v>
      </c>
      <c r="K310" s="239" t="s">
        <v>2376</v>
      </c>
      <c r="L310" s="239" t="n">
        <v>11</v>
      </c>
      <c r="M310" s="239" t="s">
        <v>2376</v>
      </c>
      <c r="N310" s="259" t="s">
        <v>2377</v>
      </c>
      <c r="O310" s="257"/>
      <c r="P310" s="257"/>
    </row>
    <row r="311" spans="1:16" s="269" customFormat="1" ht="12.75" customHeight="1">
      <c r="A311" s="256">
        <f>ROW()-ROW($A$1)</f>
        <v>310</v>
      </c>
      <c r="B311" s="256" t="s">
        <v>316</v>
      </c>
      <c r="C311" s="256" t="n">
        <v>2</v>
      </c>
      <c r="D311" s="256" t="n">
        <v>527</v>
      </c>
      <c r="E311" s="257" t="str">
        <f aca="1">VLOOKUP(T_Aop[[#This Row],[Id]],T_Aop[],ID_Jezik+10,1)</f>
        <v>12</v>
      </c>
      <c r="F311" s="256" t="str">
        <f aca="1">REPT("  ",T_Aop[[#This Row],[Aop nivo]])&amp;VLOOKUP(T_Aop[[#This Row],[Id]],T_Aop[],ID_Jezik+6,1)</f>
        <v>    Prilivi po osnovu kamata</v>
      </c>
      <c r="G311" s="238" t="s">
        <v>2378</v>
      </c>
      <c r="H311" s="237" t="s">
        <v>2379</v>
      </c>
      <c r="I311" s="238" t="s">
        <v>2380</v>
      </c>
      <c r="J311" s="290" t="s">
        <v>2381</v>
      </c>
      <c r="K311" s="239" t="s">
        <v>2382</v>
      </c>
      <c r="L311" s="239" t="n">
        <v>12</v>
      </c>
      <c r="M311" s="239" t="s">
        <v>2382</v>
      </c>
      <c r="N311" s="259" t="s">
        <v>2383</v>
      </c>
      <c r="O311" s="257"/>
      <c r="P311" s="257"/>
    </row>
    <row r="312" spans="1:16" s="269" customFormat="1" ht="12.75" customHeight="1">
      <c r="A312" s="256">
        <f>ROW()-ROW($A$1)</f>
        <v>311</v>
      </c>
      <c r="B312" s="256" t="s">
        <v>316</v>
      </c>
      <c r="C312" s="256" t="n">
        <v>2</v>
      </c>
      <c r="D312" s="256" t="n">
        <v>528</v>
      </c>
      <c r="E312" s="257" t="str">
        <f aca="1">VLOOKUP(T_Aop[[#This Row],[Id]],T_Aop[],ID_Jezik+10,1)</f>
        <v>13</v>
      </c>
      <c r="F312" s="256" t="str">
        <f aca="1">REPT("  ",T_Aop[[#This Row],[Aop nivo]])&amp;VLOOKUP(T_Aop[[#This Row],[Id]],T_Aop[],ID_Jezik+6,1)</f>
        <v>    Prilivi od dividendi i učešća u dobiti</v>
      </c>
      <c r="G312" s="238" t="s">
        <v>2384</v>
      </c>
      <c r="H312" s="237" t="s">
        <v>2385</v>
      </c>
      <c r="I312" s="238" t="s">
        <v>2386</v>
      </c>
      <c r="J312" s="290" t="s">
        <v>2387</v>
      </c>
      <c r="K312" s="239" t="s">
        <v>2388</v>
      </c>
      <c r="L312" s="239" t="n">
        <v>13</v>
      </c>
      <c r="M312" s="239" t="s">
        <v>2388</v>
      </c>
      <c r="N312" s="259" t="s">
        <v>2389</v>
      </c>
      <c r="O312" s="257"/>
      <c r="P312" s="257"/>
    </row>
    <row r="313" spans="1:16" s="269" customFormat="1" ht="12.75" customHeight="1">
      <c r="A313" s="256">
        <f>ROW()-ROW($A$1)</f>
        <v>312</v>
      </c>
      <c r="B313" s="256" t="s">
        <v>316</v>
      </c>
      <c r="C313" s="256" t="n">
        <v>2</v>
      </c>
      <c r="D313" s="256" t="n">
        <v>529</v>
      </c>
      <c r="E313" s="257" t="str">
        <f aca="1">VLOOKUP(T_Aop[[#This Row],[Id]],T_Aop[],ID_Jezik+10,1)</f>
        <v>14</v>
      </c>
      <c r="F313" s="256" t="str">
        <f aca="1">REPT("  ",T_Aop[[#This Row],[Aop nivo]])&amp;VLOOKUP(T_Aop[[#This Row],[Id]],T_Aop[],ID_Jezik+6,1)</f>
        <v>    Prilivi po osnovu derivatnih finansijskih instrumenata</v>
      </c>
      <c r="G313" s="238" t="s">
        <v>2390</v>
      </c>
      <c r="H313" s="237" t="s">
        <v>2391</v>
      </c>
      <c r="I313" s="238" t="s">
        <v>2392</v>
      </c>
      <c r="J313" s="290" t="s">
        <v>2393</v>
      </c>
      <c r="K313" s="239" t="s">
        <v>2394</v>
      </c>
      <c r="L313" s="239" t="n">
        <v>14</v>
      </c>
      <c r="M313" s="239" t="s">
        <v>2394</v>
      </c>
      <c r="N313" s="259" t="s">
        <v>2395</v>
      </c>
      <c r="O313" s="257"/>
      <c r="P313" s="257"/>
    </row>
    <row r="314" spans="1:16" s="269" customFormat="1" ht="12.75" customHeight="1">
      <c r="A314" s="256">
        <f>ROW()-ROW($A$1)</f>
        <v>313</v>
      </c>
      <c r="B314" s="256" t="s">
        <v>316</v>
      </c>
      <c r="C314" s="256" t="n">
        <v>2</v>
      </c>
      <c r="D314" s="256" t="n">
        <v>530</v>
      </c>
      <c r="E314" s="257" t="str">
        <f aca="1">VLOOKUP(T_Aop[[#This Row],[Id]],T_Aop[],ID_Jezik+10,1)</f>
        <v>15</v>
      </c>
      <c r="F314" s="256" t="str">
        <f aca="1">REPT("  ",T_Aop[[#This Row],[Aop nivo]])&amp;VLOOKUP(T_Aop[[#This Row],[Id]],T_Aop[],ID_Jezik+6,1)</f>
        <v>    Ostali prilivi iz aktivnosti investiranja</v>
      </c>
      <c r="G314" s="238" t="s">
        <v>2396</v>
      </c>
      <c r="H314" s="237" t="s">
        <v>2397</v>
      </c>
      <c r="I314" s="238" t="s">
        <v>2398</v>
      </c>
      <c r="J314" s="290" t="s">
        <v>2399</v>
      </c>
      <c r="K314" s="239" t="s">
        <v>2400</v>
      </c>
      <c r="L314" s="239" t="n">
        <v>15</v>
      </c>
      <c r="M314" s="239" t="s">
        <v>2400</v>
      </c>
      <c r="N314" s="259" t="s">
        <v>2401</v>
      </c>
      <c r="O314" s="257"/>
      <c r="P314" s="257"/>
    </row>
    <row r="315" spans="1:16" s="269" customFormat="1" ht="12.75" customHeight="1">
      <c r="A315" s="256">
        <f>ROW()-ROW($A$1)</f>
        <v>314</v>
      </c>
      <c r="B315" s="256" t="s">
        <v>316</v>
      </c>
      <c r="C315" s="256" t="n">
        <v>1</v>
      </c>
      <c r="D315" s="256" t="n">
        <v>531</v>
      </c>
      <c r="E315" s="257" t="str">
        <f aca="1">VLOOKUP(T_Aop[[#This Row],[Id]],T_Aop[],ID_Jezik+10,1)</f>
        <v>II</v>
      </c>
      <c r="F315" s="256" t="str">
        <f aca="1">REPT("  ",T_Aop[[#This Row],[Aop nivo]])&amp;VLOOKUP(T_Aop[[#This Row],[Id]],T_Aop[],ID_Jezik+6,1)</f>
        <v>  Odlivi gotovine iz aktivnosti investiranja (532 do 541)</v>
      </c>
      <c r="G315" s="238" t="s">
        <v>2402</v>
      </c>
      <c r="H315" s="237" t="s">
        <v>2403</v>
      </c>
      <c r="I315" s="238" t="s">
        <v>2404</v>
      </c>
      <c r="J315" s="290" t="s">
        <v>2405</v>
      </c>
      <c r="K315" s="239" t="s">
        <v>2281</v>
      </c>
      <c r="L315" s="239" t="s">
        <v>2281</v>
      </c>
      <c r="M315" s="239" t="s">
        <v>2281</v>
      </c>
      <c r="N315" s="259" t="s">
        <v>2281</v>
      </c>
      <c r="O315" s="257"/>
      <c r="P315" s="257"/>
    </row>
    <row r="316" spans="1:16" s="269" customFormat="1" ht="12.75" customHeight="1">
      <c r="A316" s="256">
        <f>ROW()-ROW($A$1)</f>
        <v>315</v>
      </c>
      <c r="B316" s="256" t="s">
        <v>316</v>
      </c>
      <c r="C316" s="256" t="n">
        <v>2</v>
      </c>
      <c r="D316" s="256" t="n">
        <v>532</v>
      </c>
      <c r="E316" s="257" t="str">
        <f aca="1">VLOOKUP(T_Aop[[#This Row],[Id]],T_Aop[],ID_Jezik+10,1)</f>
        <v>1</v>
      </c>
      <c r="F316" s="256" t="str">
        <f aca="1">REPT("  ",T_Aop[[#This Row],[Aop nivo]])&amp;VLOOKUP(T_Aop[[#This Row],[Id]],T_Aop[],ID_Jezik+6,1)</f>
        <v>    Odlivi gotovine po osnovu kupovine akcija i udjela zavisnih i pridruženih društava i zajedničkih poduhvata</v>
      </c>
      <c r="G316" s="238" t="s">
        <v>2406</v>
      </c>
      <c r="H316" s="237" t="s">
        <v>2407</v>
      </c>
      <c r="I316" s="238" t="s">
        <v>2408</v>
      </c>
      <c r="J316" s="290" t="s">
        <v>2409</v>
      </c>
      <c r="K316" s="239" t="s">
        <v>2261</v>
      </c>
      <c r="L316" s="239" t="n">
        <v>1</v>
      </c>
      <c r="M316" s="239" t="s">
        <v>2261</v>
      </c>
      <c r="N316" s="259" t="s">
        <v>34</v>
      </c>
      <c r="O316" s="257"/>
      <c r="P316" s="257"/>
    </row>
    <row r="317" spans="1:16" s="269" customFormat="1" ht="12.75" customHeight="1">
      <c r="A317" s="256">
        <f>ROW()-ROW($A$1)</f>
        <v>316</v>
      </c>
      <c r="B317" s="256" t="s">
        <v>316</v>
      </c>
      <c r="C317" s="256" t="n">
        <v>2</v>
      </c>
      <c r="D317" s="256" t="n">
        <v>533</v>
      </c>
      <c r="E317" s="257" t="str">
        <f aca="1">VLOOKUP(T_Aop[[#This Row],[Id]],T_Aop[],ID_Jezik+10,1)</f>
        <v>2</v>
      </c>
      <c r="F317" s="256" t="str">
        <f aca="1">REPT("  ",T_Aop[[#This Row],[Aop nivo]])&amp;VLOOKUP(T_Aop[[#This Row],[Id]],T_Aop[],ID_Jezik+6,1)</f>
        <v>    Odlivi po osnovu kupovine nekretnina, postrojenja i opreme</v>
      </c>
      <c r="G317" s="238" t="s">
        <v>2410</v>
      </c>
      <c r="H317" s="237" t="s">
        <v>2411</v>
      </c>
      <c r="I317" s="238" t="s">
        <v>2412</v>
      </c>
      <c r="J317" s="290" t="s">
        <v>2413</v>
      </c>
      <c r="K317" s="239" t="s">
        <v>2266</v>
      </c>
      <c r="L317" s="239" t="n">
        <v>2</v>
      </c>
      <c r="M317" s="239" t="s">
        <v>2266</v>
      </c>
      <c r="N317" s="259" t="s">
        <v>36</v>
      </c>
      <c r="O317" s="257"/>
      <c r="P317" s="257"/>
    </row>
    <row r="318" spans="1:16" s="269" customFormat="1" ht="12.75" customHeight="1">
      <c r="A318" s="256">
        <f>ROW()-ROW($A$1)</f>
        <v>317</v>
      </c>
      <c r="B318" s="256" t="s">
        <v>316</v>
      </c>
      <c r="C318" s="256" t="n">
        <v>2</v>
      </c>
      <c r="D318" s="256" t="n">
        <v>534</v>
      </c>
      <c r="E318" s="257" t="str">
        <f aca="1">VLOOKUP(T_Aop[[#This Row],[Id]],T_Aop[],ID_Jezik+10,1)</f>
        <v>3</v>
      </c>
      <c r="F318" s="256" t="str">
        <f aca="1">REPT("  ",T_Aop[[#This Row],[Aop nivo]])&amp;VLOOKUP(T_Aop[[#This Row],[Id]],T_Aop[],ID_Jezik+6,1)</f>
        <v>    Odlivi po osnovu kupovine investicionih nekretnina</v>
      </c>
      <c r="G318" s="238" t="s">
        <v>2414</v>
      </c>
      <c r="H318" s="237" t="s">
        <v>2415</v>
      </c>
      <c r="I318" s="238" t="s">
        <v>2416</v>
      </c>
      <c r="J318" s="290" t="s">
        <v>2417</v>
      </c>
      <c r="K318" s="239" t="s">
        <v>2271</v>
      </c>
      <c r="L318" s="239" t="n">
        <v>3</v>
      </c>
      <c r="M318" s="239" t="s">
        <v>2271</v>
      </c>
      <c r="N318" s="259" t="s">
        <v>38</v>
      </c>
      <c r="O318" s="257"/>
      <c r="P318" s="257"/>
    </row>
    <row r="319" spans="1:16" s="269" customFormat="1" ht="12.75" customHeight="1">
      <c r="A319" s="256">
        <f>ROW()-ROW($A$1)</f>
        <v>318</v>
      </c>
      <c r="B319" s="256" t="s">
        <v>316</v>
      </c>
      <c r="C319" s="256" t="n">
        <v>2</v>
      </c>
      <c r="D319" s="256" t="n">
        <v>535</v>
      </c>
      <c r="E319" s="257" t="str">
        <f aca="1">VLOOKUP(T_Aop[[#This Row],[Id]],T_Aop[],ID_Jezik+10,1)</f>
        <v>4</v>
      </c>
      <c r="F319" s="256" t="str">
        <f aca="1">REPT("  ",T_Aop[[#This Row],[Aop nivo]])&amp;VLOOKUP(T_Aop[[#This Row],[Id]],T_Aop[],ID_Jezik+6,1)</f>
        <v>    Odlivi po osnovu kupovine bioloških sredstava</v>
      </c>
      <c r="G319" s="238" t="s">
        <v>2418</v>
      </c>
      <c r="H319" s="237" t="s">
        <v>2419</v>
      </c>
      <c r="I319" s="238" t="s">
        <v>2420</v>
      </c>
      <c r="J319" s="290" t="s">
        <v>2421</v>
      </c>
      <c r="K319" s="239" t="s">
        <v>2276</v>
      </c>
      <c r="L319" s="239" t="n">
        <v>4</v>
      </c>
      <c r="M319" s="239" t="s">
        <v>2276</v>
      </c>
      <c r="N319" s="259" t="s">
        <v>40</v>
      </c>
      <c r="O319" s="257"/>
      <c r="P319" s="257"/>
    </row>
    <row r="320" spans="1:16" s="269" customFormat="1" ht="12.75" customHeight="1">
      <c r="A320" s="256">
        <f>ROW()-ROW($A$1)</f>
        <v>319</v>
      </c>
      <c r="B320" s="256" t="s">
        <v>316</v>
      </c>
      <c r="C320" s="256" t="n">
        <v>2</v>
      </c>
      <c r="D320" s="256" t="n">
        <v>536</v>
      </c>
      <c r="E320" s="257" t="str">
        <f aca="1">VLOOKUP(T_Aop[[#This Row],[Id]],T_Aop[],ID_Jezik+10,1)</f>
        <v>5</v>
      </c>
      <c r="F320" s="256" t="str">
        <f aca="1">REPT("  ",T_Aop[[#This Row],[Aop nivo]])&amp;VLOOKUP(T_Aop[[#This Row],[Id]],T_Aop[],ID_Jezik+6,1)</f>
        <v>    Odlivi po osnovu kupovine nematerijalnih sredstava</v>
      </c>
      <c r="G320" s="238" t="s">
        <v>2422</v>
      </c>
      <c r="H320" s="237" t="s">
        <v>2423</v>
      </c>
      <c r="I320" s="238" t="s">
        <v>2424</v>
      </c>
      <c r="J320" s="290" t="s">
        <v>2425</v>
      </c>
      <c r="K320" s="239" t="s">
        <v>2302</v>
      </c>
      <c r="L320" s="239" t="n">
        <v>5</v>
      </c>
      <c r="M320" s="239" t="s">
        <v>2302</v>
      </c>
      <c r="N320" s="259" t="s">
        <v>42</v>
      </c>
      <c r="O320" s="257"/>
      <c r="P320" s="257"/>
    </row>
    <row r="321" spans="1:16" s="269" customFormat="1" ht="12.75" customHeight="1">
      <c r="A321" s="256">
        <f>ROW()-ROW($A$1)</f>
        <v>320</v>
      </c>
      <c r="B321" s="256" t="s">
        <v>316</v>
      </c>
      <c r="C321" s="256" t="n">
        <v>2</v>
      </c>
      <c r="D321" s="256" t="n">
        <v>537</v>
      </c>
      <c r="E321" s="257" t="str">
        <f aca="1">VLOOKUP(T_Aop[[#This Row],[Id]],T_Aop[],ID_Jezik+10,1)</f>
        <v>6</v>
      </c>
      <c r="F321" s="256" t="str">
        <f aca="1">REPT("  ",T_Aop[[#This Row],[Aop nivo]])&amp;VLOOKUP(T_Aop[[#This Row],[Id]],T_Aop[],ID_Jezik+6,1)</f>
        <v>    Odlivi po osnovu finansijskih sredstava po fer vrijednosti kroz ostali ukupni rezultat</v>
      </c>
      <c r="G321" s="238" t="s">
        <v>2426</v>
      </c>
      <c r="H321" s="237" t="s">
        <v>2427</v>
      </c>
      <c r="I321" s="238" t="s">
        <v>2428</v>
      </c>
      <c r="J321" s="290" t="s">
        <v>2429</v>
      </c>
      <c r="K321" s="239" t="s">
        <v>2307</v>
      </c>
      <c r="L321" s="239" t="n">
        <v>6</v>
      </c>
      <c r="M321" s="239" t="s">
        <v>2307</v>
      </c>
      <c r="N321" s="259" t="s">
        <v>44</v>
      </c>
      <c r="O321" s="257"/>
      <c r="P321" s="257"/>
    </row>
    <row r="322" spans="1:16" s="269" customFormat="1" ht="12.75" customHeight="1">
      <c r="A322" s="256">
        <f>ROW()-ROW($A$1)</f>
        <v>321</v>
      </c>
      <c r="B322" s="256" t="s">
        <v>316</v>
      </c>
      <c r="C322" s="256" t="n">
        <v>2</v>
      </c>
      <c r="D322" s="256" t="n">
        <v>538</v>
      </c>
      <c r="E322" s="257" t="str">
        <f aca="1">VLOOKUP(T_Aop[[#This Row],[Id]],T_Aop[],ID_Jezik+10,1)</f>
        <v>7</v>
      </c>
      <c r="F322" s="256" t="str">
        <f aca="1">REPT("  ",T_Aop[[#This Row],[Aop nivo]])&amp;VLOOKUP(T_Aop[[#This Row],[Id]],T_Aop[],ID_Jezik+6,1)</f>
        <v>    Odlivi po osnovu finansijskih sredstva po fer vrijednosti kroz bilans uspjeha</v>
      </c>
      <c r="G322" s="238" t="s">
        <v>2430</v>
      </c>
      <c r="H322" s="237" t="s">
        <v>2431</v>
      </c>
      <c r="I322" s="238" t="s">
        <v>2432</v>
      </c>
      <c r="J322" s="290" t="s">
        <v>2433</v>
      </c>
      <c r="K322" s="239" t="s">
        <v>2353</v>
      </c>
      <c r="L322" s="239" t="n">
        <v>7</v>
      </c>
      <c r="M322" s="239" t="s">
        <v>2353</v>
      </c>
      <c r="N322" s="259" t="s">
        <v>46</v>
      </c>
      <c r="O322" s="257"/>
      <c r="P322" s="257"/>
    </row>
    <row r="323" spans="1:16" s="269" customFormat="1" ht="12.75" customHeight="1">
      <c r="A323" s="256">
        <f>ROW()-ROW($A$1)</f>
        <v>322</v>
      </c>
      <c r="B323" s="256" t="s">
        <v>316</v>
      </c>
      <c r="C323" s="256" t="n">
        <v>2</v>
      </c>
      <c r="D323" s="256" t="n">
        <v>539</v>
      </c>
      <c r="E323" s="257" t="str">
        <f aca="1">VLOOKUP(T_Aop[[#This Row],[Id]],T_Aop[],ID_Jezik+10,1)</f>
        <v>8</v>
      </c>
      <c r="F323" s="256" t="str">
        <f aca="1">REPT("  ",T_Aop[[#This Row],[Aop nivo]])&amp;VLOOKUP(T_Aop[[#This Row],[Id]],T_Aop[],ID_Jezik+6,1)</f>
        <v>    Odlivi po osnovu ostalih finansijskih sredstava po amortizovanoj vrijednosti</v>
      </c>
      <c r="G323" s="238" t="s">
        <v>2434</v>
      </c>
      <c r="H323" s="237" t="s">
        <v>2435</v>
      </c>
      <c r="I323" s="238" t="s">
        <v>2436</v>
      </c>
      <c r="J323" s="290" t="s">
        <v>2437</v>
      </c>
      <c r="K323" s="239" t="s">
        <v>2358</v>
      </c>
      <c r="L323" s="239" t="n">
        <v>8</v>
      </c>
      <c r="M323" s="239" t="s">
        <v>2358</v>
      </c>
      <c r="N323" s="259" t="s">
        <v>2359</v>
      </c>
      <c r="O323" s="257"/>
      <c r="P323" s="257"/>
    </row>
    <row r="324" spans="1:16" s="269" customFormat="1" ht="12.75" customHeight="1">
      <c r="A324" s="256">
        <f>ROW()-ROW($A$1)</f>
        <v>323</v>
      </c>
      <c r="B324" s="256" t="s">
        <v>316</v>
      </c>
      <c r="C324" s="256" t="n">
        <v>2</v>
      </c>
      <c r="D324" s="256" t="n">
        <v>540</v>
      </c>
      <c r="E324" s="257" t="str">
        <f aca="1">VLOOKUP(T_Aop[[#This Row],[Id]],T_Aop[],ID_Jezik+10,1)</f>
        <v>9</v>
      </c>
      <c r="F324" s="256" t="str">
        <f aca="1">REPT("  ",T_Aop[[#This Row],[Aop nivo]])&amp;VLOOKUP(T_Aop[[#This Row],[Id]],T_Aop[],ID_Jezik+6,1)</f>
        <v>    Odlivi po osnovu derivatnih finansijskih instrumenata</v>
      </c>
      <c r="G324" s="238" t="s">
        <v>2438</v>
      </c>
      <c r="H324" s="237" t="s">
        <v>2439</v>
      </c>
      <c r="I324" s="238" t="s">
        <v>2440</v>
      </c>
      <c r="J324" s="290" t="s">
        <v>2441</v>
      </c>
      <c r="K324" s="239" t="s">
        <v>2364</v>
      </c>
      <c r="L324" s="239" t="n">
        <v>9</v>
      </c>
      <c r="M324" s="239" t="s">
        <v>2364</v>
      </c>
      <c r="N324" s="259" t="s">
        <v>2365</v>
      </c>
      <c r="O324" s="257"/>
      <c r="P324" s="257"/>
    </row>
    <row r="325" spans="1:16" s="269" customFormat="1" ht="12.75" customHeight="1">
      <c r="A325" s="256">
        <f>ROW()-ROW($A$1)</f>
        <v>324</v>
      </c>
      <c r="B325" s="256" t="s">
        <v>316</v>
      </c>
      <c r="C325" s="256" t="n">
        <v>2</v>
      </c>
      <c r="D325" s="256" t="n">
        <v>541</v>
      </c>
      <c r="E325" s="257" t="str">
        <f aca="1">VLOOKUP(T_Aop[[#This Row],[Id]],T_Aop[],ID_Jezik+10,1)</f>
        <v>10</v>
      </c>
      <c r="F325" s="256" t="str">
        <f aca="1">REPT("  ",T_Aop[[#This Row],[Aop nivo]])&amp;VLOOKUP(T_Aop[[#This Row],[Id]],T_Aop[],ID_Jezik+6,1)</f>
        <v>    Ostali odlivi iz aktivnosti investiranja</v>
      </c>
      <c r="G325" s="238" t="s">
        <v>2442</v>
      </c>
      <c r="H325" s="237" t="s">
        <v>2443</v>
      </c>
      <c r="I325" s="238" t="s">
        <v>2444</v>
      </c>
      <c r="J325" s="290" t="s">
        <v>2445</v>
      </c>
      <c r="K325" s="239" t="s">
        <v>2370</v>
      </c>
      <c r="L325" s="239" t="n">
        <v>10</v>
      </c>
      <c r="M325" s="239" t="s">
        <v>2370</v>
      </c>
      <c r="N325" s="259" t="s">
        <v>2371</v>
      </c>
      <c r="O325" s="257"/>
      <c r="P325" s="257"/>
    </row>
    <row r="326" spans="1:16" s="269" customFormat="1" ht="12.75" customHeight="1">
      <c r="A326" s="256">
        <f>ROW()-ROW($A$1)</f>
        <v>325</v>
      </c>
      <c r="B326" s="256" t="s">
        <v>316</v>
      </c>
      <c r="C326" s="256" t="n">
        <v>1</v>
      </c>
      <c r="D326" s="256" t="n">
        <v>542</v>
      </c>
      <c r="E326" s="257" t="str">
        <f aca="1">VLOOKUP(T_Aop[[#This Row],[Id]],T_Aop[],ID_Jezik+10,1)</f>
        <v>III</v>
      </c>
      <c r="F326" s="256" t="str">
        <f aca="1">REPT("  ",T_Aop[[#This Row],[Aop nivo]])&amp;VLOOKUP(T_Aop[[#This Row],[Id]],T_Aop[],ID_Jezik+6,1)</f>
        <v>  Neto priliv gotovine iz aktivnosti investiranja (515-531)</v>
      </c>
      <c r="G326" s="238" t="s">
        <v>2446</v>
      </c>
      <c r="H326" s="237" t="s">
        <v>2447</v>
      </c>
      <c r="I326" s="238" t="s">
        <v>2448</v>
      </c>
      <c r="J326" s="290" t="s">
        <v>2449</v>
      </c>
      <c r="K326" s="239" t="s">
        <v>2312</v>
      </c>
      <c r="L326" s="239" t="s">
        <v>2312</v>
      </c>
      <c r="M326" s="239" t="s">
        <v>2312</v>
      </c>
      <c r="N326" s="259" t="s">
        <v>2312</v>
      </c>
      <c r="O326" s="257" t="n">
        <v>1</v>
      </c>
      <c r="P326" s="257"/>
    </row>
    <row r="327" spans="1:16" s="269" customFormat="1" ht="12.75" customHeight="1">
      <c r="A327" s="256">
        <f>ROW()-ROW($A$1)</f>
        <v>326</v>
      </c>
      <c r="B327" s="256" t="s">
        <v>316</v>
      </c>
      <c r="C327" s="256" t="n">
        <v>1</v>
      </c>
      <c r="D327" s="256" t="n">
        <v>543</v>
      </c>
      <c r="E327" s="257" t="str">
        <f aca="1">VLOOKUP(T_Aop[[#This Row],[Id]],T_Aop[],ID_Jezik+10,1)</f>
        <v>IV</v>
      </c>
      <c r="F327" s="256" t="str">
        <f aca="1">REPT("  ",T_Aop[[#This Row],[Aop nivo]])&amp;VLOOKUP(T_Aop[[#This Row],[Id]],T_Aop[],ID_Jezik+6,1)</f>
        <v>  Neto odliv gotovine iz aktivnosti investiranja (531 – 515)</v>
      </c>
      <c r="G327" s="238" t="s">
        <v>2450</v>
      </c>
      <c r="H327" s="237" t="s">
        <v>2451</v>
      </c>
      <c r="I327" s="238" t="s">
        <v>2452</v>
      </c>
      <c r="J327" s="290" t="s">
        <v>2453</v>
      </c>
      <c r="K327" s="239" t="s">
        <v>2317</v>
      </c>
      <c r="L327" s="239" t="s">
        <v>2317</v>
      </c>
      <c r="M327" s="239" t="s">
        <v>2317</v>
      </c>
      <c r="N327" s="259" t="s">
        <v>2317</v>
      </c>
      <c r="O327" s="257" t="n">
        <v>1</v>
      </c>
      <c r="P327" s="257"/>
    </row>
    <row r="328" spans="1:16" s="269" customFormat="1" ht="25.50" customHeight="1">
      <c r="A328" s="256">
        <f>ROW()-ROW($A$1)</f>
        <v>327</v>
      </c>
      <c r="B328" s="256" t="s">
        <v>316</v>
      </c>
      <c r="C328" s="256" t="n">
        <v>0</v>
      </c>
      <c r="D328" s="256" t="n">
        <v>544</v>
      </c>
      <c r="E328" s="257" t="str">
        <f aca="1">VLOOKUP(T_Aop[[#This Row],[Id]],T_Aop[],ID_Jezik+10,1)</f>
        <v>B
I</v>
      </c>
      <c r="F328" s="277" t="str">
        <f aca="1">REPT("  ",T_Aop[[#This Row],[Aop nivo]])&amp;VLOOKUP(T_Aop[[#This Row],[Id]],T_Aop[],ID_Jezik+6,1)</f>
        <v>TOKOVI GOTOVINE IZ AKTIVNOSTI FINANSIRANJA
Prilivi gotovine iz aktivnosti finansiranja (545 do 550)</v>
      </c>
      <c r="G328" s="350" t="s">
        <v>2454</v>
      </c>
      <c r="H328" s="237" t="s">
        <v>2455</v>
      </c>
      <c r="I328" s="258" t="s">
        <v>2456</v>
      </c>
      <c r="J328" s="290" t="s">
        <v>2457</v>
      </c>
      <c r="K328" s="239" t="s">
        <v>2322</v>
      </c>
      <c r="L328" s="239" t="s">
        <v>2458</v>
      </c>
      <c r="M328" s="239" t="s">
        <v>2322</v>
      </c>
      <c r="N328" s="259" t="s">
        <v>2459</v>
      </c>
      <c r="O328" s="257" t="n">
        <v>1</v>
      </c>
      <c r="P328" s="257"/>
    </row>
    <row r="329" spans="1:16" s="269" customFormat="1" ht="12.75" customHeight="1">
      <c r="A329" s="256">
        <f>ROW()-ROW($A$1)</f>
        <v>328</v>
      </c>
      <c r="B329" s="256" t="s">
        <v>316</v>
      </c>
      <c r="C329" s="256" t="n">
        <v>2</v>
      </c>
      <c r="D329" s="256" t="n">
        <v>545</v>
      </c>
      <c r="E329" s="257" t="str">
        <f aca="1">VLOOKUP(T_Aop[[#This Row],[Id]],T_Aop[],ID_Jezik+10,1)</f>
        <v>1</v>
      </c>
      <c r="F329" s="256" t="str">
        <f aca="1">REPT("  ",T_Aop[[#This Row],[Aop nivo]])&amp;VLOOKUP(T_Aop[[#This Row],[Id]],T_Aop[],ID_Jezik+6,1)</f>
        <v>    Prilivi po osnovu povećanja osnovnog kapitala</v>
      </c>
      <c r="G329" s="238" t="s">
        <v>2460</v>
      </c>
      <c r="H329" s="237" t="s">
        <v>2461</v>
      </c>
      <c r="I329" s="238" t="s">
        <v>2462</v>
      </c>
      <c r="J329" s="290" t="s">
        <v>2463</v>
      </c>
      <c r="K329" s="239" t="s">
        <v>2261</v>
      </c>
      <c r="L329" s="239" t="n">
        <v>1</v>
      </c>
      <c r="M329" s="239" t="s">
        <v>2261</v>
      </c>
      <c r="N329" s="259" t="s">
        <v>34</v>
      </c>
      <c r="O329" s="257"/>
      <c r="P329" s="257"/>
    </row>
    <row r="330" spans="1:16" s="269" customFormat="1" ht="12.75" customHeight="1">
      <c r="A330" s="256">
        <f>ROW()-ROW($A$1)</f>
        <v>329</v>
      </c>
      <c r="B330" s="256" t="s">
        <v>316</v>
      </c>
      <c r="C330" s="256" t="n">
        <v>2</v>
      </c>
      <c r="D330" s="256" t="n">
        <v>546</v>
      </c>
      <c r="E330" s="257" t="str">
        <f aca="1">VLOOKUP(T_Aop[[#This Row],[Id]],T_Aop[],ID_Jezik+10,1)</f>
        <v>2</v>
      </c>
      <c r="F330" s="256" t="str">
        <f aca="1">REPT("  ",T_Aop[[#This Row],[Aop nivo]])&amp;VLOOKUP(T_Aop[[#This Row],[Id]],T_Aop[],ID_Jezik+6,1)</f>
        <v>    Prilivi od prodaje otkupljenih sopstvenih akcija</v>
      </c>
      <c r="G330" s="238" t="s">
        <v>2464</v>
      </c>
      <c r="H330" s="237" t="s">
        <v>2465</v>
      </c>
      <c r="I330" s="238" t="s">
        <v>2466</v>
      </c>
      <c r="J330" s="290" t="s">
        <v>2467</v>
      </c>
      <c r="K330" s="239" t="s">
        <v>2266</v>
      </c>
      <c r="L330" s="239" t="n">
        <v>2</v>
      </c>
      <c r="M330" s="239" t="s">
        <v>2266</v>
      </c>
      <c r="N330" s="259" t="s">
        <v>36</v>
      </c>
      <c r="O330" s="257"/>
      <c r="P330" s="257"/>
    </row>
    <row r="331" spans="1:16" s="269" customFormat="1" ht="12.75" customHeight="1">
      <c r="A331" s="256">
        <f>ROW()-ROW($A$1)</f>
        <v>330</v>
      </c>
      <c r="B331" s="256" t="s">
        <v>316</v>
      </c>
      <c r="C331" s="256" t="n">
        <v>2</v>
      </c>
      <c r="D331" s="256" t="n">
        <v>547</v>
      </c>
      <c r="E331" s="257" t="str">
        <f aca="1">VLOOKUP(T_Aop[[#This Row],[Id]],T_Aop[],ID_Jezik+10,1)</f>
        <v>3</v>
      </c>
      <c r="F331" s="256" t="str">
        <f aca="1">REPT("  ",T_Aop[[#This Row],[Aop nivo]])&amp;VLOOKUP(T_Aop[[#This Row],[Id]],T_Aop[],ID_Jezik+6,1)</f>
        <v>    Prilivi po osnovu dugoročnih kredita</v>
      </c>
      <c r="G331" s="238" t="s">
        <v>2468</v>
      </c>
      <c r="H331" s="237" t="s">
        <v>2469</v>
      </c>
      <c r="I331" s="238" t="s">
        <v>2470</v>
      </c>
      <c r="J331" s="290" t="s">
        <v>2471</v>
      </c>
      <c r="K331" s="239" t="s">
        <v>2271</v>
      </c>
      <c r="L331" s="239" t="n">
        <v>3</v>
      </c>
      <c r="M331" s="239" t="s">
        <v>2271</v>
      </c>
      <c r="N331" s="259" t="s">
        <v>38</v>
      </c>
      <c r="O331" s="257"/>
      <c r="P331" s="257"/>
    </row>
    <row r="332" spans="1:16" s="269" customFormat="1" ht="12.75" customHeight="1">
      <c r="A332" s="256">
        <f>ROW()-ROW($A$1)</f>
        <v>331</v>
      </c>
      <c r="B332" s="256" t="s">
        <v>316</v>
      </c>
      <c r="C332" s="256" t="n">
        <v>2</v>
      </c>
      <c r="D332" s="256" t="n">
        <v>548</v>
      </c>
      <c r="E332" s="257" t="str">
        <f aca="1">VLOOKUP(T_Aop[[#This Row],[Id]],T_Aop[],ID_Jezik+10,1)</f>
        <v>4</v>
      </c>
      <c r="F332" s="256" t="str">
        <f aca="1">REPT("  ",T_Aop[[#This Row],[Aop nivo]])&amp;VLOOKUP(T_Aop[[#This Row],[Id]],T_Aop[],ID_Jezik+6,1)</f>
        <v>    Prilivi po osnovu kratkoročnih kredita</v>
      </c>
      <c r="G332" s="238" t="s">
        <v>2472</v>
      </c>
      <c r="H332" s="237" t="s">
        <v>2473</v>
      </c>
      <c r="I332" s="238" t="s">
        <v>2474</v>
      </c>
      <c r="J332" s="290" t="s">
        <v>2475</v>
      </c>
      <c r="K332" s="239" t="s">
        <v>2276</v>
      </c>
      <c r="L332" s="239" t="n">
        <v>4</v>
      </c>
      <c r="M332" s="239" t="s">
        <v>2276</v>
      </c>
      <c r="N332" s="259" t="s">
        <v>40</v>
      </c>
      <c r="O332" s="257"/>
      <c r="P332" s="257"/>
    </row>
    <row r="333" spans="1:16" s="269" customFormat="1" ht="12.75" customHeight="1">
      <c r="A333" s="256">
        <f>ROW()-ROW($A$1)</f>
        <v>332</v>
      </c>
      <c r="B333" s="256" t="s">
        <v>316</v>
      </c>
      <c r="C333" s="256" t="n">
        <v>2</v>
      </c>
      <c r="D333" s="256" t="n">
        <v>549</v>
      </c>
      <c r="E333" s="257" t="str">
        <f aca="1">VLOOKUP(T_Aop[[#This Row],[Id]],T_Aop[],ID_Jezik+10,1)</f>
        <v>5</v>
      </c>
      <c r="F333" s="256" t="str">
        <f aca="1">REPT("  ",T_Aop[[#This Row],[Aop nivo]])&amp;VLOOKUP(T_Aop[[#This Row],[Id]],T_Aop[],ID_Jezik+6,1)</f>
        <v>    Prilivi po osnovu izdatih dužničkih instrumenta</v>
      </c>
      <c r="G333" s="238" t="s">
        <v>2476</v>
      </c>
      <c r="H333" s="237" t="s">
        <v>2477</v>
      </c>
      <c r="I333" s="238" t="s">
        <v>2478</v>
      </c>
      <c r="J333" s="290" t="s">
        <v>2479</v>
      </c>
      <c r="K333" s="239" t="s">
        <v>2302</v>
      </c>
      <c r="L333" s="239" t="n">
        <v>5</v>
      </c>
      <c r="M333" s="239" t="s">
        <v>2302</v>
      </c>
      <c r="N333" s="259" t="s">
        <v>42</v>
      </c>
      <c r="O333" s="257"/>
      <c r="P333" s="257"/>
    </row>
    <row r="334" spans="1:16" s="269" customFormat="1" ht="12.75" customHeight="1">
      <c r="A334" s="256">
        <f>ROW()-ROW($A$1)</f>
        <v>333</v>
      </c>
      <c r="B334" s="256" t="s">
        <v>316</v>
      </c>
      <c r="C334" s="256" t="n">
        <v>2</v>
      </c>
      <c r="D334" s="256" t="n">
        <v>550</v>
      </c>
      <c r="E334" s="257" t="str">
        <f aca="1">VLOOKUP(T_Aop[[#This Row],[Id]],T_Aop[],ID_Jezik+10,1)</f>
        <v>6</v>
      </c>
      <c r="F334" s="256" t="str">
        <f aca="1">REPT("  ",T_Aop[[#This Row],[Aop nivo]])&amp;VLOOKUP(T_Aop[[#This Row],[Id]],T_Aop[],ID_Jezik+6,1)</f>
        <v>    Ostali prilivi iz aktivnosti finansiranja </v>
      </c>
      <c r="G334" s="238" t="s">
        <v>2480</v>
      </c>
      <c r="H334" s="237" t="s">
        <v>2481</v>
      </c>
      <c r="I334" s="238" t="s">
        <v>2482</v>
      </c>
      <c r="J334" s="290" t="s">
        <v>2483</v>
      </c>
      <c r="K334" s="239" t="s">
        <v>2307</v>
      </c>
      <c r="L334" s="239" t="n">
        <v>6</v>
      </c>
      <c r="M334" s="239" t="s">
        <v>2307</v>
      </c>
      <c r="N334" s="259" t="s">
        <v>44</v>
      </c>
      <c r="O334" s="257"/>
      <c r="P334" s="257"/>
    </row>
    <row r="335" spans="1:16" s="269" customFormat="1" ht="12.75" customHeight="1">
      <c r="A335" s="256">
        <f>ROW()-ROW($A$1)</f>
        <v>334</v>
      </c>
      <c r="B335" s="256" t="s">
        <v>316</v>
      </c>
      <c r="C335" s="256" t="n">
        <v>2</v>
      </c>
      <c r="D335" s="256" t="n">
        <v>551</v>
      </c>
      <c r="E335" s="257" t="str">
        <f aca="1">VLOOKUP(T_Aop[[#This Row],[Id]],T_Aop[],ID_Jezik+10,1)</f>
        <v>II</v>
      </c>
      <c r="F335" s="256" t="str">
        <f aca="1">REPT("  ",T_Aop[[#This Row],[Aop nivo]])&amp;VLOOKUP(T_Aop[[#This Row],[Id]],T_Aop[],ID_Jezik+6,1)</f>
        <v>    Odlivi gotovine iz aktivnosti finansiranja (552 do 558)</v>
      </c>
      <c r="G335" s="238" t="s">
        <v>2484</v>
      </c>
      <c r="H335" s="237" t="s">
        <v>2485</v>
      </c>
      <c r="I335" s="238" t="s">
        <v>2486</v>
      </c>
      <c r="J335" s="290" t="s">
        <v>2487</v>
      </c>
      <c r="K335" s="239" t="s">
        <v>2281</v>
      </c>
      <c r="L335" s="239" t="s">
        <v>2281</v>
      </c>
      <c r="M335" s="239" t="s">
        <v>2281</v>
      </c>
      <c r="N335" s="259" t="s">
        <v>2281</v>
      </c>
      <c r="O335" s="257"/>
      <c r="P335" s="257"/>
    </row>
    <row r="336" spans="1:16" s="269" customFormat="1" ht="12.75" customHeight="1">
      <c r="A336" s="256">
        <f>ROW()-ROW($A$1)</f>
        <v>335</v>
      </c>
      <c r="B336" s="256" t="s">
        <v>316</v>
      </c>
      <c r="C336" s="256" t="n">
        <v>2</v>
      </c>
      <c r="D336" s="256" t="n">
        <v>552</v>
      </c>
      <c r="E336" s="257" t="str">
        <f aca="1">VLOOKUP(T_Aop[[#This Row],[Id]],T_Aop[],ID_Jezik+10,1)</f>
        <v>1</v>
      </c>
      <c r="F336" s="256" t="str">
        <f aca="1">REPT("  ",T_Aop[[#This Row],[Aop nivo]])&amp;VLOOKUP(T_Aop[[#This Row],[Id]],T_Aop[],ID_Jezik+6,1)</f>
        <v>    Odlivi po osnovu otkupa sopstvenih akcija i udjela</v>
      </c>
      <c r="G336" s="238" t="s">
        <v>2488</v>
      </c>
      <c r="H336" s="237" t="s">
        <v>2489</v>
      </c>
      <c r="I336" s="238" t="s">
        <v>2490</v>
      </c>
      <c r="J336" s="290" t="s">
        <v>2491</v>
      </c>
      <c r="K336" s="239" t="s">
        <v>2261</v>
      </c>
      <c r="L336" s="239" t="n">
        <v>1</v>
      </c>
      <c r="M336" s="239" t="s">
        <v>2261</v>
      </c>
      <c r="N336" s="259" t="s">
        <v>34</v>
      </c>
      <c r="O336" s="257"/>
      <c r="P336" s="257"/>
    </row>
    <row r="337" spans="1:16" s="269" customFormat="1" ht="12.75" customHeight="1">
      <c r="A337" s="256">
        <f>ROW()-ROW($A$1)</f>
        <v>336</v>
      </c>
      <c r="B337" s="256" t="s">
        <v>316</v>
      </c>
      <c r="C337" s="256" t="n">
        <v>2</v>
      </c>
      <c r="D337" s="256" t="n">
        <v>553</v>
      </c>
      <c r="E337" s="257" t="str">
        <f aca="1">VLOOKUP(T_Aop[[#This Row],[Id]],T_Aop[],ID_Jezik+10,1)</f>
        <v>2</v>
      </c>
      <c r="F337" s="256" t="str">
        <f aca="1">REPT("  ",T_Aop[[#This Row],[Aop nivo]])&amp;VLOOKUP(T_Aop[[#This Row],[Id]],T_Aop[],ID_Jezik+6,1)</f>
        <v>    Odlivi po osnovu dugoročnih kredita </v>
      </c>
      <c r="G337" s="238" t="s">
        <v>2492</v>
      </c>
      <c r="H337" s="237" t="s">
        <v>2493</v>
      </c>
      <c r="I337" s="238" t="s">
        <v>2494</v>
      </c>
      <c r="J337" s="290" t="s">
        <v>2495</v>
      </c>
      <c r="K337" s="239" t="s">
        <v>2266</v>
      </c>
      <c r="L337" s="239" t="n">
        <v>2</v>
      </c>
      <c r="M337" s="239" t="s">
        <v>2266</v>
      </c>
      <c r="N337" s="259" t="s">
        <v>36</v>
      </c>
      <c r="O337" s="257"/>
      <c r="P337" s="257"/>
    </row>
    <row r="338" spans="1:16" s="269" customFormat="1" ht="12.75" customHeight="1">
      <c r="A338" s="256">
        <f>ROW()-ROW($A$1)</f>
        <v>337</v>
      </c>
      <c r="B338" s="256" t="s">
        <v>316</v>
      </c>
      <c r="C338" s="256" t="n">
        <v>2</v>
      </c>
      <c r="D338" s="256" t="n">
        <v>554</v>
      </c>
      <c r="E338" s="257" t="str">
        <f aca="1">VLOOKUP(T_Aop[[#This Row],[Id]],T_Aop[],ID_Jezik+10,1)</f>
        <v>3</v>
      </c>
      <c r="F338" s="256" t="str">
        <f aca="1">REPT("  ",T_Aop[[#This Row],[Aop nivo]])&amp;VLOOKUP(T_Aop[[#This Row],[Id]],T_Aop[],ID_Jezik+6,1)</f>
        <v>    Odlivi po osnovu kratkoročnih kredita </v>
      </c>
      <c r="G338" s="238" t="s">
        <v>2496</v>
      </c>
      <c r="H338" s="237" t="s">
        <v>2497</v>
      </c>
      <c r="I338" s="238" t="s">
        <v>2498</v>
      </c>
      <c r="J338" s="290" t="s">
        <v>2499</v>
      </c>
      <c r="K338" s="239" t="s">
        <v>2271</v>
      </c>
      <c r="L338" s="239" t="n">
        <v>3</v>
      </c>
      <c r="M338" s="239" t="s">
        <v>2271</v>
      </c>
      <c r="N338" s="259" t="s">
        <v>38</v>
      </c>
      <c r="O338" s="257"/>
      <c r="P338" s="257"/>
    </row>
    <row r="339" spans="1:16" s="269" customFormat="1" ht="12.75" customHeight="1">
      <c r="A339" s="256">
        <f>ROW()-ROW($A$1)</f>
        <v>338</v>
      </c>
      <c r="B339" s="256" t="s">
        <v>316</v>
      </c>
      <c r="C339" s="256" t="n">
        <v>2</v>
      </c>
      <c r="D339" s="256" t="n">
        <v>555</v>
      </c>
      <c r="E339" s="257" t="str">
        <f aca="1">VLOOKUP(T_Aop[[#This Row],[Id]],T_Aop[],ID_Jezik+10,1)</f>
        <v>4</v>
      </c>
      <c r="F339" s="256" t="str">
        <f aca="1">REPT("  ",T_Aop[[#This Row],[Aop nivo]])&amp;VLOOKUP(T_Aop[[#This Row],[Id]],T_Aop[],ID_Jezik+6,1)</f>
        <v>    Odlivi po osnovu lizinga </v>
      </c>
      <c r="G339" s="238" t="s">
        <v>2500</v>
      </c>
      <c r="H339" s="237" t="s">
        <v>2501</v>
      </c>
      <c r="I339" s="238" t="s">
        <v>2502</v>
      </c>
      <c r="J339" s="290" t="s">
        <v>2503</v>
      </c>
      <c r="K339" s="239" t="s">
        <v>2276</v>
      </c>
      <c r="L339" s="239" t="n">
        <v>4</v>
      </c>
      <c r="M339" s="239" t="s">
        <v>2276</v>
      </c>
      <c r="N339" s="259" t="s">
        <v>40</v>
      </c>
      <c r="O339" s="257"/>
      <c r="P339" s="257"/>
    </row>
    <row r="340" spans="1:16" s="269" customFormat="1" ht="12.75" customHeight="1">
      <c r="A340" s="256">
        <f>ROW()-ROW($A$1)</f>
        <v>339</v>
      </c>
      <c r="B340" s="256" t="s">
        <v>316</v>
      </c>
      <c r="C340" s="256" t="n">
        <v>2</v>
      </c>
      <c r="D340" s="256" t="n">
        <v>556</v>
      </c>
      <c r="E340" s="257" t="str">
        <f aca="1">VLOOKUP(T_Aop[[#This Row],[Id]],T_Aop[],ID_Jezik+10,1)</f>
        <v>5</v>
      </c>
      <c r="F340" s="256" t="str">
        <f aca="1">REPT("  ",T_Aop[[#This Row],[Aop nivo]])&amp;VLOOKUP(T_Aop[[#This Row],[Id]],T_Aop[],ID_Jezik+6,1)</f>
        <v>    Odlivi po osnovu dužničkih instrumenata</v>
      </c>
      <c r="G340" s="238" t="s">
        <v>2504</v>
      </c>
      <c r="H340" s="237" t="s">
        <v>2505</v>
      </c>
      <c r="I340" s="238" t="s">
        <v>2506</v>
      </c>
      <c r="J340" s="290" t="s">
        <v>2507</v>
      </c>
      <c r="K340" s="239" t="s">
        <v>2302</v>
      </c>
      <c r="L340" s="239" t="n">
        <v>5</v>
      </c>
      <c r="M340" s="239" t="s">
        <v>2302</v>
      </c>
      <c r="N340" s="259" t="s">
        <v>42</v>
      </c>
      <c r="O340" s="257"/>
      <c r="P340" s="257"/>
    </row>
    <row r="341" spans="1:16" s="269" customFormat="1" ht="12.75" customHeight="1">
      <c r="A341" s="256">
        <f>ROW()-ROW($A$1)</f>
        <v>340</v>
      </c>
      <c r="B341" s="256" t="s">
        <v>316</v>
      </c>
      <c r="C341" s="256" t="n">
        <v>2</v>
      </c>
      <c r="D341" s="256" t="n">
        <v>557</v>
      </c>
      <c r="E341" s="257" t="str">
        <f aca="1">VLOOKUP(T_Aop[[#This Row],[Id]],T_Aop[],ID_Jezik+10,1)</f>
        <v>6</v>
      </c>
      <c r="F341" s="256" t="str">
        <f aca="1">REPT("  ",T_Aop[[#This Row],[Aop nivo]])&amp;VLOOKUP(T_Aop[[#This Row],[Id]],T_Aop[],ID_Jezik+6,1)</f>
        <v>    Odlivi po osnovu isplaćenih dividendi</v>
      </c>
      <c r="G341" s="238" t="s">
        <v>2508</v>
      </c>
      <c r="H341" s="237" t="s">
        <v>2509</v>
      </c>
      <c r="I341" s="238" t="s">
        <v>2510</v>
      </c>
      <c r="J341" s="290" t="s">
        <v>2511</v>
      </c>
      <c r="K341" s="239" t="s">
        <v>2307</v>
      </c>
      <c r="L341" s="239" t="n">
        <v>6</v>
      </c>
      <c r="M341" s="239" t="s">
        <v>2307</v>
      </c>
      <c r="N341" s="259" t="s">
        <v>44</v>
      </c>
      <c r="O341" s="257"/>
      <c r="P341" s="257"/>
    </row>
    <row r="342" spans="1:16" s="269" customFormat="1" ht="12.75" customHeight="1">
      <c r="A342" s="256">
        <f>ROW()-ROW($A$1)</f>
        <v>341</v>
      </c>
      <c r="B342" s="256" t="s">
        <v>316</v>
      </c>
      <c r="C342" s="256" t="n">
        <v>2</v>
      </c>
      <c r="D342" s="256" t="n">
        <v>558</v>
      </c>
      <c r="E342" s="257" t="str">
        <f aca="1">VLOOKUP(T_Aop[[#This Row],[Id]],T_Aop[],ID_Jezik+10,1)</f>
        <v>7</v>
      </c>
      <c r="F342" s="256" t="str">
        <f aca="1">REPT("  ",T_Aop[[#This Row],[Aop nivo]])&amp;VLOOKUP(T_Aop[[#This Row],[Id]],T_Aop[],ID_Jezik+6,1)</f>
        <v>    Ostali odlivi iz aktivnosti finansiranja</v>
      </c>
      <c r="G342" s="238" t="s">
        <v>2512</v>
      </c>
      <c r="H342" s="237" t="s">
        <v>2513</v>
      </c>
      <c r="I342" s="238" t="s">
        <v>2514</v>
      </c>
      <c r="J342" s="290" t="s">
        <v>2515</v>
      </c>
      <c r="K342" s="239" t="s">
        <v>2353</v>
      </c>
      <c r="L342" s="239" t="n">
        <v>7</v>
      </c>
      <c r="M342" s="239" t="s">
        <v>2353</v>
      </c>
      <c r="N342" s="259" t="s">
        <v>46</v>
      </c>
      <c r="O342" s="257"/>
      <c r="P342" s="257"/>
    </row>
    <row r="343" spans="1:16" s="269" customFormat="1" ht="12.75" customHeight="1">
      <c r="A343" s="256">
        <f>ROW()-ROW($A$1)</f>
        <v>342</v>
      </c>
      <c r="B343" s="256" t="s">
        <v>316</v>
      </c>
      <c r="C343" s="256" t="n">
        <v>1</v>
      </c>
      <c r="D343" s="256" t="n">
        <v>559</v>
      </c>
      <c r="E343" s="257" t="str">
        <f aca="1">VLOOKUP(T_Aop[[#This Row],[Id]],T_Aop[],ID_Jezik+10,1)</f>
        <v>III</v>
      </c>
      <c r="F343" s="256" t="str">
        <f aca="1">REPT("  ",T_Aop[[#This Row],[Aop nivo]])&amp;VLOOKUP(T_Aop[[#This Row],[Id]],T_Aop[],ID_Jezik+6,1)</f>
        <v>  Neto priliv gotovine iz aktivnosti finansiranja (544 – 551)</v>
      </c>
      <c r="G343" s="238" t="s">
        <v>2516</v>
      </c>
      <c r="H343" s="237" t="s">
        <v>2517</v>
      </c>
      <c r="I343" s="238" t="s">
        <v>2518</v>
      </c>
      <c r="J343" s="290" t="s">
        <v>2519</v>
      </c>
      <c r="K343" s="239" t="s">
        <v>2312</v>
      </c>
      <c r="L343" s="239" t="s">
        <v>2312</v>
      </c>
      <c r="M343" s="239" t="s">
        <v>2312</v>
      </c>
      <c r="N343" s="259" t="s">
        <v>2312</v>
      </c>
      <c r="O343" s="257" t="n">
        <v>1</v>
      </c>
      <c r="P343" s="257"/>
    </row>
    <row r="344" spans="1:16" s="269" customFormat="1" ht="12.75" customHeight="1">
      <c r="A344" s="256">
        <f>ROW()-ROW($A$1)</f>
        <v>343</v>
      </c>
      <c r="B344" s="256" t="s">
        <v>316</v>
      </c>
      <c r="C344" s="256" t="n">
        <v>1</v>
      </c>
      <c r="D344" s="256" t="n">
        <v>560</v>
      </c>
      <c r="E344" s="257" t="str">
        <f aca="1">VLOOKUP(T_Aop[[#This Row],[Id]],T_Aop[],ID_Jezik+10,1)</f>
        <v>IV</v>
      </c>
      <c r="F344" s="256" t="str">
        <f aca="1">REPT("  ",T_Aop[[#This Row],[Aop nivo]])&amp;VLOOKUP(T_Aop[[#This Row],[Id]],T_Aop[],ID_Jezik+6,1)</f>
        <v>  Neto odliv gotovine iz aktivnosti finansiranja (551 – 544) </v>
      </c>
      <c r="G344" s="238" t="s">
        <v>2520</v>
      </c>
      <c r="H344" s="237" t="s">
        <v>2521</v>
      </c>
      <c r="I344" s="238" t="s">
        <v>2522</v>
      </c>
      <c r="J344" s="290" t="s">
        <v>2523</v>
      </c>
      <c r="K344" s="239" t="s">
        <v>2317</v>
      </c>
      <c r="L344" s="239" t="s">
        <v>2317</v>
      </c>
      <c r="M344" s="239" t="s">
        <v>2317</v>
      </c>
      <c r="N344" s="259" t="s">
        <v>2317</v>
      </c>
      <c r="O344" s="257" t="n">
        <v>1</v>
      </c>
      <c r="P344" s="257"/>
    </row>
    <row r="345" spans="1:16" s="269" customFormat="1" ht="12.75" customHeight="1">
      <c r="A345" s="256">
        <f>ROW()-ROW($A$1)</f>
        <v>344</v>
      </c>
      <c r="B345" s="256" t="s">
        <v>316</v>
      </c>
      <c r="C345" s="256" t="n">
        <v>0</v>
      </c>
      <c r="D345" s="256" t="n">
        <v>561</v>
      </c>
      <c r="E345" s="257" t="str">
        <f aca="1">VLOOKUP(T_Aop[[#This Row],[Id]],T_Aop[],ID_Jezik+10,1)</f>
        <v>G</v>
      </c>
      <c r="F345" s="277" t="str">
        <f aca="1">REPT("  ",T_Aop[[#This Row],[Aop nivo]])&amp;VLOOKUP(T_Aop[[#This Row],[Id]],T_Aop[],ID_Jezik+6,1)</f>
        <v>UKUPNI PRILIVI GOTOVINE (501 + 515 + 544)</v>
      </c>
      <c r="G345" s="246" t="s">
        <v>2524</v>
      </c>
      <c r="H345" s="237" t="s">
        <v>2525</v>
      </c>
      <c r="I345" s="238" t="s">
        <v>2526</v>
      </c>
      <c r="J345" s="290" t="s">
        <v>2527</v>
      </c>
      <c r="K345" s="239" t="s">
        <v>2528</v>
      </c>
      <c r="L345" s="239" t="s">
        <v>2529</v>
      </c>
      <c r="M345" s="239" t="s">
        <v>2528</v>
      </c>
      <c r="N345" s="259" t="s">
        <v>2529</v>
      </c>
      <c r="O345" s="257" t="n">
        <v>1</v>
      </c>
      <c r="P345" s="257"/>
    </row>
    <row r="346" spans="1:16" s="269" customFormat="1" ht="12.75" customHeight="1">
      <c r="A346" s="256">
        <f>ROW()-ROW($A$1)</f>
        <v>345</v>
      </c>
      <c r="B346" s="256" t="s">
        <v>316</v>
      </c>
      <c r="C346" s="256" t="n">
        <v>0</v>
      </c>
      <c r="D346" s="256" t="n">
        <v>562</v>
      </c>
      <c r="E346" s="257" t="str">
        <f aca="1">VLOOKUP(T_Aop[[#This Row],[Id]],T_Aop[],ID_Jezik+10,1)</f>
        <v>D</v>
      </c>
      <c r="F346" s="277" t="str">
        <f aca="1">REPT("  ",T_Aop[[#This Row],[Aop nivo]])&amp;VLOOKUP(T_Aop[[#This Row],[Id]],T_Aop[],ID_Jezik+6,1)</f>
        <v>UKUPNI ODLIVI GOTOVINE (506 + 531 + 551)</v>
      </c>
      <c r="G346" s="246" t="s">
        <v>2530</v>
      </c>
      <c r="H346" s="237" t="s">
        <v>2531</v>
      </c>
      <c r="I346" s="238" t="s">
        <v>2532</v>
      </c>
      <c r="J346" s="290" t="s">
        <v>2533</v>
      </c>
      <c r="K346" s="239" t="s">
        <v>2534</v>
      </c>
      <c r="L346" s="239" t="s">
        <v>2535</v>
      </c>
      <c r="M346" s="239" t="s">
        <v>2534</v>
      </c>
      <c r="N346" s="259" t="s">
        <v>2535</v>
      </c>
      <c r="O346" s="257" t="n">
        <v>1</v>
      </c>
      <c r="P346" s="257"/>
    </row>
    <row r="347" spans="1:16" s="269" customFormat="1" ht="12.75" customHeight="1">
      <c r="A347" s="256">
        <f>ROW()-ROW($A$1)</f>
        <v>346</v>
      </c>
      <c r="B347" s="256" t="s">
        <v>316</v>
      </c>
      <c r="C347" s="256" t="n">
        <v>0</v>
      </c>
      <c r="D347" s="256" t="n">
        <v>563</v>
      </c>
      <c r="E347" s="257" t="str">
        <f aca="1">VLOOKUP(T_Aop[[#This Row],[Id]],T_Aop[],ID_Jezik+10,1)</f>
        <v>Đ</v>
      </c>
      <c r="F347" s="277" t="str">
        <f aca="1">REPT("  ",T_Aop[[#This Row],[Aop nivo]])&amp;VLOOKUP(T_Aop[[#This Row],[Id]],T_Aop[],ID_Jezik+6,1)</f>
        <v>NETO PRILIV GOTOVINE (561 – 562)</v>
      </c>
      <c r="G347" s="246" t="s">
        <v>2536</v>
      </c>
      <c r="H347" s="237" t="s">
        <v>2537</v>
      </c>
      <c r="I347" s="238" t="s">
        <v>2538</v>
      </c>
      <c r="J347" s="290" t="s">
        <v>2539</v>
      </c>
      <c r="K347" s="239" t="s">
        <v>2540</v>
      </c>
      <c r="L347" s="239" t="s">
        <v>2541</v>
      </c>
      <c r="M347" s="239" t="s">
        <v>2540</v>
      </c>
      <c r="N347" s="259" t="s">
        <v>2541</v>
      </c>
      <c r="O347" s="257" t="n">
        <v>1</v>
      </c>
      <c r="P347" s="257"/>
    </row>
    <row r="348" spans="1:16" s="269" customFormat="1" ht="12.75" customHeight="1">
      <c r="A348" s="256">
        <f>ROW()-ROW($A$1)</f>
        <v>347</v>
      </c>
      <c r="B348" s="256" t="s">
        <v>316</v>
      </c>
      <c r="C348" s="256" t="n">
        <v>0</v>
      </c>
      <c r="D348" s="256" t="n">
        <v>564</v>
      </c>
      <c r="E348" s="257" t="str">
        <f aca="1">VLOOKUP(T_Aop[[#This Row],[Id]],T_Aop[],ID_Jezik+10,1)</f>
        <v>E</v>
      </c>
      <c r="F348" s="277" t="str">
        <f aca="1">REPT("  ",T_Aop[[#This Row],[Aop nivo]])&amp;VLOOKUP(T_Aop[[#This Row],[Id]],T_Aop[],ID_Jezik+6,1)</f>
        <v>NETO ODLIV GOTOVINE (562 – 561)</v>
      </c>
      <c r="G348" s="246" t="s">
        <v>2542</v>
      </c>
      <c r="H348" s="237" t="s">
        <v>2543</v>
      </c>
      <c r="I348" s="238" t="s">
        <v>2544</v>
      </c>
      <c r="J348" s="290" t="s">
        <v>2545</v>
      </c>
      <c r="K348" s="239" t="s">
        <v>2546</v>
      </c>
      <c r="L348" s="239" t="s">
        <v>2547</v>
      </c>
      <c r="M348" s="239" t="s">
        <v>2546</v>
      </c>
      <c r="N348" s="259" t="s">
        <v>2547</v>
      </c>
      <c r="O348" s="257" t="n">
        <v>1</v>
      </c>
      <c r="P348" s="257"/>
    </row>
    <row r="349" spans="1:16" s="269" customFormat="1" ht="12.75" customHeight="1">
      <c r="A349" s="256">
        <f>ROW()-ROW($A$1)</f>
        <v>348</v>
      </c>
      <c r="B349" s="256" t="s">
        <v>316</v>
      </c>
      <c r="C349" s="256" t="n">
        <v>0</v>
      </c>
      <c r="D349" s="256" t="n">
        <v>565</v>
      </c>
      <c r="E349" s="257" t="str">
        <f aca="1">VLOOKUP(T_Aop[[#This Row],[Id]],T_Aop[],ID_Jezik+10,1)</f>
        <v>Ž</v>
      </c>
      <c r="F349" s="277" t="str">
        <f aca="1">REPT("  ",T_Aop[[#This Row],[Aop nivo]])&amp;VLOOKUP(T_Aop[[#This Row],[Id]],T_Aop[],ID_Jezik+6,1)</f>
        <v>GOTOVINA NA POČETKU OBRAČUNSKOG PERIODA </v>
      </c>
      <c r="G349" s="246" t="s">
        <v>2548</v>
      </c>
      <c r="H349" s="237" t="s">
        <v>2549</v>
      </c>
      <c r="I349" s="238" t="s">
        <v>2550</v>
      </c>
      <c r="J349" s="290" t="s">
        <v>2551</v>
      </c>
      <c r="K349" s="239" t="s">
        <v>2552</v>
      </c>
      <c r="L349" s="239" t="s">
        <v>2553</v>
      </c>
      <c r="M349" s="239" t="s">
        <v>2552</v>
      </c>
      <c r="N349" s="259" t="s">
        <v>2553</v>
      </c>
      <c r="O349" s="257" t="n">
        <v>1</v>
      </c>
      <c r="P349" s="257"/>
    </row>
    <row r="350" spans="1:16" s="269" customFormat="1" ht="12.75" customHeight="1">
      <c r="A350" s="256">
        <f>ROW()-ROW($A$1)</f>
        <v>349</v>
      </c>
      <c r="B350" s="256" t="s">
        <v>316</v>
      </c>
      <c r="C350" s="256" t="n">
        <v>0</v>
      </c>
      <c r="D350" s="256" t="n">
        <v>566</v>
      </c>
      <c r="E350" s="257" t="str">
        <f aca="1">VLOOKUP(T_Aop[[#This Row],[Id]],T_Aop[],ID_Jezik+10,1)</f>
        <v>Z</v>
      </c>
      <c r="F350" s="277" t="str">
        <f aca="1">REPT("  ",T_Aop[[#This Row],[Aop nivo]])&amp;VLOOKUP(T_Aop[[#This Row],[Id]],T_Aop[],ID_Jezik+6,1)</f>
        <v>POZITIVNE KURSNE RAZLIKE PO OSNOVU PRERAČUNA GOTOVINE</v>
      </c>
      <c r="G350" s="246" t="s">
        <v>2554</v>
      </c>
      <c r="H350" s="237" t="s">
        <v>2555</v>
      </c>
      <c r="I350" s="238" t="s">
        <v>2556</v>
      </c>
      <c r="J350" s="290" t="s">
        <v>2557</v>
      </c>
      <c r="K350" s="239" t="s">
        <v>2558</v>
      </c>
      <c r="L350" s="239" t="s">
        <v>2559</v>
      </c>
      <c r="M350" s="239" t="s">
        <v>2558</v>
      </c>
      <c r="N350" s="259" t="s">
        <v>2559</v>
      </c>
      <c r="O350" s="257" t="n">
        <v>1</v>
      </c>
      <c r="P350" s="257"/>
    </row>
    <row r="351" spans="1:16" s="269" customFormat="1" ht="12.75" customHeight="1">
      <c r="A351" s="256">
        <f>ROW()-ROW($A$1)</f>
        <v>350</v>
      </c>
      <c r="B351" s="256" t="s">
        <v>316</v>
      </c>
      <c r="C351" s="256" t="n">
        <v>0</v>
      </c>
      <c r="D351" s="256" t="n">
        <v>567</v>
      </c>
      <c r="E351" s="257" t="str">
        <f aca="1">VLOOKUP(T_Aop[[#This Row],[Id]],T_Aop[],ID_Jezik+10,1)</f>
        <v>I</v>
      </c>
      <c r="F351" s="277" t="str">
        <f aca="1">REPT("  ",T_Aop[[#This Row],[Aop nivo]])&amp;VLOOKUP(T_Aop[[#This Row],[Id]],T_Aop[],ID_Jezik+6,1)</f>
        <v>NEGATIVNE KURSNE RAZLIKE PO OSNOVU PRERAČUNA GOTOVINE</v>
      </c>
      <c r="G351" s="246" t="s">
        <v>2560</v>
      </c>
      <c r="H351" s="237" t="s">
        <v>2561</v>
      </c>
      <c r="I351" s="238" t="s">
        <v>2562</v>
      </c>
      <c r="J351" s="290" t="s">
        <v>2563</v>
      </c>
      <c r="K351" s="239" t="s">
        <v>2564</v>
      </c>
      <c r="L351" s="239" t="s">
        <v>2565</v>
      </c>
      <c r="M351" s="239" t="s">
        <v>2564</v>
      </c>
      <c r="N351" s="259" t="s">
        <v>2565</v>
      </c>
      <c r="O351" s="257" t="n">
        <v>1</v>
      </c>
      <c r="P351" s="257"/>
    </row>
    <row r="352" spans="1:16" s="269" customFormat="1" ht="12.75" customHeight="1">
      <c r="A352" s="261">
        <f>ROW()-ROW($A$1)</f>
        <v>351</v>
      </c>
      <c r="B352" s="261" t="s">
        <v>316</v>
      </c>
      <c r="C352" s="261" t="n">
        <v>0</v>
      </c>
      <c r="D352" s="261" t="n">
        <v>568</v>
      </c>
      <c r="E352" s="262" t="str">
        <f aca="1">VLOOKUP(T_Aop[[#This Row],[Id]],T_Aop[],ID_Jezik+10,1)</f>
        <v>J</v>
      </c>
      <c r="F352" s="278" t="str">
        <f aca="1">REPT("  ",T_Aop[[#This Row],[Aop nivo]])&amp;VLOOKUP(T_Aop[[#This Row],[Id]],T_Aop[],ID_Jezik+6,1)</f>
        <v>GOTOVINA NA KRAJU OBRAČUNSKOG PERIODA (565 + 563 – 564 + 566 – 567)</v>
      </c>
      <c r="G352" s="351" t="s">
        <v>2566</v>
      </c>
      <c r="H352" s="263" t="s">
        <v>2567</v>
      </c>
      <c r="I352" s="238" t="s">
        <v>2568</v>
      </c>
      <c r="J352" s="290" t="s">
        <v>2569</v>
      </c>
      <c r="K352" s="264" t="s">
        <v>2570</v>
      </c>
      <c r="L352" s="264" t="s">
        <v>2571</v>
      </c>
      <c r="M352" s="264" t="s">
        <v>2570</v>
      </c>
      <c r="N352" s="259" t="s">
        <v>2571</v>
      </c>
      <c r="O352" s="262" t="n">
        <v>1</v>
      </c>
      <c r="P352" s="262"/>
    </row>
    <row r="353" spans="1:16">
      <c r="A353">
        <f>ROW()-ROW($A$1)</f>
        <v>352</v>
      </c>
      <c r="B353" t="s">
        <v>22</v>
      </c>
      <c r="C353" t="n">
        <v>0</v>
      </c>
      <c r="D353" t="n">
        <v>601</v>
      </c>
      <c r="E353" s="19" t="str">
        <f aca="1">VLOOKUP(T_Aop[[#This Row],[Id]],T_Aop[],ID_Jezik+10,1)</f>
        <v>010</v>
      </c>
      <c r="F353" t="str">
        <f aca="1">REPT("  ",T_Aop[[#This Row],[Aop nivo]])&amp;VLOOKUP(T_Aop[[#This Row],[Id]],T_Aop[],ID_Jezik+6,1)</f>
        <v>Ulaganja u istraživanje i razvoj (dugovni promet bez početnog stanja)</v>
      </c>
      <c r="G353" s="222" t="s">
        <v>2572</v>
      </c>
      <c r="H353" s="60" t="s">
        <v>2573</v>
      </c>
      <c r="I353" s="60" t="s">
        <v>2574</v>
      </c>
      <c r="J353" s="26" t="s">
        <v>2575</v>
      </c>
      <c r="K353" s="226" t="s">
        <v>2576</v>
      </c>
      <c r="L353" s="226" t="s">
        <v>2576</v>
      </c>
      <c r="M353" s="226" t="s">
        <v>2576</v>
      </c>
      <c r="N353" s="68" t="n">
        <v>10</v>
      </c>
      <c r="O353" s="19"/>
      <c r="P353" s="19"/>
    </row>
    <row r="354" spans="1:16" ht="14.25" customHeight="1">
      <c r="A354">
        <f>ROW()-ROW($A$1)</f>
        <v>353</v>
      </c>
      <c r="B354" t="s">
        <v>22</v>
      </c>
      <c r="C354" t="n">
        <v>0</v>
      </c>
      <c r="D354" t="n">
        <v>602</v>
      </c>
      <c r="E354" s="19" t="str">
        <f aca="1">VLOOKUP(T_Aop[[#This Row],[Id]],T_Aop[],ID_Jezik+10,1)</f>
        <v>201, dio 200</v>
      </c>
      <c r="F354" t="str">
        <f aca="1">REPT("  ",T_Aop[[#This Row],[Aop nivo]])&amp;VLOOKUP(T_Aop[[#This Row],[Id]],T_Aop[],ID_Jezik+6,1)</f>
        <v>Kupci iz Republike Srpske i kupci - povezana pravna lica iz RS (dugovni promet bez početnog stanja)</v>
      </c>
      <c r="G354" s="222" t="s">
        <v>2577</v>
      </c>
      <c r="H354" s="60" t="s">
        <v>2578</v>
      </c>
      <c r="I354" s="60" t="s">
        <v>2579</v>
      </c>
      <c r="J354" s="293" t="s">
        <v>2580</v>
      </c>
      <c r="K354" s="226" t="s">
        <v>2581</v>
      </c>
      <c r="L354" s="221" t="s">
        <v>2582</v>
      </c>
      <c r="M354" s="226" t="s">
        <v>2583</v>
      </c>
      <c r="N354" s="252" t="s">
        <v>2584</v>
      </c>
      <c r="O354" s="19"/>
      <c r="P354" s="19" t="n">
        <v>1</v>
      </c>
    </row>
    <row r="355" spans="1:16" ht="14.25" customHeight="1">
      <c r="A355">
        <f>ROW()-ROW($A$1)</f>
        <v>354</v>
      </c>
      <c r="B355" t="s">
        <v>22</v>
      </c>
      <c r="C355" t="n">
        <v>0</v>
      </c>
      <c r="D355" t="n">
        <v>603</v>
      </c>
      <c r="E355" s="19" t="str">
        <f aca="1">VLOOKUP(T_Aop[[#This Row],[Id]],T_Aop[],ID_Jezik+10,1)</f>
        <v>202, dio 200</v>
      </c>
      <c r="F355" t="str">
        <f aca="1">REPT("  ",T_Aop[[#This Row],[Aop nivo]])&amp;VLOOKUP(T_Aop[[#This Row],[Id]],T_Aop[],ID_Jezik+6,1)</f>
        <v>Kupci iz Federacije BiH i kupci - povezana pravna lica iz FBiH (dugovni promet bez početnog stanja)</v>
      </c>
      <c r="G355" s="222" t="s">
        <v>2585</v>
      </c>
      <c r="H355" s="60" t="s">
        <v>2586</v>
      </c>
      <c r="I355" s="60" t="s">
        <v>2587</v>
      </c>
      <c r="J355" s="26" t="s">
        <v>2588</v>
      </c>
      <c r="K355" s="226" t="s">
        <v>2589</v>
      </c>
      <c r="L355" s="221" t="s">
        <v>2590</v>
      </c>
      <c r="M355" s="226" t="s">
        <v>2591</v>
      </c>
      <c r="N355" s="64" t="s">
        <v>2592</v>
      </c>
      <c r="O355" s="19"/>
      <c r="P355" s="19" t="n">
        <v>1</v>
      </c>
    </row>
    <row r="356" spans="1:16" ht="14.25" customHeight="1">
      <c r="A356">
        <f>ROW()-ROW($A$1)</f>
        <v>355</v>
      </c>
      <c r="B356" t="s">
        <v>22</v>
      </c>
      <c r="C356" t="n">
        <v>0</v>
      </c>
      <c r="D356" t="n">
        <v>604</v>
      </c>
      <c r="E356" s="19" t="str">
        <f aca="1">VLOOKUP(T_Aop[[#This Row],[Id]],T_Aop[],ID_Jezik+10,1)</f>
        <v>203, dio 200</v>
      </c>
      <c r="F356" t="str">
        <f aca="1">REPT("  ",T_Aop[[#This Row],[Aop nivo]])&amp;VLOOKUP(T_Aop[[#This Row],[Id]],T_Aop[],ID_Jezik+6,1)</f>
        <v>Kupci iz Brčko Distrikta BiH i kupci - povezana pravna lica iz BD (dugovni promet bez početnog stanja)</v>
      </c>
      <c r="G356" s="222" t="s">
        <v>2593</v>
      </c>
      <c r="H356" s="60" t="s">
        <v>2594</v>
      </c>
      <c r="I356" s="60" t="s">
        <v>2595</v>
      </c>
      <c r="J356" s="293" t="s">
        <v>2596</v>
      </c>
      <c r="K356" s="226" t="s">
        <v>2597</v>
      </c>
      <c r="L356" s="226" t="s">
        <v>2598</v>
      </c>
      <c r="M356" s="226" t="s">
        <v>2599</v>
      </c>
      <c r="N356" s="252" t="s">
        <v>2600</v>
      </c>
      <c r="O356" s="19"/>
      <c r="P356" s="19" t="n">
        <v>1</v>
      </c>
    </row>
    <row r="357" spans="1:16" ht="14.25" customHeight="1">
      <c r="A357">
        <f>ROW()-ROW($A$1)</f>
        <v>356</v>
      </c>
      <c r="B357" t="s">
        <v>22</v>
      </c>
      <c r="C357" t="n">
        <v>0</v>
      </c>
      <c r="D357" t="n">
        <v>605</v>
      </c>
      <c r="E357" s="19" t="str">
        <f aca="1">VLOOKUP(T_Aop[[#This Row],[Id]],T_Aop[],ID_Jezik+10,1)</f>
        <v>432, dio 431</v>
      </c>
      <c r="F357" t="str">
        <f aca="1">REPT("  ",T_Aop[[#This Row],[Aop nivo]])&amp;VLOOKUP(T_Aop[[#This Row],[Id]],T_Aop[],ID_Jezik+6,1)</f>
        <v>Dobavljači iz Republike Srpske i dobavljači - povezana pravna lica iz RS (potražni promet bez početnog stanja)</v>
      </c>
      <c r="G357" s="222" t="s">
        <v>2601</v>
      </c>
      <c r="H357" s="60" t="s">
        <v>2602</v>
      </c>
      <c r="I357" s="60" t="s">
        <v>2603</v>
      </c>
      <c r="J357" s="26" t="s">
        <v>2604</v>
      </c>
      <c r="K357" s="226" t="s">
        <v>2605</v>
      </c>
      <c r="L357" s="226" t="s">
        <v>2606</v>
      </c>
      <c r="M357" s="226" t="s">
        <v>2607</v>
      </c>
      <c r="N357" s="64" t="s">
        <v>2608</v>
      </c>
      <c r="O357" s="19"/>
      <c r="P357" s="19" t="n">
        <v>1</v>
      </c>
    </row>
    <row r="358" spans="1:16" ht="14.25" customHeight="1">
      <c r="A358">
        <f>ROW()-ROW($A$1)</f>
        <v>357</v>
      </c>
      <c r="B358" t="s">
        <v>22</v>
      </c>
      <c r="C358" t="n">
        <v>0</v>
      </c>
      <c r="D358" s="19" t="n">
        <v>606</v>
      </c>
      <c r="E358" s="19" t="str">
        <f aca="1">VLOOKUP(T_Aop[[#This Row],[Id]],T_Aop[],ID_Jezik+10,1)</f>
        <v>433, dio 431</v>
      </c>
      <c r="F358" t="str">
        <f aca="1">REPT("  ",T_Aop[[#This Row],[Aop nivo]])&amp;VLOOKUP(T_Aop[[#This Row],[Id]],T_Aop[],ID_Jezik+6,1)</f>
        <v>Dobavljači iz Federacije BiH i dobavljači - povezana pravna lica iz FBiH (potražni promet bez početnog stanja)</v>
      </c>
      <c r="G358" s="222" t="s">
        <v>2609</v>
      </c>
      <c r="H358" s="60" t="s">
        <v>2610</v>
      </c>
      <c r="I358" s="60" t="s">
        <v>2611</v>
      </c>
      <c r="J358" s="26" t="s">
        <v>2612</v>
      </c>
      <c r="K358" s="226" t="s">
        <v>2613</v>
      </c>
      <c r="L358" s="221" t="s">
        <v>2614</v>
      </c>
      <c r="M358" s="226" t="s">
        <v>2615</v>
      </c>
      <c r="N358" s="252" t="s">
        <v>2616</v>
      </c>
      <c r="O358" s="19"/>
      <c r="P358" s="19" t="n">
        <v>1</v>
      </c>
    </row>
    <row r="359" spans="1:16" ht="14.25" customHeight="1">
      <c r="A359">
        <f>ROW()-ROW($A$1)</f>
        <v>358</v>
      </c>
      <c r="B359" t="s">
        <v>22</v>
      </c>
      <c r="C359" t="n">
        <v>0</v>
      </c>
      <c r="D359" s="19" t="n">
        <v>607</v>
      </c>
      <c r="E359" s="19" t="str">
        <f aca="1">VLOOKUP(T_Aop[[#This Row],[Id]],T_Aop[],ID_Jezik+10,1)</f>
        <v>434, dio 431</v>
      </c>
      <c r="F359" t="str">
        <f aca="1">REPT("  ",T_Aop[[#This Row],[Aop nivo]])&amp;VLOOKUP(T_Aop[[#This Row],[Id]],T_Aop[],ID_Jezik+6,1)</f>
        <v>Dobavljači iz Brčko Distrikta BiH i dobavljači - povezana pravna lica iz DB (potražni promet bez početnog stanja)</v>
      </c>
      <c r="G359" s="222" t="s">
        <v>2617</v>
      </c>
      <c r="H359" s="60" t="s">
        <v>2618</v>
      </c>
      <c r="I359" s="60" t="s">
        <v>2619</v>
      </c>
      <c r="J359" s="26" t="s">
        <v>2620</v>
      </c>
      <c r="K359" s="226" t="s">
        <v>2621</v>
      </c>
      <c r="L359" s="221" t="s">
        <v>2622</v>
      </c>
      <c r="M359" s="226" t="s">
        <v>2623</v>
      </c>
      <c r="N359" s="64" t="s">
        <v>2624</v>
      </c>
      <c r="O359" s="19"/>
      <c r="P359" s="19" t="n">
        <v>1</v>
      </c>
    </row>
    <row r="360" spans="1:16" ht="14.25" customHeight="1">
      <c r="A360">
        <f>ROW()-ROW($A$1)</f>
        <v>359</v>
      </c>
      <c r="B360" t="s">
        <v>22</v>
      </c>
      <c r="C360" t="n">
        <v>0</v>
      </c>
      <c r="D360" s="406" t="n">
        <v>608</v>
      </c>
      <c r="E360" s="19" t="str">
        <f aca="1">VLOOKUP(T_Aop[[#This Row],[Id]],T_Aop[],ID_Jezik+10,1)</f>
        <v>601, dio 600, dio 605</v>
      </c>
      <c r="F360" t="str">
        <f aca="1">REPT("  ",T_Aop[[#This Row],[Aop nivo]])&amp;VLOOKUP(T_Aop[[#This Row],[Id]],T_Aop[],ID_Jezik+6,1)</f>
        <v>Prihodi od prodaje robe u Republici Srpskoj i prihodi od prodaje robe povezanim pravnim licima u RS</v>
      </c>
      <c r="G360" s="222" t="s">
        <v>2625</v>
      </c>
      <c r="H360" s="60" t="s">
        <v>2626</v>
      </c>
      <c r="I360" s="60" t="s">
        <v>2627</v>
      </c>
      <c r="J360" s="293" t="s">
        <v>2628</v>
      </c>
      <c r="K360" s="392" t="s">
        <v>2629</v>
      </c>
      <c r="L360" s="393" t="s">
        <v>2630</v>
      </c>
      <c r="M360" s="392" t="s">
        <v>2631</v>
      </c>
      <c r="N360" s="394" t="s">
        <v>2632</v>
      </c>
      <c r="O360" s="19"/>
      <c r="P360" s="19" t="n">
        <v>1</v>
      </c>
    </row>
    <row r="361" spans="1:16" ht="14.25" customHeight="1">
      <c r="A361">
        <f>ROW()-ROW($A$1)</f>
        <v>360</v>
      </c>
      <c r="B361" t="s">
        <v>22</v>
      </c>
      <c r="C361" t="n">
        <v>0</v>
      </c>
      <c r="D361" s="406" t="n">
        <v>609</v>
      </c>
      <c r="E361" s="19" t="str">
        <f aca="1">VLOOKUP(T_Aop[[#This Row],[Id]],T_Aop[],ID_Jezik+10,1)</f>
        <v>602, dio 600, dio 605</v>
      </c>
      <c r="F361" t="str">
        <f aca="1">REPT("  ",T_Aop[[#This Row],[Aop nivo]])&amp;VLOOKUP(T_Aop[[#This Row],[Id]],T_Aop[],ID_Jezik+6,1)</f>
        <v>Prihodi od prodaje robe u Federaciji BiH i prihodi od prodaje robe povezanim pravnim licima u FBiH</v>
      </c>
      <c r="G361" s="222" t="s">
        <v>2633</v>
      </c>
      <c r="H361" s="60" t="s">
        <v>2634</v>
      </c>
      <c r="I361" s="60" t="s">
        <v>2635</v>
      </c>
      <c r="J361" s="268" t="s">
        <v>2636</v>
      </c>
      <c r="K361" s="392" t="s">
        <v>2637</v>
      </c>
      <c r="L361" s="393" t="s">
        <v>2638</v>
      </c>
      <c r="M361" s="392" t="s">
        <v>2639</v>
      </c>
      <c r="N361" s="394" t="s">
        <v>2640</v>
      </c>
      <c r="O361" s="19"/>
      <c r="P361" s="19" t="n">
        <v>1</v>
      </c>
    </row>
    <row r="362" spans="1:16" ht="14.25" customHeight="1">
      <c r="A362">
        <f>ROW()-ROW($A$1)</f>
        <v>361</v>
      </c>
      <c r="B362" t="s">
        <v>22</v>
      </c>
      <c r="C362" t="n">
        <v>0</v>
      </c>
      <c r="D362" s="406" t="n">
        <v>610</v>
      </c>
      <c r="E362" s="19" t="str">
        <f aca="1">VLOOKUP(T_Aop[[#This Row],[Id]],T_Aop[],ID_Jezik+10,1)</f>
        <v>603, dio 600, dio 605</v>
      </c>
      <c r="F362" t="str">
        <f aca="1">REPT("  ",T_Aop[[#This Row],[Aop nivo]])&amp;VLOOKUP(T_Aop[[#This Row],[Id]],T_Aop[],ID_Jezik+6,1)</f>
        <v>Prihodi od prodaje robe u Brčko Distriktu BiH i prihodi od prodaje robe povezanim pravnim licima u BD</v>
      </c>
      <c r="G362" s="222" t="s">
        <v>2641</v>
      </c>
      <c r="H362" s="60" t="s">
        <v>2642</v>
      </c>
      <c r="I362" s="60" t="s">
        <v>2643</v>
      </c>
      <c r="J362" s="293" t="s">
        <v>2644</v>
      </c>
      <c r="K362" s="392" t="s">
        <v>2645</v>
      </c>
      <c r="L362" s="393" t="s">
        <v>2646</v>
      </c>
      <c r="M362" s="392" t="s">
        <v>2647</v>
      </c>
      <c r="N362" s="394" t="s">
        <v>2648</v>
      </c>
      <c r="O362" s="19"/>
      <c r="P362" s="19" t="n">
        <v>1</v>
      </c>
    </row>
    <row r="363" spans="1:16" ht="14.25" customHeight="1">
      <c r="A363">
        <f>ROW()-ROW($A$1)</f>
        <v>362</v>
      </c>
      <c r="B363" t="s">
        <v>22</v>
      </c>
      <c r="C363" t="n">
        <v>0</v>
      </c>
      <c r="D363" s="406" t="n">
        <v>611</v>
      </c>
      <c r="E363" s="19" t="str">
        <f aca="1">VLOOKUP(T_Aop[[#This Row],[Id]],T_Aop[],ID_Jezik+10,1)</f>
        <v>611, dio 610, dio 615</v>
      </c>
      <c r="F363" t="str">
        <f aca="1">REPT("  ",T_Aop[[#This Row],[Aop nivo]])&amp;VLOOKUP(T_Aop[[#This Row],[Id]],T_Aop[],ID_Jezik+6,1)</f>
        <v>Prihodi od prodaje proizvoda u Republici Srpskoj i prihodi od prodaje proizvoda povezanim pravnim licima u Republici Srpskoj</v>
      </c>
      <c r="G363" s="395" t="s">
        <v>2649</v>
      </c>
      <c r="H363" s="232" t="s">
        <v>2650</v>
      </c>
      <c r="I363" s="402" t="s">
        <v>2651</v>
      </c>
      <c r="J363" s="293" t="s">
        <v>2652</v>
      </c>
      <c r="K363" s="392" t="s">
        <v>2653</v>
      </c>
      <c r="L363" s="393" t="s">
        <v>2654</v>
      </c>
      <c r="M363" s="392" t="s">
        <v>2655</v>
      </c>
      <c r="N363" s="394" t="s">
        <v>2656</v>
      </c>
      <c r="O363" s="19"/>
      <c r="P363" s="19"/>
    </row>
    <row r="364" spans="1:16" ht="14.25" customHeight="1">
      <c r="A364">
        <f>ROW()-ROW($A$1)</f>
        <v>363</v>
      </c>
      <c r="B364" t="s">
        <v>22</v>
      </c>
      <c r="C364" t="n">
        <v>0</v>
      </c>
      <c r="D364" s="406" t="n">
        <v>612</v>
      </c>
      <c r="E364" s="19" t="str">
        <f aca="1">VLOOKUP(T_Aop[[#This Row],[Id]],T_Aop[],ID_Jezik+10,1)</f>
        <v>612, dio 610, dio 615</v>
      </c>
      <c r="F364" t="str">
        <f aca="1">REPT("  ",T_Aop[[#This Row],[Aop nivo]])&amp;VLOOKUP(T_Aop[[#This Row],[Id]],T_Aop[],ID_Jezik+6,1)</f>
        <v>Prihodi od prodaje proizvoda u Federaciji BiH i prihodi od prodaje proizvoda povezanim pravnim licima u Federaciji BiH</v>
      </c>
      <c r="G364" s="395" t="s">
        <v>2657</v>
      </c>
      <c r="H364" s="232" t="s">
        <v>2658</v>
      </c>
      <c r="I364" s="402" t="s">
        <v>2659</v>
      </c>
      <c r="J364" s="293" t="s">
        <v>2660</v>
      </c>
      <c r="K364" s="392" t="s">
        <v>2661</v>
      </c>
      <c r="L364" s="393" t="s">
        <v>2662</v>
      </c>
      <c r="M364" s="392" t="s">
        <v>2663</v>
      </c>
      <c r="N364" s="394" t="s">
        <v>2664</v>
      </c>
      <c r="O364" s="19"/>
      <c r="P364" s="19"/>
    </row>
    <row r="365" spans="1:16" ht="14.25" customHeight="1">
      <c r="A365">
        <f>ROW()-ROW($A$1)</f>
        <v>364</v>
      </c>
      <c r="B365" t="s">
        <v>22</v>
      </c>
      <c r="C365" t="n">
        <v>0</v>
      </c>
      <c r="D365" s="406" t="n">
        <v>613</v>
      </c>
      <c r="E365" s="19" t="str">
        <f aca="1">VLOOKUP(T_Aop[[#This Row],[Id]],T_Aop[],ID_Jezik+10,1)</f>
        <v>613, dio 610, dio 615</v>
      </c>
      <c r="F365" t="str">
        <f aca="1">REPT("  ",T_Aop[[#This Row],[Aop nivo]])&amp;VLOOKUP(T_Aop[[#This Row],[Id]],T_Aop[],ID_Jezik+6,1)</f>
        <v>Prihodi od prodaje proizvoda u Brčko Distriktu BiH i prihodi od prodaje učinaka povezanim pravnim licima u Brčko Distriktu BiH</v>
      </c>
      <c r="G365" s="395" t="s">
        <v>2665</v>
      </c>
      <c r="H365" s="232" t="s">
        <v>2666</v>
      </c>
      <c r="I365" s="402" t="s">
        <v>2667</v>
      </c>
      <c r="J365" s="26" t="s">
        <v>2668</v>
      </c>
      <c r="K365" s="392" t="s">
        <v>2669</v>
      </c>
      <c r="L365" s="393" t="s">
        <v>2670</v>
      </c>
      <c r="M365" s="392" t="s">
        <v>2671</v>
      </c>
      <c r="N365" s="394" t="s">
        <v>2672</v>
      </c>
      <c r="O365" s="19"/>
      <c r="P365" s="19" t="n">
        <v>1</v>
      </c>
    </row>
    <row r="366" spans="1:16" ht="14.25" customHeight="1">
      <c r="A366">
        <f>ROW()-ROW($A$1)</f>
        <v>365</v>
      </c>
      <c r="B366" t="s">
        <v>22</v>
      </c>
      <c r="C366" t="n">
        <v>0</v>
      </c>
      <c r="D366" s="406" t="n">
        <v>614</v>
      </c>
      <c r="E366" s="19" t="str">
        <f aca="1">VLOOKUP(T_Aop[[#This Row],[Id]],T_Aop[],ID_Jezik+10,1)</f>
        <v>621, dio 620, dio 625</v>
      </c>
      <c r="F366" t="str">
        <f aca="1">REPT("  ",T_Aop[[#This Row],[Aop nivo]])&amp;VLOOKUP(T_Aop[[#This Row],[Id]],T_Aop[],ID_Jezik+6,1)</f>
        <v>Prihodi od pruženih usluga u Republici Srpskoj i prihodi od pruženih usluga povezanim pravnim licima u Republici Srpskoj  </v>
      </c>
      <c r="G366" s="395" t="s">
        <v>2673</v>
      </c>
      <c r="H366" s="232" t="s">
        <v>2674</v>
      </c>
      <c r="I366" s="402" t="s">
        <v>2675</v>
      </c>
      <c r="J366" s="293" t="s">
        <v>2676</v>
      </c>
      <c r="K366" s="392" t="s">
        <v>2677</v>
      </c>
      <c r="L366" s="392" t="s">
        <v>2678</v>
      </c>
      <c r="M366" s="392" t="s">
        <v>2679</v>
      </c>
      <c r="N366" s="394" t="s">
        <v>2680</v>
      </c>
      <c r="O366" s="19"/>
      <c r="P366" s="19" t="s">
        <v>2261</v>
      </c>
    </row>
    <row r="367" spans="1:16" ht="16.50" customHeight="1">
      <c r="A367">
        <f>ROW()-ROW($A$1)</f>
        <v>366</v>
      </c>
      <c r="B367" t="s">
        <v>22</v>
      </c>
      <c r="C367" t="n">
        <v>0</v>
      </c>
      <c r="D367" s="406" t="n">
        <v>615</v>
      </c>
      <c r="E367" s="19" t="str">
        <f aca="1">VLOOKUP(T_Aop[[#This Row],[Id]],T_Aop[],ID_Jezik+10,1)</f>
        <v>622, dio 620, dio 625</v>
      </c>
      <c r="F367" t="str">
        <f aca="1">REPT("  ",T_Aop[[#This Row],[Aop nivo]])&amp;VLOOKUP(T_Aop[[#This Row],[Id]],T_Aop[],ID_Jezik+6,1)</f>
        <v>Prihodi od pruženih usluga u Federaciji BiH i prihodi od pruženih usluga povezanim pravnim licima u Federaciji BiH</v>
      </c>
      <c r="G367" s="395" t="s">
        <v>2681</v>
      </c>
      <c r="H367" s="232" t="s">
        <v>2682</v>
      </c>
      <c r="I367" s="402" t="s">
        <v>2683</v>
      </c>
      <c r="J367" s="26" t="s">
        <v>2684</v>
      </c>
      <c r="K367" s="392" t="s">
        <v>2685</v>
      </c>
      <c r="L367" s="392" t="s">
        <v>2686</v>
      </c>
      <c r="M367" s="392" t="s">
        <v>2687</v>
      </c>
      <c r="N367" s="394" t="s">
        <v>2688</v>
      </c>
      <c r="O367" s="19"/>
      <c r="P367" s="19" t="s">
        <v>2261</v>
      </c>
    </row>
    <row r="368" spans="1:16">
      <c r="A368">
        <f>ROW()-ROW($A$1)</f>
        <v>367</v>
      </c>
      <c r="B368" t="s">
        <v>22</v>
      </c>
      <c r="C368" t="n">
        <v>0</v>
      </c>
      <c r="D368" s="406" t="n">
        <v>616</v>
      </c>
      <c r="E368" s="19" t="str">
        <f aca="1">VLOOKUP(T_Aop[[#This Row],[Id]],T_Aop[],ID_Jezik+10,1)</f>
        <v>623, dio 620, dio 625</v>
      </c>
      <c r="F368" t="str">
        <f aca="1">REPT("  ",T_Aop[[#This Row],[Aop nivo]])&amp;VLOOKUP(T_Aop[[#This Row],[Id]],T_Aop[],ID_Jezik+6,1)</f>
        <v>Prihodi od pruženih usluga u Brčko Distriktu BiH i prihodi od pruženih usluga povezanim pravnim licima u Brčko Distriktu BiH</v>
      </c>
      <c r="G368" s="395" t="s">
        <v>2689</v>
      </c>
      <c r="H368" s="232" t="s">
        <v>2690</v>
      </c>
      <c r="I368" s="402" t="s">
        <v>2691</v>
      </c>
      <c r="J368" s="293" t="s">
        <v>2692</v>
      </c>
      <c r="K368" s="392" t="s">
        <v>2693</v>
      </c>
      <c r="L368" s="392" t="s">
        <v>2694</v>
      </c>
      <c r="M368" s="392" t="s">
        <v>2695</v>
      </c>
      <c r="N368" s="394" t="s">
        <v>2696</v>
      </c>
      <c r="O368" s="19"/>
      <c r="P368" s="19"/>
    </row>
    <row r="369" spans="1:16">
      <c r="A369">
        <f>ROW()-ROW($A$1)</f>
        <v>368</v>
      </c>
      <c r="B369" t="s">
        <v>22</v>
      </c>
      <c r="C369" t="n">
        <v>0</v>
      </c>
      <c r="D369" s="406" t="n">
        <v>617</v>
      </c>
      <c r="E369" s="569">
        <f aca="1">VLOOKUP(T_Aop[[#This Row],[Id]],T_Aop[],ID_Jezik+10,1)</f>
        <v>65</v>
      </c>
      <c r="F369" t="str">
        <f aca="1">REPT("  ",T_Aop[[#This Row],[Aop nivo]])&amp;VLOOKUP(T_Aop[[#This Row],[Id]],T_Aop[],ID_Jezik+6,1)</f>
        <v>OSTALI POSLOVNI PRIHODI (618 + 621 + 622 + 623 + 624 + 625 + 626 + 627 + 628)</v>
      </c>
      <c r="G369" s="400" t="s">
        <v>2697</v>
      </c>
      <c r="H369" s="401" t="s">
        <v>2698</v>
      </c>
      <c r="I369" s="401" t="s">
        <v>2699</v>
      </c>
      <c r="J369" s="396" t="s">
        <v>2700</v>
      </c>
      <c r="K369" s="226" t="n">
        <v>65</v>
      </c>
      <c r="L369" s="221" t="n">
        <v>65</v>
      </c>
      <c r="M369" s="226" t="n">
        <v>65</v>
      </c>
      <c r="N369" s="132" t="n">
        <v>65</v>
      </c>
      <c r="O369" s="19" t="n">
        <v>1</v>
      </c>
      <c r="P369" s="19"/>
    </row>
    <row r="370" spans="1:16" ht="17.25" customHeight="1">
      <c r="A370">
        <f>ROW()-ROW($A$1)</f>
        <v>369</v>
      </c>
      <c r="B370" t="s">
        <v>22</v>
      </c>
      <c r="C370" t="n">
        <v>1</v>
      </c>
      <c r="D370" s="19" t="n">
        <v>618</v>
      </c>
      <c r="E370" s="569">
        <f aca="1">VLOOKUP(T_Aop[[#This Row],[Id]],T_Aop[],ID_Jezik+10,1)</f>
        <v>650</v>
      </c>
      <c r="F370" t="str">
        <f aca="1">REPT("  ",T_Aop[[#This Row],[Aop nivo]])&amp;VLOOKUP(T_Aop[[#This Row],[Id]],T_Aop[],ID_Jezik+6,1)</f>
        <v>  a) Prihodi od premija, subvencija, dotacija, regresa, podsticaja i slično</v>
      </c>
      <c r="G370" s="222" t="s">
        <v>2701</v>
      </c>
      <c r="H370" s="60" t="s">
        <v>2702</v>
      </c>
      <c r="I370" s="60" t="s">
        <v>2703</v>
      </c>
      <c r="J370" s="293" t="s">
        <v>2704</v>
      </c>
      <c r="K370" s="226" t="n">
        <v>650</v>
      </c>
      <c r="L370" s="221" t="n">
        <v>650</v>
      </c>
      <c r="M370" s="226" t="n">
        <v>650</v>
      </c>
      <c r="N370" s="252" t="n">
        <v>650</v>
      </c>
      <c r="O370" s="19"/>
      <c r="P370" s="19"/>
    </row>
    <row r="371" spans="1:16" ht="17.25" customHeight="1">
      <c r="A371">
        <f>ROW()-ROW($A$1)</f>
        <v>370</v>
      </c>
      <c r="B371" t="s">
        <v>22</v>
      </c>
      <c r="C371" t="n">
        <v>2</v>
      </c>
      <c r="D371" s="19" t="n">
        <v>619</v>
      </c>
      <c r="E371" s="19" t="str">
        <f aca="1">VLOOKUP(T_Aop[[#This Row],[Id]],T_Aop[],ID_Jezik+10,1)</f>
        <v>dio 650</v>
      </c>
      <c r="F371" t="str">
        <f aca="1">REPT("  ",T_Aop[[#This Row],[Aop nivo]])&amp;VLOOKUP(T_Aop[[#This Row],[Id]],T_Aop[],ID_Jezik+6,1)</f>
        <v>    Od toga: prihodi po osnovu subvencija na proizvode1 (subvencije koje se mogu prikazati po jedinici proizvoda, npr. vozna karta, brašno, hljeb, mlijeko i dr.)</v>
      </c>
      <c r="G371" s="222" t="s">
        <v>2705</v>
      </c>
      <c r="H371" s="60" t="s">
        <v>2706</v>
      </c>
      <c r="I371" s="60" t="s">
        <v>2707</v>
      </c>
      <c r="J371" s="26" t="s">
        <v>2708</v>
      </c>
      <c r="K371" s="226" t="s">
        <v>2709</v>
      </c>
      <c r="L371" s="221" t="s">
        <v>2710</v>
      </c>
      <c r="M371" s="226" t="s">
        <v>2711</v>
      </c>
      <c r="N371" s="64" t="s">
        <v>2712</v>
      </c>
      <c r="O371" s="19"/>
      <c r="P371" s="19" t="n">
        <v>1</v>
      </c>
    </row>
    <row r="372" spans="1:16">
      <c r="A372">
        <f>ROW()-ROW($A$1)</f>
        <v>371</v>
      </c>
      <c r="B372" t="s">
        <v>22</v>
      </c>
      <c r="C372" t="n">
        <v>2</v>
      </c>
      <c r="D372" s="19" t="n">
        <v>620</v>
      </c>
      <c r="E372" s="19" t="str">
        <f aca="1">VLOOKUP(T_Aop[[#This Row],[Id]],T_Aop[],ID_Jezik+10,1)</f>
        <v>dio 650</v>
      </c>
      <c r="F372" t="str">
        <f aca="1">REPT("  ",T_Aop[[#This Row],[Aop nivo]])&amp;VLOOKUP(T_Aop[[#This Row],[Id]],T_Aop[],ID_Jezik+6,1)</f>
        <v>    Od toga: prihodi po osnovu subvencija na proizvodnju2 (na zapošljavanje, platu, kamatnu stopu, za smanjenje zagađenja i dr.)</v>
      </c>
      <c r="G372" s="222" t="s">
        <v>2713</v>
      </c>
      <c r="H372" s="60" t="s">
        <v>2714</v>
      </c>
      <c r="I372" s="60" t="s">
        <v>2715</v>
      </c>
      <c r="J372" s="293" t="s">
        <v>2716</v>
      </c>
      <c r="K372" s="221" t="s">
        <v>2709</v>
      </c>
      <c r="L372" s="226" t="s">
        <v>2710</v>
      </c>
      <c r="M372" s="226" t="s">
        <v>2711</v>
      </c>
      <c r="N372" s="252" t="s">
        <v>2712</v>
      </c>
      <c r="O372" s="19"/>
      <c r="P372" s="19" t="n">
        <v>1</v>
      </c>
    </row>
    <row r="373" spans="1:16">
      <c r="A373">
        <f>ROW()-ROW($A$1)</f>
        <v>372</v>
      </c>
      <c r="B373" t="s">
        <v>22</v>
      </c>
      <c r="C373" t="n">
        <v>1</v>
      </c>
      <c r="D373" s="19" t="n">
        <v>621</v>
      </c>
      <c r="E373" s="19">
        <f aca="1">VLOOKUP(T_Aop[[#This Row],[Id]],T_Aop[],ID_Jezik+10,1)</f>
        <v>651</v>
      </c>
      <c r="F373" t="str">
        <f aca="1">REPT("  ",T_Aop[[#This Row],[Aop nivo]])&amp;VLOOKUP(T_Aop[[#This Row],[Id]],T_Aop[],ID_Jezik+6,1)</f>
        <v>  b) Prihod od zakupnina</v>
      </c>
      <c r="G373" s="222" t="s">
        <v>2717</v>
      </c>
      <c r="H373" s="60" t="s">
        <v>2718</v>
      </c>
      <c r="I373" s="60" t="s">
        <v>2719</v>
      </c>
      <c r="J373" s="26" t="s">
        <v>2720</v>
      </c>
      <c r="K373" s="221" t="n">
        <v>651</v>
      </c>
      <c r="L373" s="226" t="n">
        <v>651</v>
      </c>
      <c r="M373" s="226" t="n">
        <v>651</v>
      </c>
      <c r="N373" s="64" t="n">
        <v>651</v>
      </c>
      <c r="O373" s="19"/>
      <c r="P373" s="19"/>
    </row>
    <row r="374" spans="1:16">
      <c r="A374">
        <f>ROW()-ROW($A$1)</f>
        <v>373</v>
      </c>
      <c r="B374" t="s">
        <v>22</v>
      </c>
      <c r="C374" t="n">
        <v>1</v>
      </c>
      <c r="D374" s="19" t="n">
        <v>622</v>
      </c>
      <c r="E374" s="569">
        <f aca="1">VLOOKUP(T_Aop[[#This Row],[Id]],T_Aop[],ID_Jezik+10,1)</f>
        <v>652</v>
      </c>
      <c r="F374" t="str">
        <f aca="1">REPT("  ",T_Aop[[#This Row],[Aop nivo]])&amp;VLOOKUP(T_Aop[[#This Row],[Id]],T_Aop[],ID_Jezik+6,1)</f>
        <v>  v) Prihod od donacija</v>
      </c>
      <c r="G374" s="222" t="s">
        <v>2721</v>
      </c>
      <c r="H374" s="60" t="s">
        <v>2722</v>
      </c>
      <c r="I374" s="60" t="s">
        <v>2723</v>
      </c>
      <c r="J374" s="293" t="s">
        <v>2724</v>
      </c>
      <c r="K374" s="226" t="n">
        <v>652</v>
      </c>
      <c r="L374" s="221" t="n">
        <v>652</v>
      </c>
      <c r="M374" s="221" t="n">
        <v>652</v>
      </c>
      <c r="N374" s="252" t="n">
        <v>652</v>
      </c>
      <c r="O374" s="19"/>
      <c r="P374" s="19"/>
    </row>
    <row r="375" spans="1:16">
      <c r="A375">
        <f>ROW()-ROW($A$1)</f>
        <v>374</v>
      </c>
      <c r="B375" t="s">
        <v>22</v>
      </c>
      <c r="C375" t="n">
        <v>1</v>
      </c>
      <c r="D375" s="19" t="n">
        <v>623</v>
      </c>
      <c r="E375" s="569">
        <f aca="1">VLOOKUP(T_Aop[[#This Row],[Id]],T_Aop[],ID_Jezik+10,1)</f>
        <v>653</v>
      </c>
      <c r="F375" t="str">
        <f aca="1">REPT("  ",T_Aop[[#This Row],[Aop nivo]])&amp;VLOOKUP(T_Aop[[#This Row],[Id]],T_Aop[],ID_Jezik+6,1)</f>
        <v>  g) Prihod od članarina</v>
      </c>
      <c r="G375" s="222" t="s">
        <v>2725</v>
      </c>
      <c r="H375" s="60" t="s">
        <v>2726</v>
      </c>
      <c r="I375" s="60" t="s">
        <v>2727</v>
      </c>
      <c r="J375" s="26" t="s">
        <v>2728</v>
      </c>
      <c r="K375" s="226" t="n">
        <v>653</v>
      </c>
      <c r="L375" s="221" t="n">
        <v>653</v>
      </c>
      <c r="M375" s="221" t="n">
        <v>653</v>
      </c>
      <c r="N375" s="64" t="n">
        <v>653</v>
      </c>
      <c r="O375" s="19"/>
      <c r="P375" s="19"/>
    </row>
    <row r="376" spans="1:16">
      <c r="A376">
        <f>ROW()-ROW($A$1)</f>
        <v>375</v>
      </c>
      <c r="B376" t="s">
        <v>22</v>
      </c>
      <c r="C376" t="n">
        <v>1</v>
      </c>
      <c r="D376" s="19" t="n">
        <v>624</v>
      </c>
      <c r="E376" s="569">
        <f aca="1">VLOOKUP(T_Aop[[#This Row],[Id]],T_Aop[],ID_Jezik+10,1)</f>
        <v>654</v>
      </c>
      <c r="F376" t="str">
        <f aca="1">REPT("  ",T_Aop[[#This Row],[Aop nivo]])&amp;VLOOKUP(T_Aop[[#This Row],[Id]],T_Aop[],ID_Jezik+6,1)</f>
        <v>  d) Prihod od tantijema i licencnih prava</v>
      </c>
      <c r="G376" s="222" t="s">
        <v>2729</v>
      </c>
      <c r="H376" s="60" t="s">
        <v>2730</v>
      </c>
      <c r="I376" s="60" t="s">
        <v>2731</v>
      </c>
      <c r="J376" s="293" t="s">
        <v>2732</v>
      </c>
      <c r="K376" s="226" t="n">
        <v>654</v>
      </c>
      <c r="L376" s="221" t="n">
        <v>654</v>
      </c>
      <c r="M376" s="226" t="n">
        <v>654</v>
      </c>
      <c r="N376" s="252" t="n">
        <v>654</v>
      </c>
      <c r="O376" s="19"/>
      <c r="P376" s="19"/>
    </row>
    <row r="377" spans="1:16">
      <c r="A377">
        <f>ROW()-ROW($A$1)</f>
        <v>376</v>
      </c>
      <c r="B377" t="s">
        <v>22</v>
      </c>
      <c r="C377" t="n">
        <v>1</v>
      </c>
      <c r="D377" s="19" t="n">
        <v>625</v>
      </c>
      <c r="E377" s="569">
        <f aca="1">VLOOKUP(T_Aop[[#This Row],[Id]],T_Aop[],ID_Jezik+10,1)</f>
        <v>655</v>
      </c>
      <c r="F377" t="str">
        <f aca="1">REPT("  ",T_Aop[[#This Row],[Aop nivo]])&amp;VLOOKUP(T_Aop[[#This Row],[Id]],T_Aop[],ID_Jezik+6,1)</f>
        <v>  đ) Prihod iz namjenskih izvora finansiranja (iz budžeta, fondova i dr.)</v>
      </c>
      <c r="G377" s="222" t="s">
        <v>2733</v>
      </c>
      <c r="H377" s="60" t="s">
        <v>2734</v>
      </c>
      <c r="I377" s="60" t="s">
        <v>2735</v>
      </c>
      <c r="J377" s="26" t="s">
        <v>2736</v>
      </c>
      <c r="K377" s="226" t="n">
        <v>655</v>
      </c>
      <c r="L377" s="226" t="n">
        <v>655</v>
      </c>
      <c r="M377" s="226" t="n">
        <v>655</v>
      </c>
      <c r="N377" s="64" t="n">
        <v>655</v>
      </c>
      <c r="O377" s="19"/>
      <c r="P377" s="19"/>
    </row>
    <row r="378" spans="1:16">
      <c r="A378">
        <f>ROW()-ROW($A$1)</f>
        <v>377</v>
      </c>
      <c r="B378" t="s">
        <v>22</v>
      </c>
      <c r="C378" t="n">
        <v>1</v>
      </c>
      <c r="D378" s="19" t="n">
        <v>626</v>
      </c>
      <c r="E378" s="19" t="str">
        <f aca="1">VLOOKUP(T_Aop[[#This Row],[Id]],T_Aop[],ID_Jezik+10,1)</f>
        <v>656</v>
      </c>
      <c r="F378" t="str">
        <f aca="1">REPT("  ",T_Aop[[#This Row],[Aop nivo]])&amp;VLOOKUP(T_Aop[[#This Row],[Id]],T_Aop[],ID_Jezik+6,1)</f>
        <v>  e) Prihodi od dividendi</v>
      </c>
      <c r="G378" s="395" t="s">
        <v>2737</v>
      </c>
      <c r="H378" s="232" t="s">
        <v>2738</v>
      </c>
      <c r="I378" s="402" t="s">
        <v>2739</v>
      </c>
      <c r="J378" s="403" t="s">
        <v>2740</v>
      </c>
      <c r="K378" s="224" t="s">
        <v>2741</v>
      </c>
      <c r="L378" s="224" t="s">
        <v>2741</v>
      </c>
      <c r="M378" s="224" t="s">
        <v>2741</v>
      </c>
      <c r="N378" s="224" t="s">
        <v>2741</v>
      </c>
      <c r="O378" s="19"/>
      <c r="P378" s="19"/>
    </row>
    <row r="379" spans="1:16">
      <c r="A379">
        <f>ROW()-ROW($A$1)</f>
        <v>378</v>
      </c>
      <c r="B379" t="s">
        <v>22</v>
      </c>
      <c r="C379" t="n">
        <v>1</v>
      </c>
      <c r="D379" s="19" t="n">
        <v>627</v>
      </c>
      <c r="E379" s="19" t="str">
        <f aca="1">VLOOKUP(T_Aop[[#This Row],[Id]],T_Aop[],ID_Jezik+10,1)</f>
        <v>657</v>
      </c>
      <c r="F379" t="str">
        <f aca="1">REPT("  ",T_Aop[[#This Row],[Aop nivo]])&amp;VLOOKUP(T_Aop[[#This Row],[Id]],T_Aop[],ID_Jezik+6,1)</f>
        <v>  ž) Prihodi od aktiviranja ili potrošnje robe, gotovih proizvoda ili usluga</v>
      </c>
      <c r="G379" s="395" t="s">
        <v>2742</v>
      </c>
      <c r="H379" s="232" t="s">
        <v>2743</v>
      </c>
      <c r="I379" s="402" t="s">
        <v>2744</v>
      </c>
      <c r="J379" s="403" t="s">
        <v>2745</v>
      </c>
      <c r="K379" s="224" t="s">
        <v>2746</v>
      </c>
      <c r="L379" s="224" t="s">
        <v>2746</v>
      </c>
      <c r="M379" s="224" t="s">
        <v>2746</v>
      </c>
      <c r="N379" s="224" t="s">
        <v>2746</v>
      </c>
      <c r="O379" s="19"/>
      <c r="P379" s="19"/>
    </row>
    <row r="380" spans="1:16">
      <c r="A380">
        <f>ROW()-ROW($A$1)</f>
        <v>379</v>
      </c>
      <c r="B380" t="s">
        <v>22</v>
      </c>
      <c r="C380" t="n">
        <v>1</v>
      </c>
      <c r="D380" s="19" t="n">
        <v>628</v>
      </c>
      <c r="E380" s="569">
        <f aca="1">VLOOKUP(T_Aop[[#This Row],[Id]],T_Aop[],ID_Jezik+10,1)</f>
        <v>659</v>
      </c>
      <c r="F380" t="str">
        <f aca="1">REPT("  ",T_Aop[[#This Row],[Aop nivo]])&amp;VLOOKUP(T_Aop[[#This Row],[Id]],T_Aop[],ID_Jezik+6,1)</f>
        <v>  z) Ostali poslovni prihodi po drugim osnovima</v>
      </c>
      <c r="G380" s="222" t="s">
        <v>2747</v>
      </c>
      <c r="H380" s="60" t="s">
        <v>2748</v>
      </c>
      <c r="I380" s="60" t="s">
        <v>2749</v>
      </c>
      <c r="J380" s="293" t="s">
        <v>2750</v>
      </c>
      <c r="K380" s="226" t="n">
        <v>659</v>
      </c>
      <c r="L380" s="226" t="n">
        <v>659</v>
      </c>
      <c r="M380" s="226" t="n">
        <v>659</v>
      </c>
      <c r="N380" s="252" t="n">
        <v>659</v>
      </c>
      <c r="O380" s="19"/>
      <c r="P380" s="19"/>
    </row>
    <row r="381" spans="1:16">
      <c r="A381">
        <f>ROW()-ROW($A$1)</f>
        <v>380</v>
      </c>
      <c r="B381" t="s">
        <v>22</v>
      </c>
      <c r="C381" t="n">
        <v>0</v>
      </c>
      <c r="D381" s="19" t="n">
        <v>629</v>
      </c>
      <c r="E381" s="19" t="str">
        <f aca="1">VLOOKUP(T_Aop[[#This Row],[Id]],T_Aop[],ID_Jezik+10,1)</f>
        <v>66 + 67</v>
      </c>
      <c r="F381" t="str">
        <f aca="1">REPT("  ",T_Aop[[#This Row],[Aop nivo]])&amp;VLOOKUP(T_Aop[[#This Row],[Id]],T_Aop[],ID_Jezik+6,1)</f>
        <v>FINANSIJSKI I OSTALI PRIHODI</v>
      </c>
      <c r="G381" s="222" t="s">
        <v>2751</v>
      </c>
      <c r="H381" s="60" t="s">
        <v>2752</v>
      </c>
      <c r="I381" s="60" t="s">
        <v>2753</v>
      </c>
      <c r="J381" s="295" t="s">
        <v>2754</v>
      </c>
      <c r="K381" s="226" t="s">
        <v>2755</v>
      </c>
      <c r="L381" s="221" t="s">
        <v>2755</v>
      </c>
      <c r="M381" s="226" t="s">
        <v>2755</v>
      </c>
      <c r="N381" s="132" t="s">
        <v>2755</v>
      </c>
      <c r="O381" s="19" t="n">
        <v>1</v>
      </c>
      <c r="P381" s="19"/>
    </row>
    <row r="382" spans="1:16">
      <c r="A382">
        <f>ROW()-ROW($A$1)</f>
        <v>381</v>
      </c>
      <c r="B382" t="s">
        <v>22</v>
      </c>
      <c r="C382" t="n">
        <v>2</v>
      </c>
      <c r="D382" s="19" t="n">
        <v>630</v>
      </c>
      <c r="E382" s="19" t="str">
        <f aca="1">VLOOKUP(T_Aop[[#This Row],[Id]],T_Aop[],ID_Jezik+10,1)</f>
        <v>dio 670</v>
      </c>
      <c r="F382" t="str">
        <f aca="1">REPT("  ",T_Aop[[#This Row],[Aop nivo]])&amp;VLOOKUP(T_Aop[[#This Row],[Id]],T_Aop[],ID_Jezik+6,1)</f>
        <v>    Od toga: dobici po osnovu prodaje nekretnina, postrojenja i opreme </v>
      </c>
      <c r="G382" s="395" t="s">
        <v>2756</v>
      </c>
      <c r="H382" s="232" t="s">
        <v>2757</v>
      </c>
      <c r="I382" s="402" t="s">
        <v>2758</v>
      </c>
      <c r="J382" s="403" t="s">
        <v>2759</v>
      </c>
      <c r="K382" s="392" t="s">
        <v>2760</v>
      </c>
      <c r="L382" s="392" t="s">
        <v>2761</v>
      </c>
      <c r="M382" s="392" t="s">
        <v>2762</v>
      </c>
      <c r="N382" s="394" t="s">
        <v>2763</v>
      </c>
      <c r="O382" s="19"/>
      <c r="P382" s="19"/>
    </row>
    <row r="383" spans="1:16">
      <c r="A383">
        <f>ROW()-ROW($A$1)</f>
        <v>382</v>
      </c>
      <c r="B383" t="s">
        <v>22</v>
      </c>
      <c r="C383" t="n">
        <v>1</v>
      </c>
      <c r="D383" s="19" t="n">
        <v>631</v>
      </c>
      <c r="E383" s="19" t="str">
        <f aca="1">VLOOKUP(T_Aop[[#This Row],[Id]],T_Aop[],ID_Jezik+10,1)</f>
        <v>678</v>
      </c>
      <c r="F383" t="str">
        <f aca="1">REPT("  ",T_Aop[[#This Row],[Aop nivo]])&amp;VLOOKUP(T_Aop[[#This Row],[Id]],T_Aop[],ID_Jezik+6,1)</f>
        <v>  Dobici od derivatnih finansijskih instrumenata</v>
      </c>
      <c r="G383" s="395" t="s">
        <v>2764</v>
      </c>
      <c r="H383" s="232" t="s">
        <v>2765</v>
      </c>
      <c r="I383" s="402" t="s">
        <v>2766</v>
      </c>
      <c r="J383" s="403" t="s">
        <v>2767</v>
      </c>
      <c r="K383" s="392" t="s">
        <v>2768</v>
      </c>
      <c r="L383" s="392" t="s">
        <v>2768</v>
      </c>
      <c r="M383" s="392" t="s">
        <v>2768</v>
      </c>
      <c r="N383" s="394" t="n">
        <v>678</v>
      </c>
      <c r="O383" s="19"/>
      <c r="P383" s="19"/>
    </row>
    <row r="384" spans="1:16">
      <c r="A384">
        <f>ROW()-ROW($A$1)</f>
        <v>383</v>
      </c>
      <c r="B384" t="s">
        <v>22</v>
      </c>
      <c r="C384" t="n">
        <v>0</v>
      </c>
      <c r="D384" s="19" t="n">
        <v>632</v>
      </c>
      <c r="E384" s="569">
        <f aca="1">VLOOKUP(T_Aop[[#This Row],[Id]],T_Aop[],ID_Jezik+10,1)</f>
        <v>52</v>
      </c>
      <c r="F384" t="str">
        <f aca="1">REPT("  ",T_Aop[[#This Row],[Aop nivo]])&amp;VLOOKUP(T_Aop[[#This Row],[Id]],T_Aop[],ID_Jezik+6,1)</f>
        <v>TROŠKOVI PLATA, NAKNADA PLATA I OSTALIH LIČNIH PRIMANJA</v>
      </c>
      <c r="G384" s="400" t="s">
        <v>2769</v>
      </c>
      <c r="H384" s="401" t="s">
        <v>2770</v>
      </c>
      <c r="I384" s="404" t="s">
        <v>2771</v>
      </c>
      <c r="J384" s="405" t="s">
        <v>2772</v>
      </c>
      <c r="K384" s="226" t="n">
        <v>52</v>
      </c>
      <c r="L384" s="221" t="n">
        <v>52</v>
      </c>
      <c r="M384" s="226" t="n">
        <v>52</v>
      </c>
      <c r="N384" s="132" t="n">
        <v>52</v>
      </c>
      <c r="O384" s="19" t="n">
        <v>1</v>
      </c>
      <c r="P384" s="19"/>
    </row>
    <row r="385" spans="1:16">
      <c r="A385">
        <f>ROW()-ROW($A$1)</f>
        <v>384</v>
      </c>
      <c r="B385" t="s">
        <v>22</v>
      </c>
      <c r="C385" t="n">
        <v>1</v>
      </c>
      <c r="D385" s="19" t="n">
        <v>633</v>
      </c>
      <c r="E385" s="19" t="str">
        <f aca="1">VLOOKUP(T_Aop[[#This Row],[Id]],T_Aop[],ID_Jezik+10,1)</f>
        <v>522 + 523</v>
      </c>
      <c r="F385" t="str">
        <f aca="1">REPT("  ",T_Aop[[#This Row],[Aop nivo]])&amp;VLOOKUP(T_Aop[[#This Row],[Id]],T_Aop[],ID_Jezik+6,1)</f>
        <v>  Troškovi bruto naknada članovima upravnog, nadzornog, odbora za reviziju i dr.</v>
      </c>
      <c r="G385" s="222" t="s">
        <v>2773</v>
      </c>
      <c r="H385" s="60" t="s">
        <v>2774</v>
      </c>
      <c r="I385" s="60" t="s">
        <v>2775</v>
      </c>
      <c r="J385" s="293" t="s">
        <v>2776</v>
      </c>
      <c r="K385" s="226" t="s">
        <v>2777</v>
      </c>
      <c r="L385" s="221" t="s">
        <v>2777</v>
      </c>
      <c r="M385" s="226" t="s">
        <v>2777</v>
      </c>
      <c r="N385" s="64" t="s">
        <v>2778</v>
      </c>
      <c r="O385" s="19"/>
      <c r="P385" s="19"/>
    </row>
    <row r="386" spans="1:16">
      <c r="A386">
        <f>ROW()-ROW($A$1)</f>
        <v>385</v>
      </c>
      <c r="B386" t="s">
        <v>22</v>
      </c>
      <c r="C386" t="n">
        <v>1</v>
      </c>
      <c r="D386" s="19" t="n">
        <v>634</v>
      </c>
      <c r="E386" s="569">
        <f aca="1">VLOOKUP(T_Aop[[#This Row],[Id]],T_Aop[],ID_Jezik+10,1)</f>
        <v>525</v>
      </c>
      <c r="F386" t="str">
        <f aca="1">REPT("  ",T_Aop[[#This Row],[Aop nivo]])&amp;VLOOKUP(T_Aop[[#This Row],[Id]],T_Aop[],ID_Jezik+6,1)</f>
        <v>  Troškovi zaposlenih na službenom putu</v>
      </c>
      <c r="G386" s="222" t="s">
        <v>2779</v>
      </c>
      <c r="H386" s="60" t="s">
        <v>2780</v>
      </c>
      <c r="I386" s="60" t="s">
        <v>2781</v>
      </c>
      <c r="J386" s="293" t="s">
        <v>2782</v>
      </c>
      <c r="K386" s="226" t="n">
        <v>525</v>
      </c>
      <c r="L386" s="221" t="n">
        <v>525</v>
      </c>
      <c r="M386" s="226" t="n">
        <v>525</v>
      </c>
      <c r="N386" s="252" t="n">
        <v>525</v>
      </c>
      <c r="O386" s="19"/>
      <c r="P386" s="19"/>
    </row>
    <row r="387" spans="1:16">
      <c r="A387">
        <f>ROW()-ROW($A$1)</f>
        <v>386</v>
      </c>
      <c r="B387" t="s">
        <v>22</v>
      </c>
      <c r="C387" t="n">
        <v>2</v>
      </c>
      <c r="D387" s="19" t="n">
        <v>635</v>
      </c>
      <c r="E387" s="19" t="str">
        <f aca="1">VLOOKUP(T_Aop[[#This Row],[Id]],T_Aop[],ID_Jezik+10,1)</f>
        <v>dio 525</v>
      </c>
      <c r="F387" t="str">
        <f aca="1">REPT("  ",T_Aop[[#This Row],[Aop nivo]])&amp;VLOOKUP(T_Aop[[#This Row],[Id]],T_Aop[],ID_Jezik+6,1)</f>
        <v>    Od toga: dnevnice</v>
      </c>
      <c r="G387" s="222" t="s">
        <v>2783</v>
      </c>
      <c r="H387" s="60" t="s">
        <v>2784</v>
      </c>
      <c r="I387" s="60" t="s">
        <v>2785</v>
      </c>
      <c r="J387" s="26" t="s">
        <v>2786</v>
      </c>
      <c r="K387" s="226" t="s">
        <v>2787</v>
      </c>
      <c r="L387" s="226" t="s">
        <v>2788</v>
      </c>
      <c r="M387" s="226" t="s">
        <v>2789</v>
      </c>
      <c r="N387" s="64" t="s">
        <v>2790</v>
      </c>
      <c r="O387" s="19"/>
      <c r="P387" s="19"/>
    </row>
    <row r="388" spans="1:16">
      <c r="A388">
        <f>ROW()-ROW($A$1)</f>
        <v>387</v>
      </c>
      <c r="B388" t="s">
        <v>22</v>
      </c>
      <c r="C388" t="n">
        <v>0</v>
      </c>
      <c r="D388" s="19" t="n">
        <v>636</v>
      </c>
      <c r="E388" s="569">
        <f aca="1">VLOOKUP(T_Aop[[#This Row],[Id]],T_Aop[],ID_Jezik+10,1)</f>
        <v>53</v>
      </c>
      <c r="F388" t="str">
        <f aca="1">REPT("  ",T_Aop[[#This Row],[Aop nivo]])&amp;VLOOKUP(T_Aop[[#This Row],[Id]],T_Aop[],ID_Jezik+6,1)</f>
        <v>TROŠKOVI PROIZVODNIH USLUGA (637 + 638 + 639 + 640 + 641 + 642 + 643 + 644)</v>
      </c>
      <c r="G388" s="400" t="s">
        <v>2791</v>
      </c>
      <c r="H388" s="401" t="s">
        <v>2792</v>
      </c>
      <c r="I388" s="404" t="s">
        <v>2793</v>
      </c>
      <c r="J388" s="405" t="s">
        <v>2794</v>
      </c>
      <c r="K388" s="226" t="n">
        <v>53</v>
      </c>
      <c r="L388" s="221" t="n">
        <v>53</v>
      </c>
      <c r="M388" s="226" t="n">
        <v>53</v>
      </c>
      <c r="N388" s="253" t="n">
        <v>53</v>
      </c>
      <c r="O388" s="19" t="n">
        <v>1</v>
      </c>
      <c r="P388" s="19"/>
    </row>
    <row r="389" spans="1:16">
      <c r="A389">
        <f>ROW()-ROW($A$1)</f>
        <v>388</v>
      </c>
      <c r="B389" t="s">
        <v>22</v>
      </c>
      <c r="C389" t="n">
        <v>1</v>
      </c>
      <c r="D389" s="19" t="n">
        <v>637</v>
      </c>
      <c r="E389" s="569">
        <f aca="1">VLOOKUP(T_Aop[[#This Row],[Id]],T_Aop[],ID_Jezik+10,1)</f>
        <v>530</v>
      </c>
      <c r="F389" t="str">
        <f aca="1">REPT("  ",T_Aop[[#This Row],[Aop nivo]])&amp;VLOOKUP(T_Aop[[#This Row],[Id]],T_Aop[],ID_Jezik+6,1)</f>
        <v>  a) Troškovi usluga na izradi učinaka</v>
      </c>
      <c r="G389" s="222" t="s">
        <v>2795</v>
      </c>
      <c r="H389" s="60" t="s">
        <v>2796</v>
      </c>
      <c r="I389" s="60" t="s">
        <v>2797</v>
      </c>
      <c r="J389" s="26" t="s">
        <v>2798</v>
      </c>
      <c r="K389" s="226" t="n">
        <v>530</v>
      </c>
      <c r="L389" s="221" t="n">
        <v>530</v>
      </c>
      <c r="M389" s="226" t="n">
        <v>530</v>
      </c>
      <c r="N389" s="64" t="n">
        <v>530</v>
      </c>
      <c r="O389" s="19"/>
      <c r="P389" s="19"/>
    </row>
    <row r="390" spans="1:16">
      <c r="A390">
        <f>ROW()-ROW($A$1)</f>
        <v>389</v>
      </c>
      <c r="B390" t="s">
        <v>22</v>
      </c>
      <c r="C390" t="n">
        <v>1</v>
      </c>
      <c r="D390" s="19" t="n">
        <v>638</v>
      </c>
      <c r="E390" s="569">
        <f aca="1">VLOOKUP(T_Aop[[#This Row],[Id]],T_Aop[],ID_Jezik+10,1)</f>
        <v>531</v>
      </c>
      <c r="F390" t="str">
        <f aca="1">REPT("  ",T_Aop[[#This Row],[Aop nivo]])&amp;VLOOKUP(T_Aop[[#This Row],[Id]],T_Aop[],ID_Jezik+6,1)</f>
        <v>  b) Troškovi transportnih usluga</v>
      </c>
      <c r="G390" s="222" t="s">
        <v>2799</v>
      </c>
      <c r="H390" s="60" t="s">
        <v>2800</v>
      </c>
      <c r="I390" s="60" t="s">
        <v>2801</v>
      </c>
      <c r="J390" s="293" t="s">
        <v>2802</v>
      </c>
      <c r="K390" s="226" t="n">
        <v>531</v>
      </c>
      <c r="L390" s="221" t="n">
        <v>531</v>
      </c>
      <c r="M390" s="226" t="n">
        <v>531</v>
      </c>
      <c r="N390" s="252" t="n">
        <v>531</v>
      </c>
      <c r="O390" s="19"/>
      <c r="P390" s="19"/>
    </row>
    <row r="391" spans="1:16">
      <c r="A391">
        <f>ROW()-ROW($A$1)</f>
        <v>390</v>
      </c>
      <c r="B391" t="s">
        <v>22</v>
      </c>
      <c r="C391" t="n">
        <v>1</v>
      </c>
      <c r="D391" s="19" t="n">
        <v>639</v>
      </c>
      <c r="E391" s="19" t="str">
        <f aca="1">VLOOKUP(T_Aop[[#This Row],[Id]],T_Aop[],ID_Jezik+10,1)</f>
        <v>dio 532</v>
      </c>
      <c r="F391" t="str">
        <f aca="1">REPT("  ",T_Aop[[#This Row],[Aop nivo]])&amp;VLOOKUP(T_Aop[[#This Row],[Id]],T_Aop[],ID_Jezik+6,1)</f>
        <v>  v) Troškovi za usluge tekućeg održavanja osnovnih sredstava</v>
      </c>
      <c r="G391" s="222" t="s">
        <v>2803</v>
      </c>
      <c r="H391" s="60" t="s">
        <v>2804</v>
      </c>
      <c r="I391" s="60" t="s">
        <v>2805</v>
      </c>
      <c r="J391" s="26" t="s">
        <v>2806</v>
      </c>
      <c r="K391" s="226" t="s">
        <v>2807</v>
      </c>
      <c r="L391" s="221" t="s">
        <v>2808</v>
      </c>
      <c r="M391" s="226" t="s">
        <v>2809</v>
      </c>
      <c r="N391" s="254" t="s">
        <v>2810</v>
      </c>
      <c r="O391" s="19"/>
      <c r="P391" s="19"/>
    </row>
    <row r="392" spans="1:16">
      <c r="A392">
        <f>ROW()-ROW($A$1)</f>
        <v>391</v>
      </c>
      <c r="B392" t="s">
        <v>22</v>
      </c>
      <c r="C392" t="n">
        <v>1</v>
      </c>
      <c r="D392" s="19" t="n">
        <v>640</v>
      </c>
      <c r="E392" s="19" t="str">
        <f aca="1">VLOOKUP(T_Aop[[#This Row],[Id]],T_Aop[],ID_Jezik+10,1)</f>
        <v>dio 532</v>
      </c>
      <c r="F392" t="str">
        <f aca="1">REPT("  ",T_Aop[[#This Row],[Aop nivo]])&amp;VLOOKUP(T_Aop[[#This Row],[Id]],T_Aop[],ID_Jezik+6,1)</f>
        <v>  g) Troškovi za usluge investicionog održavanja osnovnih sredstava</v>
      </c>
      <c r="G392" s="222" t="s">
        <v>2811</v>
      </c>
      <c r="H392" s="60" t="s">
        <v>2812</v>
      </c>
      <c r="I392" s="60" t="s">
        <v>2813</v>
      </c>
      <c r="J392" s="293" t="s">
        <v>2814</v>
      </c>
      <c r="K392" s="226" t="s">
        <v>2807</v>
      </c>
      <c r="L392" s="226" t="s">
        <v>2808</v>
      </c>
      <c r="M392" s="226" t="s">
        <v>2809</v>
      </c>
      <c r="N392" s="252" t="s">
        <v>2810</v>
      </c>
      <c r="O392" s="19"/>
      <c r="P392" s="19"/>
    </row>
    <row r="393" spans="1:16">
      <c r="A393">
        <f>ROW()-ROW($A$1)</f>
        <v>392</v>
      </c>
      <c r="B393" t="s">
        <v>22</v>
      </c>
      <c r="C393" t="n">
        <v>1</v>
      </c>
      <c r="D393" s="19" t="n">
        <v>641</v>
      </c>
      <c r="E393" s="569">
        <f aca="1">VLOOKUP(T_Aop[[#This Row],[Id]],T_Aop[],ID_Jezik+10,1)</f>
        <v>533</v>
      </c>
      <c r="F393" t="str">
        <f aca="1">REPT("  ",T_Aop[[#This Row],[Aop nivo]])&amp;VLOOKUP(T_Aop[[#This Row],[Id]],T_Aop[],ID_Jezik+6,1)</f>
        <v>  d) Troškovi zakupa</v>
      </c>
      <c r="G393" s="222" t="s">
        <v>2815</v>
      </c>
      <c r="H393" s="60" t="s">
        <v>2816</v>
      </c>
      <c r="I393" s="60" t="s">
        <v>2817</v>
      </c>
      <c r="J393" s="296" t="s">
        <v>2818</v>
      </c>
      <c r="K393" s="226" t="n">
        <v>533</v>
      </c>
      <c r="L393" s="226" t="n">
        <v>533</v>
      </c>
      <c r="M393" s="226" t="n">
        <v>533</v>
      </c>
      <c r="N393" s="254" t="n">
        <v>533</v>
      </c>
      <c r="O393" s="19"/>
      <c r="P393" s="19"/>
    </row>
    <row r="394" spans="1:16">
      <c r="A394">
        <f>ROW()-ROW($A$1)</f>
        <v>393</v>
      </c>
      <c r="B394" t="s">
        <v>22</v>
      </c>
      <c r="C394" t="n">
        <v>1</v>
      </c>
      <c r="D394" s="19" t="n">
        <v>642</v>
      </c>
      <c r="E394" s="19" t="str">
        <f aca="1">VLOOKUP(T_Aop[[#This Row],[Id]],T_Aop[],ID_Jezik+10,1)</f>
        <v>534 + 535</v>
      </c>
      <c r="F394" t="str">
        <f aca="1">REPT("  ",T_Aop[[#This Row],[Aop nivo]])&amp;VLOOKUP(T_Aop[[#This Row],[Id]],T_Aop[],ID_Jezik+6,1)</f>
        <v>  đ) Troškovi sajmova, reklame i propagande</v>
      </c>
      <c r="G394" s="222" t="s">
        <v>2819</v>
      </c>
      <c r="H394" s="60" t="s">
        <v>2820</v>
      </c>
      <c r="I394" s="60" t="s">
        <v>2821</v>
      </c>
      <c r="J394" s="293" t="s">
        <v>2822</v>
      </c>
      <c r="K394" s="226" t="s">
        <v>2823</v>
      </c>
      <c r="L394" s="221" t="s">
        <v>2823</v>
      </c>
      <c r="M394" s="226" t="s">
        <v>2823</v>
      </c>
      <c r="N394" s="252" t="s">
        <v>2824</v>
      </c>
      <c r="O394" s="19"/>
      <c r="P394" s="19"/>
    </row>
    <row r="395" spans="1:16">
      <c r="A395">
        <f>ROW()-ROW($A$1)</f>
        <v>394</v>
      </c>
      <c r="B395" t="s">
        <v>22</v>
      </c>
      <c r="C395" t="n">
        <v>1</v>
      </c>
      <c r="D395" s="19" t="n">
        <v>643</v>
      </c>
      <c r="E395" s="19" t="str">
        <f aca="1">VLOOKUP(T_Aop[[#This Row],[Id]],T_Aop[],ID_Jezik+10,1)</f>
        <v>536 + 537</v>
      </c>
      <c r="F395" t="str">
        <f aca="1">REPT("  ",T_Aop[[#This Row],[Aop nivo]])&amp;VLOOKUP(T_Aop[[#This Row],[Id]],T_Aop[],ID_Jezik+6,1)</f>
        <v>  e) Troškovi istraživanja i razvoja koji se ne kapitalizuju</v>
      </c>
      <c r="G395" s="222" t="s">
        <v>2825</v>
      </c>
      <c r="H395" s="60" t="s">
        <v>2826</v>
      </c>
      <c r="I395" s="60" t="s">
        <v>2827</v>
      </c>
      <c r="J395" s="26" t="s">
        <v>2828</v>
      </c>
      <c r="K395" s="226" t="s">
        <v>2829</v>
      </c>
      <c r="L395" s="226" t="s">
        <v>2829</v>
      </c>
      <c r="M395" s="226" t="s">
        <v>2829</v>
      </c>
      <c r="N395" s="64" t="s">
        <v>2830</v>
      </c>
      <c r="O395" s="19"/>
      <c r="P395" s="19"/>
    </row>
    <row r="396" spans="1:16">
      <c r="A396">
        <f>ROW()-ROW($A$1)</f>
        <v>395</v>
      </c>
      <c r="B396" t="s">
        <v>22</v>
      </c>
      <c r="C396" t="n">
        <v>1</v>
      </c>
      <c r="D396" s="19" t="n">
        <v>644</v>
      </c>
      <c r="E396" s="569">
        <f aca="1">VLOOKUP(T_Aop[[#This Row],[Id]],T_Aop[],ID_Jezik+10,1)</f>
        <v>539</v>
      </c>
      <c r="F396" t="str">
        <f aca="1">REPT("  ",T_Aop[[#This Row],[Aop nivo]])&amp;VLOOKUP(T_Aop[[#This Row],[Id]],T_Aop[],ID_Jezik+6,1)</f>
        <v>  ž) Troškovi ostalih usluga</v>
      </c>
      <c r="G396" s="222" t="s">
        <v>2831</v>
      </c>
      <c r="H396" s="60" t="s">
        <v>2832</v>
      </c>
      <c r="I396" s="60" t="s">
        <v>2833</v>
      </c>
      <c r="J396" s="293" t="s">
        <v>2834</v>
      </c>
      <c r="K396" s="226" t="n">
        <v>539</v>
      </c>
      <c r="L396" s="226" t="n">
        <v>539</v>
      </c>
      <c r="M396" s="226" t="n">
        <v>539</v>
      </c>
      <c r="N396" s="252" t="n">
        <v>539</v>
      </c>
      <c r="O396" s="19"/>
      <c r="P396" s="19"/>
    </row>
    <row r="397" spans="1:16">
      <c r="A397">
        <f>ROW()-ROW($A$1)</f>
        <v>396</v>
      </c>
      <c r="B397" t="s">
        <v>22</v>
      </c>
      <c r="C397" t="n">
        <v>2</v>
      </c>
      <c r="D397" s="19" t="n">
        <v>645</v>
      </c>
      <c r="E397" s="19" t="str">
        <f aca="1">VLOOKUP(T_Aop[[#This Row],[Id]],T_Aop[],ID_Jezik+10,1)</f>
        <v>dio 539</v>
      </c>
      <c r="F397" t="str">
        <f aca="1">REPT("  ",T_Aop[[#This Row],[Aop nivo]])&amp;VLOOKUP(T_Aop[[#This Row],[Id]],T_Aop[],ID_Jezik+6,1)</f>
        <v>    Od toga: bruto iznosi naknada po ugovorima sa fizičkim licima van radnog odnosa</v>
      </c>
      <c r="G397" s="222" t="s">
        <v>2835</v>
      </c>
      <c r="H397" s="60" t="s">
        <v>2836</v>
      </c>
      <c r="I397" s="60" t="s">
        <v>2837</v>
      </c>
      <c r="J397" s="26" t="s">
        <v>2838</v>
      </c>
      <c r="K397" s="226" t="s">
        <v>2839</v>
      </c>
      <c r="L397" s="226" t="s">
        <v>2840</v>
      </c>
      <c r="M397" s="226" t="s">
        <v>2841</v>
      </c>
      <c r="N397" s="64" t="s">
        <v>2842</v>
      </c>
      <c r="O397" s="19"/>
      <c r="P397" s="19"/>
    </row>
    <row r="398" spans="1:16">
      <c r="A398">
        <f>ROW()-ROW($A$1)</f>
        <v>397</v>
      </c>
      <c r="B398" t="s">
        <v>22</v>
      </c>
      <c r="C398" t="n">
        <v>0</v>
      </c>
      <c r="D398" s="19" t="n">
        <v>646</v>
      </c>
      <c r="E398" s="569">
        <f aca="1">VLOOKUP(T_Aop[[#This Row],[Id]],T_Aop[],ID_Jezik+10,1)</f>
        <v>55</v>
      </c>
      <c r="F398" t="str">
        <f aca="1">REPT("  ",T_Aop[[#This Row],[Aop nivo]])&amp;VLOOKUP(T_Aop[[#This Row],[Id]],T_Aop[],ID_Jezik+6,1)</f>
        <v>NEMATERIJALNI TROŠKOVI (647 + 650 + 651 + 652 + 653 + 654 + 655 + 656)</v>
      </c>
      <c r="G398" s="400" t="s">
        <v>2843</v>
      </c>
      <c r="H398" s="401" t="s">
        <v>2844</v>
      </c>
      <c r="I398" s="401" t="s">
        <v>2845</v>
      </c>
      <c r="J398" s="396" t="s">
        <v>2846</v>
      </c>
      <c r="K398" s="226" t="n">
        <v>55</v>
      </c>
      <c r="L398" s="221" t="n">
        <v>55</v>
      </c>
      <c r="M398" s="226" t="n">
        <v>55</v>
      </c>
      <c r="N398" s="253" t="n">
        <v>55</v>
      </c>
      <c r="O398" s="19" t="n">
        <v>1</v>
      </c>
      <c r="P398" s="19"/>
    </row>
    <row r="399" spans="1:16">
      <c r="A399">
        <f>ROW()-ROW($A$1)</f>
        <v>398</v>
      </c>
      <c r="B399" t="s">
        <v>22</v>
      </c>
      <c r="C399" t="n">
        <v>1</v>
      </c>
      <c r="D399" s="19" t="n">
        <v>647</v>
      </c>
      <c r="E399" s="569">
        <f aca="1">VLOOKUP(T_Aop[[#This Row],[Id]],T_Aop[],ID_Jezik+10,1)</f>
        <v>550</v>
      </c>
      <c r="F399" t="str">
        <f aca="1">REPT("  ",T_Aop[[#This Row],[Aop nivo]])&amp;VLOOKUP(T_Aop[[#This Row],[Id]],T_Aop[],ID_Jezik+6,1)</f>
        <v>  a) Troškovi ostalih usluga</v>
      </c>
      <c r="G399" s="395" t="s">
        <v>2847</v>
      </c>
      <c r="H399" s="232" t="s">
        <v>2848</v>
      </c>
      <c r="I399" s="402" t="s">
        <v>2849</v>
      </c>
      <c r="J399" s="403" t="s">
        <v>2850</v>
      </c>
      <c r="K399" s="226" t="n">
        <v>550</v>
      </c>
      <c r="L399" s="221" t="n">
        <v>550</v>
      </c>
      <c r="M399" s="226" t="n">
        <v>550</v>
      </c>
      <c r="N399" s="64" t="n">
        <v>550</v>
      </c>
      <c r="O399" s="19"/>
      <c r="P399" s="19"/>
    </row>
    <row r="400" spans="1:16">
      <c r="A400">
        <f>ROW()-ROW($A$1)</f>
        <v>399</v>
      </c>
      <c r="B400" t="s">
        <v>22</v>
      </c>
      <c r="C400" t="n">
        <v>2</v>
      </c>
      <c r="D400" s="19" t="n">
        <v>648</v>
      </c>
      <c r="E400" s="19" t="str">
        <f aca="1">VLOOKUP(T_Aop[[#This Row],[Id]],T_Aop[],ID_Jezik+10,1)</f>
        <v>dio 550</v>
      </c>
      <c r="F400" t="str">
        <f aca="1">REPT("  ",T_Aop[[#This Row],[Aop nivo]])&amp;VLOOKUP(T_Aop[[#This Row],[Id]],T_Aop[],ID_Jezik+6,1)</f>
        <v>    Od toga: troškovi stručnog obrazovanja i usavršavanja zaposlenih</v>
      </c>
      <c r="G400" s="222" t="s">
        <v>2851</v>
      </c>
      <c r="H400" s="60" t="s">
        <v>2852</v>
      </c>
      <c r="I400" s="60" t="s">
        <v>2853</v>
      </c>
      <c r="J400" s="293" t="s">
        <v>2854</v>
      </c>
      <c r="K400" s="226" t="s">
        <v>2855</v>
      </c>
      <c r="L400" s="221" t="s">
        <v>2856</v>
      </c>
      <c r="M400" s="226" t="s">
        <v>2857</v>
      </c>
      <c r="N400" s="252" t="s">
        <v>2858</v>
      </c>
      <c r="O400" s="19"/>
      <c r="P400" s="19"/>
    </row>
    <row r="401" spans="1:16">
      <c r="A401">
        <f>ROW()-ROW($A$1)</f>
        <v>400</v>
      </c>
      <c r="B401" t="s">
        <v>22</v>
      </c>
      <c r="C401" t="n">
        <v>2</v>
      </c>
      <c r="D401" s="19" t="n">
        <v>649</v>
      </c>
      <c r="E401" s="19" t="str">
        <f aca="1">VLOOKUP(T_Aop[[#This Row],[Id]],T_Aop[],ID_Jezik+10,1)</f>
        <v>dio 550</v>
      </c>
      <c r="F401" t="str">
        <f aca="1">REPT("  ",T_Aop[[#This Row],[Aop nivo]])&amp;VLOOKUP(T_Aop[[#This Row],[Id]],T_Aop[],ID_Jezik+6,1)</f>
        <v>    Od toga: bruto iznosi naknada po ugovorima sa fizičkim licima van radnog odnosa</v>
      </c>
      <c r="G401" s="222" t="s">
        <v>2835</v>
      </c>
      <c r="H401" s="60" t="s">
        <v>2836</v>
      </c>
      <c r="I401" s="60" t="s">
        <v>2837</v>
      </c>
      <c r="J401" s="293" t="s">
        <v>2838</v>
      </c>
      <c r="K401" s="226" t="s">
        <v>2855</v>
      </c>
      <c r="L401" s="221" t="s">
        <v>2856</v>
      </c>
      <c r="M401" s="226" t="s">
        <v>2857</v>
      </c>
      <c r="N401" s="252" t="s">
        <v>2858</v>
      </c>
      <c r="O401" s="19"/>
      <c r="P401" s="19"/>
    </row>
    <row r="402" spans="1:16">
      <c r="A402">
        <f>ROW()-ROW($A$1)</f>
        <v>401</v>
      </c>
      <c r="B402" t="s">
        <v>22</v>
      </c>
      <c r="C402" t="n">
        <v>1</v>
      </c>
      <c r="D402" s="19" t="n">
        <v>650</v>
      </c>
      <c r="E402" s="569">
        <f aca="1">VLOOKUP(T_Aop[[#This Row],[Id]],T_Aop[],ID_Jezik+10,1)</f>
        <v>551</v>
      </c>
      <c r="F402" t="str">
        <f aca="1">REPT("  ",T_Aop[[#This Row],[Aop nivo]])&amp;VLOOKUP(T_Aop[[#This Row],[Id]],T_Aop[],ID_Jezik+6,1)</f>
        <v>  b) Troškovi reprezentacije</v>
      </c>
      <c r="G402" s="222" t="s">
        <v>2859</v>
      </c>
      <c r="H402" s="60" t="s">
        <v>2860</v>
      </c>
      <c r="I402" s="60" t="s">
        <v>2861</v>
      </c>
      <c r="J402" s="26" t="s">
        <v>2862</v>
      </c>
      <c r="K402" s="226" t="n">
        <v>551</v>
      </c>
      <c r="L402" s="221" t="n">
        <v>551</v>
      </c>
      <c r="M402" s="226" t="n">
        <v>551</v>
      </c>
      <c r="N402" s="64" t="n">
        <v>551</v>
      </c>
      <c r="O402" s="19"/>
      <c r="P402" s="19"/>
    </row>
    <row r="403" spans="1:16">
      <c r="A403">
        <f>ROW()-ROW($A$1)</f>
        <v>402</v>
      </c>
      <c r="B403" t="s">
        <v>22</v>
      </c>
      <c r="C403" t="n">
        <v>1</v>
      </c>
      <c r="D403" s="19" t="n">
        <v>651</v>
      </c>
      <c r="E403" s="569">
        <f aca="1">VLOOKUP(T_Aop[[#This Row],[Id]],T_Aop[],ID_Jezik+10,1)</f>
        <v>552</v>
      </c>
      <c r="F403" t="str">
        <f aca="1">REPT("  ",T_Aop[[#This Row],[Aop nivo]])&amp;VLOOKUP(T_Aop[[#This Row],[Id]],T_Aop[],ID_Jezik+6,1)</f>
        <v>  v) Troškovi premije osiguranja</v>
      </c>
      <c r="G403" s="222" t="s">
        <v>2863</v>
      </c>
      <c r="H403" s="60" t="s">
        <v>2864</v>
      </c>
      <c r="I403" s="60" t="s">
        <v>2865</v>
      </c>
      <c r="J403" s="293" t="s">
        <v>2866</v>
      </c>
      <c r="K403" s="226" t="n">
        <v>552</v>
      </c>
      <c r="L403" s="221" t="n">
        <v>552</v>
      </c>
      <c r="M403" s="226" t="n">
        <v>552</v>
      </c>
      <c r="N403" s="252" t="n">
        <v>552</v>
      </c>
      <c r="O403" s="19"/>
      <c r="P403" s="19"/>
    </row>
    <row r="404" spans="1:16">
      <c r="A404">
        <f>ROW()-ROW($A$1)</f>
        <v>403</v>
      </c>
      <c r="B404" t="s">
        <v>22</v>
      </c>
      <c r="C404" t="n">
        <v>1</v>
      </c>
      <c r="D404" s="19" t="n">
        <v>652</v>
      </c>
      <c r="E404" s="569">
        <f aca="1">VLOOKUP(T_Aop[[#This Row],[Id]],T_Aop[],ID_Jezik+10,1)</f>
        <v>553</v>
      </c>
      <c r="F404" t="str">
        <f aca="1">REPT("  ",T_Aop[[#This Row],[Aop nivo]])&amp;VLOOKUP(T_Aop[[#This Row],[Id]],T_Aop[],ID_Jezik+6,1)</f>
        <v>  g) Troškovi platnog prometa</v>
      </c>
      <c r="G404" s="222" t="s">
        <v>2867</v>
      </c>
      <c r="H404" s="60" t="s">
        <v>2868</v>
      </c>
      <c r="I404" s="60" t="s">
        <v>2869</v>
      </c>
      <c r="J404" s="26" t="s">
        <v>2870</v>
      </c>
      <c r="K404" s="226" t="n">
        <v>553</v>
      </c>
      <c r="L404" s="221" t="n">
        <v>553</v>
      </c>
      <c r="M404" s="226" t="n">
        <v>553</v>
      </c>
      <c r="N404" s="64" t="n">
        <v>553</v>
      </c>
      <c r="O404" s="19"/>
      <c r="P404" s="19"/>
    </row>
    <row r="405" spans="1:16">
      <c r="A405">
        <f>ROW()-ROW($A$1)</f>
        <v>404</v>
      </c>
      <c r="B405" t="s">
        <v>22</v>
      </c>
      <c r="C405" t="n">
        <v>1</v>
      </c>
      <c r="D405" s="19" t="n">
        <v>653</v>
      </c>
      <c r="E405" s="569">
        <f aca="1">VLOOKUP(T_Aop[[#This Row],[Id]],T_Aop[],ID_Jezik+10,1)</f>
        <v>554</v>
      </c>
      <c r="F405" t="str">
        <f aca="1">REPT("  ",T_Aop[[#This Row],[Aop nivo]])&amp;VLOOKUP(T_Aop[[#This Row],[Id]],T_Aop[],ID_Jezik+6,1)</f>
        <v>  d) Troškovi članarina</v>
      </c>
      <c r="G405" s="222" t="s">
        <v>2871</v>
      </c>
      <c r="H405" s="60" t="s">
        <v>2872</v>
      </c>
      <c r="I405" s="60" t="s">
        <v>2873</v>
      </c>
      <c r="J405" s="293" t="s">
        <v>2874</v>
      </c>
      <c r="K405" s="226" t="n">
        <v>554</v>
      </c>
      <c r="L405" s="226" t="n">
        <v>554</v>
      </c>
      <c r="M405" s="226" t="n">
        <v>554</v>
      </c>
      <c r="N405" s="252" t="n">
        <v>554</v>
      </c>
      <c r="O405" s="19"/>
      <c r="P405" s="19"/>
    </row>
    <row r="406" spans="1:16">
      <c r="A406">
        <f>ROW()-ROW($A$1)</f>
        <v>405</v>
      </c>
      <c r="B406" t="s">
        <v>22</v>
      </c>
      <c r="C406" t="n">
        <v>1</v>
      </c>
      <c r="D406" s="19" t="n">
        <v>654</v>
      </c>
      <c r="E406" s="19" t="str">
        <f aca="1">VLOOKUP(T_Aop[[#This Row],[Id]],T_Aop[],ID_Jezik+10,1)</f>
        <v>dio 555</v>
      </c>
      <c r="F406" t="str">
        <f aca="1">REPT("  ",T_Aop[[#This Row],[Aop nivo]])&amp;VLOOKUP(T_Aop[[#This Row],[Id]],T_Aop[],ID_Jezik+6,1)</f>
        <v>  đ) Troškovi poreza na proizvode3, carine, boravišne takse, porez na igre na sreću i sl.</v>
      </c>
      <c r="G406" s="222" t="s">
        <v>2875</v>
      </c>
      <c r="H406" s="60" t="s">
        <v>2876</v>
      </c>
      <c r="I406" s="60" t="s">
        <v>2877</v>
      </c>
      <c r="J406" s="26" t="s">
        <v>2878</v>
      </c>
      <c r="K406" s="226" t="s">
        <v>2879</v>
      </c>
      <c r="L406" s="226" t="s">
        <v>2880</v>
      </c>
      <c r="M406" s="226" t="s">
        <v>2881</v>
      </c>
      <c r="N406" s="64" t="s">
        <v>2882</v>
      </c>
      <c r="O406" s="19"/>
      <c r="P406" s="19"/>
    </row>
    <row r="407" spans="1:16">
      <c r="A407">
        <f>ROW()-ROW($A$1)</f>
        <v>406</v>
      </c>
      <c r="B407" t="s">
        <v>22</v>
      </c>
      <c r="C407" t="n">
        <v>1</v>
      </c>
      <c r="D407" s="19" t="n">
        <v>655</v>
      </c>
      <c r="E407" s="19" t="str">
        <f aca="1">VLOOKUP(T_Aop[[#This Row],[Id]],T_Aop[],ID_Jezik+10,1)</f>
        <v>dio 555</v>
      </c>
      <c r="F407" t="str">
        <f aca="1">REPT("  ",T_Aop[[#This Row],[Aop nivo]])&amp;VLOOKUP(T_Aop[[#This Row],[Id]],T_Aop[],ID_Jezik+6,1)</f>
        <v>  e) Troškovi poreza na proizvodnju4: na imovinu, na zemljište, za korišćenje voda i šuma, za protivpožarnu zaštitu i sl.</v>
      </c>
      <c r="G407" s="222" t="s">
        <v>2883</v>
      </c>
      <c r="H407" s="60" t="s">
        <v>2884</v>
      </c>
      <c r="I407" s="60" t="s">
        <v>2885</v>
      </c>
      <c r="J407" s="293" t="s">
        <v>2886</v>
      </c>
      <c r="K407" s="226" t="s">
        <v>2879</v>
      </c>
      <c r="L407" s="226" t="s">
        <v>2880</v>
      </c>
      <c r="M407" s="226" t="s">
        <v>2881</v>
      </c>
      <c r="N407" s="252" t="s">
        <v>2882</v>
      </c>
      <c r="O407" s="19"/>
      <c r="P407" s="19" t="n">
        <v>1</v>
      </c>
    </row>
    <row r="408" spans="1:16">
      <c r="A408">
        <f>ROW()-ROW($A$1)</f>
        <v>407</v>
      </c>
      <c r="B408" t="s">
        <v>22</v>
      </c>
      <c r="C408" t="n">
        <v>1</v>
      </c>
      <c r="D408" s="19" t="n">
        <v>656</v>
      </c>
      <c r="E408" s="569">
        <f aca="1">VLOOKUP(T_Aop[[#This Row],[Id]],T_Aop[],ID_Jezik+10,1)</f>
        <v>559</v>
      </c>
      <c r="F408" t="str">
        <f aca="1">REPT("  ",T_Aop[[#This Row],[Aop nivo]])&amp;VLOOKUP(T_Aop[[#This Row],[Id]],T_Aop[],ID_Jezik+6,1)</f>
        <v>  ž) Ostali nematerijalni troškovi</v>
      </c>
      <c r="G408" s="222" t="s">
        <v>2887</v>
      </c>
      <c r="H408" s="60" t="s">
        <v>2888</v>
      </c>
      <c r="I408" s="60" t="s">
        <v>2889</v>
      </c>
      <c r="J408" s="26" t="s">
        <v>2890</v>
      </c>
      <c r="K408" s="226" t="n">
        <v>559</v>
      </c>
      <c r="L408" s="226" t="n">
        <v>559</v>
      </c>
      <c r="M408" s="226" t="n">
        <v>559</v>
      </c>
      <c r="N408" s="64" t="n">
        <v>559</v>
      </c>
      <c r="O408" s="19"/>
      <c r="P408" s="19"/>
    </row>
    <row r="409" spans="1:16">
      <c r="A409">
        <f>ROW()-ROW($A$1)</f>
        <v>408</v>
      </c>
      <c r="B409" t="s">
        <v>22</v>
      </c>
      <c r="C409" t="n">
        <v>0</v>
      </c>
      <c r="D409" s="19" t="n">
        <v>657</v>
      </c>
      <c r="E409" s="19">
        <f aca="1">VLOOKUP(T_Aop[[#This Row],[Id]],T_Aop[],ID_Jezik+10,1)</f>
        <v>0</v>
      </c>
      <c r="F409" t="str">
        <f aca="1">REPT("  ",T_Aop[[#This Row],[Aop nivo]])&amp;VLOOKUP(T_Aop[[#This Row],[Id]],T_Aop[],ID_Jezik+6,1)</f>
        <v>OBAVEZE I POTRAŽIVANJA</v>
      </c>
      <c r="G409" s="215" t="s">
        <v>2891</v>
      </c>
      <c r="H409" s="60" t="s">
        <v>2892</v>
      </c>
      <c r="I409" s="60" t="s">
        <v>2893</v>
      </c>
      <c r="J409" s="294" t="s">
        <v>2894</v>
      </c>
      <c r="K409" s="226"/>
      <c r="L409" s="226"/>
      <c r="M409" s="226"/>
      <c r="N409" s="239"/>
      <c r="O409" s="19" t="n">
        <v>1</v>
      </c>
      <c r="P409" s="19"/>
    </row>
    <row r="410" spans="1:16">
      <c r="A410">
        <f>ROW()-ROW($A$1)</f>
        <v>409</v>
      </c>
      <c r="B410" t="s">
        <v>22</v>
      </c>
      <c r="C410" t="n">
        <v>1</v>
      </c>
      <c r="D410" s="19" t="n">
        <v>658</v>
      </c>
      <c r="E410" s="19" t="str">
        <f aca="1">VLOOKUP(T_Aop[[#This Row],[Id]],T_Aop[],ID_Jezik+10,1)</f>
        <v>47, osim 479</v>
      </c>
      <c r="F410" t="str">
        <f aca="1">REPT("  ",T_Aop[[#This Row],[Aop nivo]])&amp;VLOOKUP(T_Aop[[#This Row],[Id]],T_Aop[],ID_Jezik+6,1)</f>
        <v>  Obračunati (fakturisani) porez na dodatu vrijednost (kumulativan promet konta)</v>
      </c>
      <c r="G410" s="222" t="s">
        <v>2895</v>
      </c>
      <c r="H410" s="60" t="s">
        <v>2896</v>
      </c>
      <c r="I410" s="60" t="s">
        <v>2897</v>
      </c>
      <c r="J410" s="26" t="s">
        <v>2898</v>
      </c>
      <c r="K410" s="226" t="s">
        <v>2899</v>
      </c>
      <c r="L410" s="226" t="s">
        <v>2900</v>
      </c>
      <c r="M410" s="226" t="s">
        <v>2901</v>
      </c>
      <c r="N410" s="64" t="s">
        <v>2902</v>
      </c>
      <c r="O410" s="19"/>
      <c r="P410" s="19"/>
    </row>
    <row r="411" spans="1:16">
      <c r="A411">
        <f>ROW()-ROW($A$1)</f>
        <v>410</v>
      </c>
      <c r="B411" t="s">
        <v>22</v>
      </c>
      <c r="C411" t="n">
        <v>1</v>
      </c>
      <c r="D411" s="19" t="n">
        <v>659</v>
      </c>
      <c r="E411" s="19" t="str">
        <f aca="1">VLOOKUP(T_Aop[[#This Row],[Id]],T_Aop[],ID_Jezik+10,1)</f>
        <v>27, osim 279</v>
      </c>
      <c r="F411" t="str">
        <f aca="1">REPT("  ",T_Aop[[#This Row],[Aop nivo]])&amp;VLOOKUP(T_Aop[[#This Row],[Id]],T_Aop[],ID_Jezik+6,1)</f>
        <v>  Ulazni porez na dodatu vrijednost (kumulativan promet konta)</v>
      </c>
      <c r="G411" s="222" t="s">
        <v>2903</v>
      </c>
      <c r="H411" s="60" t="s">
        <v>2904</v>
      </c>
      <c r="I411" s="60" t="s">
        <v>2905</v>
      </c>
      <c r="J411" s="293" t="s">
        <v>2906</v>
      </c>
      <c r="K411" s="226" t="s">
        <v>2907</v>
      </c>
      <c r="L411" s="226" t="s">
        <v>2908</v>
      </c>
      <c r="M411" s="226" t="s">
        <v>2909</v>
      </c>
      <c r="N411" s="252" t="s">
        <v>2910</v>
      </c>
      <c r="O411" s="19"/>
      <c r="P411" s="19"/>
    </row>
    <row r="412" spans="1:16">
      <c r="A412">
        <f>ROW()-ROW($A$1)</f>
        <v>411</v>
      </c>
      <c r="B412" t="s">
        <v>22</v>
      </c>
      <c r="C412" t="n">
        <v>1</v>
      </c>
      <c r="D412" s="19" t="n">
        <v>660</v>
      </c>
      <c r="E412" s="569">
        <f aca="1">VLOOKUP(T_Aop[[#This Row],[Id]],T_Aop[],ID_Jezik+10,1)</f>
        <v>479</v>
      </c>
      <c r="F412" t="str">
        <f aca="1">REPT("  ",T_Aop[[#This Row],[Aop nivo]])&amp;VLOOKUP(T_Aop[[#This Row],[Id]],T_Aop[],ID_Jezik+6,1)</f>
        <v>  Obaveze za PDV po osnovu razlike između obračunatog i akontacionog PDV-a (saldo konta)</v>
      </c>
      <c r="G412" s="60" t="s">
        <v>2911</v>
      </c>
      <c r="H412" s="60" t="s">
        <v>2912</v>
      </c>
      <c r="I412" s="60" t="s">
        <v>2913</v>
      </c>
      <c r="J412" s="26" t="s">
        <v>2914</v>
      </c>
      <c r="K412" s="226" t="n">
        <v>479</v>
      </c>
      <c r="L412" s="226" t="n">
        <v>479</v>
      </c>
      <c r="M412" s="226" t="n">
        <v>479</v>
      </c>
      <c r="N412" s="64" t="n">
        <v>479</v>
      </c>
      <c r="O412" s="19"/>
      <c r="P412" s="19"/>
    </row>
    <row r="413" spans="1:16">
      <c r="A413">
        <f>ROW()-ROW($A$1)</f>
        <v>412</v>
      </c>
      <c r="B413" t="s">
        <v>22</v>
      </c>
      <c r="C413" t="n">
        <v>1</v>
      </c>
      <c r="D413" s="19" t="n">
        <v>661</v>
      </c>
      <c r="E413" s="569">
        <f aca="1">VLOOKUP(T_Aop[[#This Row],[Id]],T_Aop[],ID_Jezik+10,1)</f>
        <v>279</v>
      </c>
      <c r="F413" t="str">
        <f aca="1">REPT("  ",T_Aop[[#This Row],[Aop nivo]])&amp;VLOOKUP(T_Aop[[#This Row],[Id]],T_Aop[],ID_Jezik+6,1)</f>
        <v>  Potraživanja po osnovu razlike između akontacionog i obračunatog PDV-a (saldo konta)</v>
      </c>
      <c r="G413" s="60" t="s">
        <v>2915</v>
      </c>
      <c r="H413" s="60" t="s">
        <v>2916</v>
      </c>
      <c r="I413" s="60" t="s">
        <v>2917</v>
      </c>
      <c r="J413" s="293" t="s">
        <v>2918</v>
      </c>
      <c r="K413" s="226" t="n">
        <v>279</v>
      </c>
      <c r="L413" s="226" t="n">
        <v>279</v>
      </c>
      <c r="M413" s="226" t="n">
        <v>279</v>
      </c>
      <c r="N413" s="252" t="n">
        <v>279</v>
      </c>
      <c r="O413" s="19"/>
      <c r="P413" s="19"/>
    </row>
    <row r="414" spans="1:16">
      <c r="A414">
        <f>ROW()-ROW($A$1)</f>
        <v>413</v>
      </c>
      <c r="B414" t="s">
        <v>22</v>
      </c>
      <c r="C414" t="n">
        <v>1</v>
      </c>
      <c r="D414" s="19" t="n">
        <v>662</v>
      </c>
      <c r="E414" s="569">
        <f aca="1">VLOOKUP(T_Aop[[#This Row],[Id]],T_Aop[],ID_Jezik+10,1)</f>
        <v>271</v>
      </c>
      <c r="F414" t="str">
        <f aca="1">REPT("  ",T_Aop[[#This Row],[Aop nivo]])&amp;VLOOKUP(T_Aop[[#This Row],[Id]],T_Aop[],ID_Jezik+6,1)</f>
        <v>  PDV plaćen pri uvozu (kumulativan promet konta)</v>
      </c>
      <c r="G414" s="222" t="s">
        <v>2919</v>
      </c>
      <c r="H414" s="60" t="s">
        <v>2920</v>
      </c>
      <c r="I414" s="60" t="s">
        <v>2921</v>
      </c>
      <c r="J414" s="26" t="s">
        <v>2922</v>
      </c>
      <c r="K414" s="226" t="n">
        <v>271</v>
      </c>
      <c r="L414" s="226" t="n">
        <v>271</v>
      </c>
      <c r="M414" s="226" t="n">
        <v>271</v>
      </c>
      <c r="N414" s="64" t="n">
        <v>271</v>
      </c>
      <c r="O414" s="19"/>
      <c r="P414" s="19"/>
    </row>
    <row r="415" spans="1:16">
      <c r="A415">
        <f>ROW()-ROW($A$1)</f>
        <v>414</v>
      </c>
      <c r="B415" t="s">
        <v>22</v>
      </c>
      <c r="C415" t="n">
        <v>1</v>
      </c>
      <c r="D415" s="19" t="n">
        <v>663</v>
      </c>
      <c r="E415" s="569">
        <f aca="1">VLOOKUP(T_Aop[[#This Row],[Id]],T_Aop[],ID_Jezik+10,1)</f>
        <v>484</v>
      </c>
      <c r="F415" t="str">
        <f aca="1">REPT("  ",T_Aop[[#This Row],[Aop nivo]])&amp;VLOOKUP(T_Aop[[#This Row],[Id]],T_Aop[],ID_Jezik+6,1)</f>
        <v>  Obaveze za PDV plaćen pri uvozu (kumulativan promet konta)</v>
      </c>
      <c r="G415" s="222" t="s">
        <v>2923</v>
      </c>
      <c r="H415" s="60" t="s">
        <v>2924</v>
      </c>
      <c r="I415" s="60" t="s">
        <v>2925</v>
      </c>
      <c r="J415" s="293" t="s">
        <v>2926</v>
      </c>
      <c r="K415" s="226" t="n">
        <v>484</v>
      </c>
      <c r="L415" s="226" t="n">
        <v>484</v>
      </c>
      <c r="M415" s="226" t="n">
        <v>484</v>
      </c>
      <c r="N415" s="252" t="n">
        <v>484</v>
      </c>
      <c r="O415" s="19"/>
      <c r="P415" s="19"/>
    </row>
    <row r="416" spans="1:16">
      <c r="A416">
        <f>ROW()-ROW($A$1)</f>
        <v>415</v>
      </c>
      <c r="B416" t="s">
        <v>22</v>
      </c>
      <c r="C416" t="n">
        <v>1</v>
      </c>
      <c r="D416" s="19" t="n">
        <v>664</v>
      </c>
      <c r="E416" s="569">
        <f aca="1">VLOOKUP(T_Aop[[#This Row],[Id]],T_Aop[],ID_Jezik+10,1)</f>
        <v>480</v>
      </c>
      <c r="F416" t="str">
        <f aca="1">REPT("  ",T_Aop[[#This Row],[Aop nivo]])&amp;VLOOKUP(T_Aop[[#This Row],[Id]],T_Aop[],ID_Jezik+6,1)</f>
        <v>  Obaveze za akcize (kumulativan promet konta)</v>
      </c>
      <c r="G416" s="222" t="s">
        <v>2927</v>
      </c>
      <c r="H416" s="60" t="s">
        <v>2928</v>
      </c>
      <c r="I416" s="60" t="s">
        <v>2929</v>
      </c>
      <c r="J416" s="26" t="s">
        <v>2930</v>
      </c>
      <c r="K416" s="226" t="n">
        <v>480</v>
      </c>
      <c r="L416" s="226" t="n">
        <v>480</v>
      </c>
      <c r="M416" s="226" t="n">
        <v>480</v>
      </c>
      <c r="N416" s="64" t="n">
        <v>480</v>
      </c>
      <c r="O416" s="19"/>
      <c r="P416" s="19"/>
    </row>
    <row r="417" spans="1:16">
      <c r="A417">
        <f>ROW()-ROW($A$1)</f>
        <v>416</v>
      </c>
      <c r="B417" t="s">
        <v>22</v>
      </c>
      <c r="C417" t="n">
        <v>1</v>
      </c>
      <c r="D417" s="19" t="n">
        <v>665</v>
      </c>
      <c r="E417" s="19" t="str">
        <f aca="1">VLOOKUP(T_Aop[[#This Row],[Id]],T_Aop[],ID_Jezik+10,1)</f>
        <v>nema konta</v>
      </c>
      <c r="F417" t="str">
        <f aca="1">REPT("  ",T_Aop[[#This Row],[Aop nivo]])&amp;VLOOKUP(T_Aop[[#This Row],[Id]],T_Aop[],ID_Jezik+6,1)</f>
        <v>  Prihodi ostvareni na bazi podugovaranja</v>
      </c>
      <c r="G417" s="222" t="s">
        <v>2931</v>
      </c>
      <c r="H417" s="60" t="s">
        <v>2932</v>
      </c>
      <c r="I417" s="60" t="s">
        <v>2933</v>
      </c>
      <c r="J417" s="293" t="s">
        <v>2934</v>
      </c>
      <c r="K417" s="226" t="s">
        <v>2935</v>
      </c>
      <c r="L417" s="226" t="s">
        <v>2936</v>
      </c>
      <c r="M417" s="226"/>
      <c r="N417" s="252" t="s">
        <v>2937</v>
      </c>
      <c r="O417" s="19"/>
      <c r="P417" s="19"/>
    </row>
    <row r="418" spans="1:16">
      <c r="A418">
        <f>ROW()-ROW($A$1)</f>
        <v>417</v>
      </c>
      <c r="B418" t="s">
        <v>22</v>
      </c>
      <c r="C418" t="n">
        <v>1</v>
      </c>
      <c r="D418" s="19" t="n">
        <v>666</v>
      </c>
      <c r="E418" s="19" t="str">
        <f aca="1">VLOOKUP(T_Aop[[#This Row],[Id]],T_Aop[],ID_Jezik+10,1)</f>
        <v>nema konta</v>
      </c>
      <c r="F418" t="str">
        <f aca="1">REPT("  ",T_Aop[[#This Row],[Aop nivo]])&amp;VLOOKUP(T_Aop[[#This Row],[Id]],T_Aop[],ID_Jezik+6,1)</f>
        <v>  Plaćanja podugovaračima za rad, isporučene proizvode i usluge</v>
      </c>
      <c r="G418" s="222" t="s">
        <v>2938</v>
      </c>
      <c r="H418" s="60" t="s">
        <v>2939</v>
      </c>
      <c r="I418" s="60" t="s">
        <v>2940</v>
      </c>
      <c r="J418" s="26" t="s">
        <v>2941</v>
      </c>
      <c r="K418" s="226" t="s">
        <v>2935</v>
      </c>
      <c r="L418" s="226" t="s">
        <v>2936</v>
      </c>
      <c r="M418" s="226"/>
      <c r="N418" s="64" t="s">
        <v>2937</v>
      </c>
      <c r="O418" s="19"/>
      <c r="P418" s="19"/>
    </row>
    <row r="419" spans="1:16">
      <c r="A419">
        <f>ROW()-ROW($A$1)</f>
        <v>418</v>
      </c>
      <c r="B419" t="s">
        <v>22</v>
      </c>
      <c r="C419" t="n">
        <v>1</v>
      </c>
      <c r="D419" s="19" t="n">
        <v>667</v>
      </c>
      <c r="E419" s="19" t="str">
        <f aca="1">VLOOKUP(T_Aop[[#This Row],[Id]],T_Aop[],ID_Jezik+10,1)</f>
        <v>nema konta</v>
      </c>
      <c r="F419" t="str">
        <f aca="1">REPT("  ",T_Aop[[#This Row],[Aop nivo]])&amp;VLOOKUP(T_Aop[[#This Row],[Id]],T_Aop[],ID_Jezik+6,1)</f>
        <v>  Ukupan broj odrađenih časova rada (efektivni časovi rada bez bolovanja, godišnjih odmora, državnih praznika i sl.)</v>
      </c>
      <c r="G419" s="222" t="s">
        <v>2942</v>
      </c>
      <c r="H419" s="60" t="s">
        <v>2943</v>
      </c>
      <c r="I419" s="60" t="s">
        <v>2944</v>
      </c>
      <c r="J419" s="293" t="s">
        <v>2945</v>
      </c>
      <c r="K419" s="226" t="s">
        <v>2935</v>
      </c>
      <c r="L419" s="226" t="s">
        <v>2936</v>
      </c>
      <c r="M419" s="226"/>
      <c r="N419" s="255" t="s">
        <v>2937</v>
      </c>
      <c r="O419" s="19"/>
      <c r="P419" s="19" t="n">
        <v>1</v>
      </c>
    </row>
    <row r="420" spans="1:16">
      <c r="A420">
        <f>ROW()-ROW($A$1)</f>
        <v>419</v>
      </c>
      <c r="B420" t="s">
        <v>333</v>
      </c>
      <c r="C420"/>
      <c r="D420"/>
      <c r="E420" s="19">
        <f aca="1">VLOOKUP(T_Aop[[#This Row],[Id]],T_Aop[],ID_Jezik+10,1)</f>
        <v>0</v>
      </c>
      <c r="F420" t="str">
        <f aca="1">REPT("  ",T_Aop[[#This Row],[Aop nivo]])&amp;VLOOKUP(T_Aop[[#This Row],[Id]],T_Aop[],ID_Jezik+6,1)</f>
        <v/>
      </c>
      <c r="H420" s="60"/>
      <c r="I420" s="60"/>
      <c r="K420" s="226"/>
      <c r="L420" s="226"/>
      <c r="M420" s="226"/>
      <c r="N420" s="224"/>
      <c r="O420" s="19"/>
      <c r="P420" s="19"/>
    </row>
    <row r="421" spans="1:16">
      <c r="A421">
        <f>ROW()-ROW($A$1)</f>
        <v>420</v>
      </c>
      <c r="B421" t="s">
        <v>333</v>
      </c>
      <c r="C421" t="n">
        <v>0</v>
      </c>
      <c r="D421" t="n">
        <v>901</v>
      </c>
      <c r="E421" s="19" t="str">
        <f aca="1">VLOOKUP(T_Aop[[#This Row],[Id]],T_Aop[],ID_Jezik+10,1)</f>
        <v>1.</v>
      </c>
      <c r="F421" t="str">
        <f aca="1">REPT("  ",T_Aop[[#This Row],[Aop nivo]])&amp;VLOOKUP(T_Aop[[#This Row],[Id]],T_Aop[],ID_Jezik+6,1)</f>
        <v>1. Stanje na dan 01.01.2023. god.</v>
      </c>
      <c r="G421" s="218" t="str">
        <f>CONCATENATE("1. Stanje na dan ",Podesavanja!$X$6," god.")</f>
        <v>1. Stanje na dan 01.01.2023. god.</v>
      </c>
      <c r="H421" s="233" t="str">
        <f>CONCATENATE("1. Стање на дан ",Podesavanja!$X$6," год.")</f>
        <v>1. Стање на дан 01.01.2023. год.</v>
      </c>
      <c r="I421" s="233" t="str">
        <f>CONCATENATE("1. Value on day ",Podesavanja!$Y$6)</f>
        <v>1. Value on day 01.01.2023</v>
      </c>
      <c r="J421" s="233" t="str">
        <f>CONCATENATE("1. Состояние на дату",Podesavanja!$Y$6)</f>
        <v>1. Состояние на дату01.01.2023</v>
      </c>
      <c r="K421" s="226" t="s">
        <v>34</v>
      </c>
      <c r="L421" s="226" t="s">
        <v>34</v>
      </c>
      <c r="M421" s="226" t="s">
        <v>34</v>
      </c>
      <c r="N421" s="226" t="s">
        <v>34</v>
      </c>
      <c r="O421" s="19" t="n">
        <v>1</v>
      </c>
      <c r="P421" s="19"/>
    </row>
    <row r="422" spans="1:16">
      <c r="A422">
        <f>ROW()-ROW($A$1)</f>
        <v>421</v>
      </c>
      <c r="B422" t="s">
        <v>333</v>
      </c>
      <c r="C422"/>
      <c r="E422" s="19">
        <f aca="1">VLOOKUP(T_Aop[[#This Row],[Id]],T_Aop[],ID_Jezik+10,1)</f>
        <v>0</v>
      </c>
      <c r="F422" t="str">
        <f aca="1">REPT("  ",T_Aop[[#This Row],[Aop nivo]])&amp;VLOOKUP(T_Aop[[#This Row],[Id]],T_Aop[],ID_Jezik+6,1)</f>
        <v/>
      </c>
      <c r="G422" s="218"/>
      <c r="H422" s="233"/>
      <c r="I422" s="233"/>
      <c r="K422" s="226"/>
      <c r="L422" s="226"/>
      <c r="M422" s="226"/>
      <c r="N422" s="226"/>
      <c r="O422" s="19"/>
      <c r="P422" s="19"/>
    </row>
    <row r="423" spans="1:16">
      <c r="A423">
        <f>ROW()-ROW($A$1)</f>
        <v>422</v>
      </c>
      <c r="B423" t="s">
        <v>333</v>
      </c>
      <c r="C423" t="n">
        <v>2</v>
      </c>
      <c r="D423" t="n">
        <v>902</v>
      </c>
      <c r="E423" s="19" t="str">
        <f aca="1">VLOOKUP(T_Aop[[#This Row],[Id]],T_Aop[],ID_Jezik+10,1)</f>
        <v>2.</v>
      </c>
      <c r="F423" t="str">
        <f aca="1">REPT("  ",T_Aop[[#This Row],[Aop nivo]])&amp;VLOOKUP(T_Aop[[#This Row],[Id]],T_Aop[],ID_Jezik+6,1)</f>
        <v>    2. Efekti promjena u računovodstvenim politikama </v>
      </c>
      <c r="G423" s="222" t="s">
        <v>2946</v>
      </c>
      <c r="H423" s="60" t="s">
        <v>2947</v>
      </c>
      <c r="I423" s="60" t="s">
        <v>2948</v>
      </c>
      <c r="J423" s="217" t="s">
        <v>2949</v>
      </c>
      <c r="K423" s="226" t="s">
        <v>36</v>
      </c>
      <c r="L423" s="226" t="s">
        <v>36</v>
      </c>
      <c r="M423" s="226" t="s">
        <v>36</v>
      </c>
      <c r="N423" s="226" t="s">
        <v>36</v>
      </c>
      <c r="O423" s="19"/>
      <c r="P423" s="19"/>
    </row>
    <row r="424" spans="1:16">
      <c r="A424">
        <f>ROW()-ROW($A$1)</f>
        <v>423</v>
      </c>
      <c r="B424" t="s">
        <v>333</v>
      </c>
      <c r="C424" t="n">
        <v>2</v>
      </c>
      <c r="D424" t="n">
        <v>903</v>
      </c>
      <c r="E424" s="19" t="str">
        <f aca="1">VLOOKUP(T_Aop[[#This Row],[Id]],T_Aop[],ID_Jezik+10,1)</f>
        <v>3.</v>
      </c>
      <c r="F424" t="str">
        <f aca="1">REPT("  ",T_Aop[[#This Row],[Aop nivo]])&amp;VLOOKUP(T_Aop[[#This Row],[Id]],T_Aop[],ID_Jezik+6,1)</f>
        <v>    3. Efekti ispravki grešaka</v>
      </c>
      <c r="G424" s="222" t="s">
        <v>2950</v>
      </c>
      <c r="H424" s="60" t="s">
        <v>2951</v>
      </c>
      <c r="I424" s="60" t="s">
        <v>2952</v>
      </c>
      <c r="J424" s="217" t="s">
        <v>2953</v>
      </c>
      <c r="K424" s="226" t="s">
        <v>38</v>
      </c>
      <c r="L424" s="226" t="s">
        <v>38</v>
      </c>
      <c r="M424" s="226" t="s">
        <v>38</v>
      </c>
      <c r="N424" s="226" t="s">
        <v>38</v>
      </c>
      <c r="O424" s="19"/>
      <c r="P424" s="19"/>
    </row>
    <row r="425" spans="1:16">
      <c r="A425">
        <f>ROW()-ROW($A$1)</f>
        <v>424</v>
      </c>
      <c r="B425" t="s">
        <v>333</v>
      </c>
      <c r="C425" t="n">
        <v>1</v>
      </c>
      <c r="D425" t="n">
        <v>904</v>
      </c>
      <c r="E425" s="19" t="str">
        <f aca="1">VLOOKUP(T_Aop[[#This Row],[Id]],T_Aop[],ID_Jezik+10,1)</f>
        <v>4.</v>
      </c>
      <c r="F425" t="str">
        <f aca="1">REPT("  ",T_Aop[[#This Row],[Aop nivo]])&amp;VLOOKUP(T_Aop[[#This Row],[Id]],T_Aop[],ID_Jezik+6,1)</f>
        <v>  4. Ponovo iskazano stanje na dan 01.01.2023. god. (901 ± 902 ± 903)</v>
      </c>
      <c r="G425" s="233" t="str">
        <f>CONCATENATE("4. Ponovo iskazano stanje na dan ",Podesavanja!$X$6," god. (901 ± 902 ± 903)")</f>
        <v>4. Ponovo iskazano stanje na dan 01.01.2023. god. (901 ± 902 ± 903)</v>
      </c>
      <c r="H425" s="233" t="str">
        <f>CONCATENATE("4. Поново исказано стање на дан ",Podesavanja!$X$6," год.  (901 ± 902 ± 903)")</f>
        <v>4. Поново исказано стање на дан 01.01.2023. год.  (901 ± 902 ± 903)</v>
      </c>
      <c r="I425" s="233" t="str">
        <f>CONCATENATE("4. New value on day ",Podesavanja!$Y$6," (901 ± 902 ± 903)")</f>
        <v>4. New value on day 01.01.2023 (901 ± 902 ± 903)</v>
      </c>
      <c r="J425" s="236" t="str">
        <f>CONCATENATE("4. Повторно представленное состояние на дату ",Podesavanja!$X$6," года (901 ± 902 ± 903)")</f>
        <v>4. Повторно представленное состояние на дату 01.01.2023. года (901 ± 902 ± 903)</v>
      </c>
      <c r="K425" s="226" t="s">
        <v>40</v>
      </c>
      <c r="L425" s="226" t="s">
        <v>40</v>
      </c>
      <c r="M425" s="226" t="s">
        <v>40</v>
      </c>
      <c r="N425" s="226" t="s">
        <v>40</v>
      </c>
      <c r="O425" s="19" t="n">
        <v>1</v>
      </c>
      <c r="P425" s="19"/>
    </row>
    <row r="426" spans="1:16">
      <c r="A426">
        <f>ROW()-ROW($A$1)</f>
        <v>425</v>
      </c>
      <c r="B426" t="s">
        <v>333</v>
      </c>
      <c r="C426"/>
      <c r="E426" s="19">
        <f aca="1">VLOOKUP(T_Aop[[#This Row],[Id]],T_Aop[],ID_Jezik+10,1)</f>
        <v>0</v>
      </c>
      <c r="F426" t="str">
        <f aca="1">REPT("  ",T_Aop[[#This Row],[Aop nivo]])&amp;VLOOKUP(T_Aop[[#This Row],[Id]],T_Aop[],ID_Jezik+6,1)</f>
        <v/>
      </c>
      <c r="G426" s="233"/>
      <c r="H426" s="233"/>
      <c r="I426" s="233"/>
      <c r="K426" s="226"/>
      <c r="L426" s="226"/>
      <c r="M426" s="226"/>
      <c r="N426" s="226"/>
      <c r="O426" s="19"/>
      <c r="P426" s="19"/>
    </row>
    <row r="427" spans="1:16">
      <c r="A427">
        <f>ROW()-ROW($A$1)</f>
        <v>426</v>
      </c>
      <c r="B427" t="s">
        <v>333</v>
      </c>
      <c r="C427" t="n">
        <v>2</v>
      </c>
      <c r="D427" t="n">
        <v>905</v>
      </c>
      <c r="E427" s="19" t="str">
        <f aca="1">VLOOKUP(T_Aop[[#This Row],[Id]],T_Aop[],ID_Jezik+10,1)</f>
        <v>5.</v>
      </c>
      <c r="F427" t="str">
        <f aca="1">REPT("  ",T_Aop[[#This Row],[Aop nivo]])&amp;VLOOKUP(T_Aop[[#This Row],[Id]],T_Aop[],ID_Jezik+6,1)</f>
        <v>    5. Dobit/(gubitak) za godinu</v>
      </c>
      <c r="G427" s="60" t="s">
        <v>2954</v>
      </c>
      <c r="H427" s="60" t="s">
        <v>2955</v>
      </c>
      <c r="I427" s="235" t="s">
        <v>2956</v>
      </c>
      <c r="J427" s="217" t="s">
        <v>2957</v>
      </c>
      <c r="K427" s="226" t="s">
        <v>42</v>
      </c>
      <c r="L427" s="226" t="s">
        <v>42</v>
      </c>
      <c r="M427" s="226" t="s">
        <v>42</v>
      </c>
      <c r="N427" s="226" t="s">
        <v>42</v>
      </c>
      <c r="O427" s="19"/>
      <c r="P427" s="19"/>
    </row>
    <row r="428" spans="1:16">
      <c r="A428">
        <f>ROW()-ROW($A$1)</f>
        <v>427</v>
      </c>
      <c r="B428" t="s">
        <v>333</v>
      </c>
      <c r="C428" t="n">
        <v>2</v>
      </c>
      <c r="D428" t="n">
        <v>906</v>
      </c>
      <c r="E428" s="19" t="str">
        <f aca="1">VLOOKUP(T_Aop[[#This Row],[Id]],T_Aop[],ID_Jezik+10,1)</f>
        <v>6.</v>
      </c>
      <c r="F428" t="str">
        <f aca="1">REPT("  ",T_Aop[[#This Row],[Aop nivo]])&amp;VLOOKUP(T_Aop[[#This Row],[Id]],T_Aop[],ID_Jezik+6,1)</f>
        <v>    6. Ostali ukupni rezultat za godinu</v>
      </c>
      <c r="G428" s="60" t="s">
        <v>2958</v>
      </c>
      <c r="H428" s="60" t="s">
        <v>2959</v>
      </c>
      <c r="I428" s="235" t="s">
        <v>2960</v>
      </c>
      <c r="J428" s="217" t="s">
        <v>2961</v>
      </c>
      <c r="K428" s="226" t="s">
        <v>44</v>
      </c>
      <c r="L428" s="226" t="s">
        <v>44</v>
      </c>
      <c r="M428" s="226" t="s">
        <v>44</v>
      </c>
      <c r="N428" s="226" t="s">
        <v>44</v>
      </c>
      <c r="O428" s="19"/>
      <c r="P428" s="19" t="n">
        <v>1</v>
      </c>
    </row>
    <row r="429" spans="1:16">
      <c r="A429">
        <f>ROW()-ROW($A$1)</f>
        <v>428</v>
      </c>
      <c r="B429" t="s">
        <v>333</v>
      </c>
      <c r="C429" t="n">
        <v>1</v>
      </c>
      <c r="D429" t="n">
        <v>907</v>
      </c>
      <c r="E429" s="19" t="str">
        <f aca="1">VLOOKUP(T_Aop[[#This Row],[Id]],T_Aop[],ID_Jezik+10,1)</f>
        <v>7.</v>
      </c>
      <c r="F429" t="str">
        <f aca="1">REPT("  ",T_Aop[[#This Row],[Aop nivo]])&amp;VLOOKUP(T_Aop[[#This Row],[Id]],T_Aop[],ID_Jezik+6,1)</f>
        <v>  7. Ukupna dobit/(gubitak) (± 905 ± 906)</v>
      </c>
      <c r="G429" s="233" t="s">
        <v>2962</v>
      </c>
      <c r="H429" s="233" t="s">
        <v>2963</v>
      </c>
      <c r="I429" s="233" t="s">
        <v>2964</v>
      </c>
      <c r="J429" s="218" t="s">
        <v>2965</v>
      </c>
      <c r="K429" s="226" t="s">
        <v>46</v>
      </c>
      <c r="L429" s="226" t="s">
        <v>46</v>
      </c>
      <c r="M429" s="226" t="s">
        <v>46</v>
      </c>
      <c r="N429" s="226" t="s">
        <v>46</v>
      </c>
      <c r="O429" s="19"/>
      <c r="P429" s="19" t="n">
        <v>1</v>
      </c>
    </row>
    <row r="430" spans="1:16" ht="9.75" customHeight="1">
      <c r="A430">
        <f>ROW()-ROW($A$1)</f>
        <v>429</v>
      </c>
      <c r="B430" t="s">
        <v>333</v>
      </c>
      <c r="C430"/>
      <c r="E430" s="19">
        <f aca="1">VLOOKUP(T_Aop[[#This Row],[Id]],T_Aop[],ID_Jezik+10,1)</f>
        <v>0</v>
      </c>
      <c r="F430" t="str">
        <f aca="1">REPT("  ",T_Aop[[#This Row],[Aop nivo]])&amp;VLOOKUP(T_Aop[[#This Row],[Id]],T_Aop[],ID_Jezik+6,1)</f>
        <v/>
      </c>
      <c r="G430" s="60"/>
      <c r="H430" s="60"/>
      <c r="I430" s="60"/>
      <c r="K430" s="226"/>
      <c r="L430" s="226"/>
      <c r="M430" s="226"/>
      <c r="N430" s="226"/>
      <c r="O430" s="19"/>
      <c r="P430" s="19"/>
    </row>
    <row r="431" spans="1:16">
      <c r="A431">
        <f>ROW()-ROW($A$1)</f>
        <v>430</v>
      </c>
      <c r="B431" t="s">
        <v>333</v>
      </c>
      <c r="C431" t="n">
        <v>2</v>
      </c>
      <c r="D431" t="n">
        <v>908</v>
      </c>
      <c r="E431" s="19" t="str">
        <f aca="1">VLOOKUP(T_Aop[[#This Row],[Id]],T_Aop[],ID_Jezik+10,1)</f>
        <v>8.</v>
      </c>
      <c r="F431" t="str">
        <f aca="1">REPT("  ",T_Aop[[#This Row],[Aop nivo]])&amp;VLOOKUP(T_Aop[[#This Row],[Id]],T_Aop[],ID_Jezik+6,1)</f>
        <v>    8. Emisija akcijskog kapitala i drugi oblici povećanja kapitala</v>
      </c>
      <c r="G431" s="60" t="s">
        <v>2966</v>
      </c>
      <c r="H431" s="60" t="s">
        <v>2967</v>
      </c>
      <c r="I431" s="235" t="s">
        <v>2968</v>
      </c>
      <c r="J431" s="217" t="s">
        <v>2969</v>
      </c>
      <c r="K431" s="226" t="s">
        <v>2359</v>
      </c>
      <c r="L431" s="226" t="s">
        <v>2359</v>
      </c>
      <c r="M431" s="226" t="s">
        <v>2359</v>
      </c>
      <c r="N431" s="226" t="s">
        <v>2359</v>
      </c>
      <c r="O431" s="19"/>
      <c r="P431" s="19"/>
    </row>
    <row r="432" spans="1:16">
      <c r="A432">
        <f>ROW()-ROW($A$1)</f>
        <v>431</v>
      </c>
      <c r="B432" t="s">
        <v>333</v>
      </c>
      <c r="C432" t="n">
        <v>2</v>
      </c>
      <c r="D432" t="n">
        <v>909</v>
      </c>
      <c r="E432" s="19" t="str">
        <f aca="1">VLOOKUP(T_Aop[[#This Row],[Id]],T_Aop[],ID_Jezik+10,1)</f>
        <v>9.</v>
      </c>
      <c r="F432" t="str">
        <f aca="1">REPT("  ",T_Aop[[#This Row],[Aop nivo]])&amp;VLOOKUP(T_Aop[[#This Row],[Id]],T_Aop[],ID_Jezik+6,1)</f>
        <v>    9. Sticanje sopstvenih akcija i drugi oblici smanjenja kapitala</v>
      </c>
      <c r="G432" s="60" t="s">
        <v>2970</v>
      </c>
      <c r="H432" s="60" t="s">
        <v>2971</v>
      </c>
      <c r="I432" s="235" t="s">
        <v>2972</v>
      </c>
      <c r="J432" s="217" t="s">
        <v>2973</v>
      </c>
      <c r="K432" s="226" t="s">
        <v>2365</v>
      </c>
      <c r="L432" s="226" t="s">
        <v>2365</v>
      </c>
      <c r="M432" s="226" t="s">
        <v>2365</v>
      </c>
      <c r="N432" s="226" t="s">
        <v>2365</v>
      </c>
      <c r="O432" s="19"/>
      <c r="P432" s="19"/>
    </row>
    <row r="433" spans="1:16">
      <c r="A433">
        <f>ROW()-ROW($A$1)</f>
        <v>432</v>
      </c>
      <c r="B433" t="s">
        <v>333</v>
      </c>
      <c r="C433" t="n">
        <v>2</v>
      </c>
      <c r="D433" t="n">
        <v>910</v>
      </c>
      <c r="E433" s="19" t="str">
        <f aca="1">VLOOKUP(T_Aop[[#This Row],[Id]],T_Aop[],ID_Jezik+10,1)</f>
        <v>10.</v>
      </c>
      <c r="F433" t="str">
        <f aca="1">REPT("  ",T_Aop[[#This Row],[Aop nivo]])&amp;VLOOKUP(T_Aop[[#This Row],[Id]],T_Aop[],ID_Jezik+6,1)</f>
        <v>    10. Objavljene dividende </v>
      </c>
      <c r="G433" s="60" t="s">
        <v>2974</v>
      </c>
      <c r="H433" s="60" t="s">
        <v>2975</v>
      </c>
      <c r="I433" s="235" t="s">
        <v>2976</v>
      </c>
      <c r="J433" s="217" t="s">
        <v>2977</v>
      </c>
      <c r="K433" s="226" t="s">
        <v>2371</v>
      </c>
      <c r="L433" s="226" t="s">
        <v>2371</v>
      </c>
      <c r="M433" s="226" t="s">
        <v>2371</v>
      </c>
      <c r="N433" s="226" t="s">
        <v>2371</v>
      </c>
      <c r="O433" s="19"/>
      <c r="P433" s="19"/>
    </row>
    <row r="434" spans="1:16">
      <c r="A434">
        <f>ROW()-ROW($A$1)</f>
        <v>433</v>
      </c>
      <c r="B434" t="s">
        <v>333</v>
      </c>
      <c r="C434" t="n">
        <v>2</v>
      </c>
      <c r="D434" t="n">
        <v>911</v>
      </c>
      <c r="E434" s="19" t="str">
        <f aca="1">VLOOKUP(T_Aop[[#This Row],[Id]],T_Aop[],ID_Jezik+10,1)</f>
        <v>11.</v>
      </c>
      <c r="F434" t="str">
        <f aca="1">REPT("  ",T_Aop[[#This Row],[Aop nivo]])&amp;VLOOKUP(T_Aop[[#This Row],[Id]],T_Aop[],ID_Jezik+6,1)</f>
        <v>    11. Drugi oblici raspodjele dobiti i pokriće gubitka</v>
      </c>
      <c r="G434" s="60" t="s">
        <v>2978</v>
      </c>
      <c r="H434" s="60" t="s">
        <v>2979</v>
      </c>
      <c r="I434" s="235" t="s">
        <v>2980</v>
      </c>
      <c r="J434" s="217" t="s">
        <v>2981</v>
      </c>
      <c r="K434" s="226" t="s">
        <v>2377</v>
      </c>
      <c r="L434" s="226" t="s">
        <v>2377</v>
      </c>
      <c r="M434" s="226" t="s">
        <v>2377</v>
      </c>
      <c r="N434" s="226" t="s">
        <v>2377</v>
      </c>
      <c r="O434" s="19"/>
      <c r="P434" s="19"/>
    </row>
    <row r="435" spans="1:16">
      <c r="A435">
        <f>ROW()-ROW($A$1)</f>
        <v>434</v>
      </c>
      <c r="B435" t="s">
        <v>333</v>
      </c>
      <c r="C435" t="n">
        <v>2</v>
      </c>
      <c r="D435" t="n">
        <v>912</v>
      </c>
      <c r="E435" s="19" t="str">
        <f aca="1">VLOOKUP(T_Aop[[#This Row],[Id]],T_Aop[],ID_Jezik+10,1)</f>
        <v>12.</v>
      </c>
      <c r="F435" t="str">
        <f aca="1">REPT("  ",T_Aop[[#This Row],[Aop nivo]])&amp;VLOOKUP(T_Aop[[#This Row],[Id]],T_Aop[],ID_Jezik+6,1)</f>
        <v>    12. Ostale promjene</v>
      </c>
      <c r="G435" s="233" t="s">
        <v>2982</v>
      </c>
      <c r="H435" s="233" t="s">
        <v>2983</v>
      </c>
      <c r="I435" s="233" t="s">
        <v>2984</v>
      </c>
      <c r="J435" s="233" t="s">
        <v>2985</v>
      </c>
      <c r="K435" s="226" t="s">
        <v>2383</v>
      </c>
      <c r="L435" s="226" t="s">
        <v>2383</v>
      </c>
      <c r="M435" s="226" t="s">
        <v>2383</v>
      </c>
      <c r="N435" s="226" t="s">
        <v>2383</v>
      </c>
      <c r="O435" s="19" t="n">
        <v>1</v>
      </c>
      <c r="P435" s="19" t="n">
        <v>1</v>
      </c>
    </row>
    <row r="436" spans="1:16">
      <c r="A436">
        <f>ROW()-ROW($A$1)</f>
        <v>435</v>
      </c>
      <c r="B436" t="s">
        <v>333</v>
      </c>
      <c r="C436"/>
      <c r="E436" s="19">
        <f aca="1">VLOOKUP(T_Aop[[#This Row],[Id]],T_Aop[],ID_Jezik+10,1)</f>
        <v>0</v>
      </c>
      <c r="F436" t="str">
        <f aca="1">REPT("  ",T_Aop[[#This Row],[Aop nivo]])&amp;VLOOKUP(T_Aop[[#This Row],[Id]],T_Aop[],ID_Jezik+6,1)</f>
        <v/>
      </c>
      <c r="G436" s="233"/>
      <c r="H436" s="233"/>
      <c r="I436" s="233"/>
      <c r="J436" s="219"/>
      <c r="K436" s="226"/>
      <c r="L436" s="226"/>
      <c r="M436" s="226"/>
      <c r="N436" s="226"/>
      <c r="O436" s="19"/>
      <c r="P436" s="19"/>
    </row>
    <row r="437" spans="1:16">
      <c r="A437">
        <f>ROW()-ROW($A$1)</f>
        <v>436</v>
      </c>
      <c r="B437" t="s">
        <v>333</v>
      </c>
      <c r="C437" t="n">
        <v>1</v>
      </c>
      <c r="D437" t="n">
        <v>913</v>
      </c>
      <c r="E437" s="19" t="str">
        <f aca="1">VLOOKUP(T_Aop[[#This Row],[Id]],T_Aop[],ID_Jezik+10,1)</f>
        <v>13.</v>
      </c>
      <c r="F437" s="143" t="str">
        <f aca="1">REPT("  ",T_Aop[[#This Row],[Aop nivo]])&amp;VLOOKUP(T_Aop[[#This Row],[Id]],T_Aop[],ID_Jezik+6,1)</f>
        <v>  13. Stanje na dan 31.12.2023. god. / 01.01.2024. god. 
   (904 ± 907 ± 908 - 909 - 910 ± 911 ± 912)</v>
      </c>
      <c r="G437" s="233" t="str">
        <f>CONCATENATE("13. Stanje na dan ",Podesavanja!$X$5," god. / ",Podesavanja!$X$4," god. 
   (904 ± 907 ± 908 - 909 - 910 ± 911 ± 912)")</f>
        <v>13. Stanje na dan 31.12.2023. god. / 01.01.2024. god. 
   (904 ± 907 ± 908 - 909 - 910 ± 911 ± 912)</v>
      </c>
      <c r="H437" s="233" t="str">
        <f>CONCATENATE("13. Стање на дан ",Podesavanja!$X$5," год. / ",Podesavanja!$X$4," год. 
(904 ± 907 ± 908 - 909 - 910 ± 911 ± 912)")</f>
        <v>13. Стање на дан 31.12.2023. год. / 01.01.2024. год. 
(904 ± 907 ± 908 - 909 - 910 ± 911 ± 912)</v>
      </c>
      <c r="I437" s="233" t="str">
        <f>CONCATENATE("13. Value on day ",Podesavanja!$Y$5," / ",Podesavanja!$Y$4," 
(904 ± 907 ± 908 - 909 - 910 ± 911 ± 912)")</f>
        <v>13. Value on day 31.12.2023 / 01.01.2024 
(904 ± 907 ± 908 - 909 - 910 ± 911 ± 912)</v>
      </c>
      <c r="J437" s="233" t="str">
        <f>CONCATENATE("13. Состояние на дату ",Podesavanja!$X$5," года / ",Podesavanja!$X$4," god. 
(904 ± 907 ± 908 - 909 - 910 ± 911 ± 912)")</f>
        <v>13. Состояние на дату 31.12.2023. года / 01.01.2024. god. 
(904 ± 907 ± 908 - 909 - 910 ± 911 ± 912)</v>
      </c>
      <c r="K437" s="226" t="s">
        <v>2389</v>
      </c>
      <c r="L437" s="226" t="s">
        <v>2389</v>
      </c>
      <c r="M437" s="226" t="s">
        <v>2389</v>
      </c>
      <c r="N437" s="226" t="s">
        <v>2389</v>
      </c>
      <c r="O437" s="19"/>
      <c r="P437" s="19"/>
    </row>
    <row r="438" spans="1:16">
      <c r="A438">
        <f>ROW()-ROW($A$1)</f>
        <v>437</v>
      </c>
      <c r="B438" t="s">
        <v>333</v>
      </c>
      <c r="C438"/>
      <c r="E438" s="19">
        <f aca="1">VLOOKUP(T_Aop[[#This Row],[Id]],T_Aop[],ID_Jezik+10,1)</f>
        <v>0</v>
      </c>
      <c r="F438" t="str">
        <f aca="1">REPT("  ",T_Aop[[#This Row],[Aop nivo]])&amp;VLOOKUP(T_Aop[[#This Row],[Id]],T_Aop[],ID_Jezik+6,1)</f>
        <v/>
      </c>
      <c r="G438" s="232"/>
      <c r="H438" s="60"/>
      <c r="I438" s="60"/>
      <c r="K438" s="226"/>
      <c r="L438" s="226"/>
      <c r="M438" s="226"/>
      <c r="N438" s="226"/>
      <c r="O438" s="19"/>
      <c r="P438" s="19"/>
    </row>
    <row r="439" spans="1:16">
      <c r="A439">
        <f>ROW()-ROW($A$1)</f>
        <v>438</v>
      </c>
      <c r="B439" t="s">
        <v>333</v>
      </c>
      <c r="C439" t="n">
        <v>2</v>
      </c>
      <c r="D439" t="n">
        <v>914</v>
      </c>
      <c r="E439" s="19" t="str">
        <f aca="1">VLOOKUP(T_Aop[[#This Row],[Id]],T_Aop[],ID_Jezik+10,1)</f>
        <v>14.</v>
      </c>
      <c r="F439" t="str">
        <f aca="1">REPT("  ",T_Aop[[#This Row],[Aop nivo]])&amp;VLOOKUP(T_Aop[[#This Row],[Id]],T_Aop[],ID_Jezik+6,1)</f>
        <v>    14. Efekti promjena u računovodstvenim politikama</v>
      </c>
      <c r="G439" s="60" t="s">
        <v>2986</v>
      </c>
      <c r="H439" s="60" t="s">
        <v>2987</v>
      </c>
      <c r="I439" s="235" t="s">
        <v>2988</v>
      </c>
      <c r="J439" s="217" t="s">
        <v>2989</v>
      </c>
      <c r="K439" s="226" t="s">
        <v>2395</v>
      </c>
      <c r="L439" s="226" t="s">
        <v>2395</v>
      </c>
      <c r="M439" s="226" t="s">
        <v>2395</v>
      </c>
      <c r="N439" s="226" t="s">
        <v>2395</v>
      </c>
      <c r="O439" s="19"/>
      <c r="P439" s="19"/>
    </row>
    <row r="440" spans="1:16">
      <c r="A440">
        <f>ROW()-ROW($A$1)</f>
        <v>439</v>
      </c>
      <c r="B440" t="s">
        <v>333</v>
      </c>
      <c r="C440" t="n">
        <v>2</v>
      </c>
      <c r="D440" t="n">
        <v>915</v>
      </c>
      <c r="E440" s="19" t="str">
        <f aca="1">VLOOKUP(T_Aop[[#This Row],[Id]],T_Aop[],ID_Jezik+10,1)</f>
        <v>15</v>
      </c>
      <c r="F440" t="str">
        <f aca="1">REPT("  ",T_Aop[[#This Row],[Aop nivo]])&amp;VLOOKUP(T_Aop[[#This Row],[Id]],T_Aop[],ID_Jezik+6,1)</f>
        <v>    15. Efekti ispravki grešaka</v>
      </c>
      <c r="G440" s="60" t="s">
        <v>2990</v>
      </c>
      <c r="H440" s="60" t="s">
        <v>2991</v>
      </c>
      <c r="I440" s="235" t="s">
        <v>2992</v>
      </c>
      <c r="J440" s="217" t="s">
        <v>2993</v>
      </c>
      <c r="K440" s="226" t="s">
        <v>2400</v>
      </c>
      <c r="L440" s="226" t="s">
        <v>2400</v>
      </c>
      <c r="M440" s="226" t="s">
        <v>2400</v>
      </c>
      <c r="N440" s="226" t="s">
        <v>2400</v>
      </c>
      <c r="O440" s="19"/>
      <c r="P440" s="19"/>
    </row>
    <row r="441" spans="1:16">
      <c r="A441">
        <f>ROW()-ROW($A$1)</f>
        <v>440</v>
      </c>
      <c r="B441" t="s">
        <v>333</v>
      </c>
      <c r="C441" t="n">
        <v>1</v>
      </c>
      <c r="D441" t="n">
        <v>916</v>
      </c>
      <c r="E441" s="19" t="str">
        <f aca="1">VLOOKUP(T_Aop[[#This Row],[Id]],T_Aop[],ID_Jezik+10,1)</f>
        <v>16</v>
      </c>
      <c r="F441" t="str">
        <f aca="1">REPT("  ",T_Aop[[#This Row],[Aop nivo]])&amp;VLOOKUP(T_Aop[[#This Row],[Id]],T_Aop[],ID_Jezik+6,1)</f>
        <v>  16. Ponovo iskazano stanje na dan 01.01.2024. godine (913 ± 914 ± 915)</v>
      </c>
      <c r="G441" s="233" t="str">
        <f>CONCATENATE("16. Ponovo iskazano stanje na dan ",Podesavanja!$X$4," godine (913 ± 914 ± 915)")</f>
        <v>16. Ponovo iskazano stanje na dan 01.01.2024. godine (913 ± 914 ± 915)</v>
      </c>
      <c r="H441" s="233" t="str">
        <f>CONCATENATE("16. Поново исказано стање на дан ",Podesavanja!$X$4," године (913 ± 914 ± 915)")</f>
        <v>16. Поново исказано стање на дан 01.01.2024. године (913 ± 914 ± 915)</v>
      </c>
      <c r="I441" s="233" t="str">
        <f>CONCATENATE("16. New value on day ",Podesavanja!$Y$4," (913 ± 914 ± 915)")</f>
        <v>16. New value on day 01.01.2024 (913 ± 914 ± 915)</v>
      </c>
      <c r="J441" s="233" t="str">
        <f>CONCATENATE("16. Повторно представленное состояние",Podesavanja!$X$4," года (913 ± 914 ± 915)")</f>
        <v>16. Повторно представленное состояние01.01.2024. года (913 ± 914 ± 915)</v>
      </c>
      <c r="K441" s="226" t="s">
        <v>2994</v>
      </c>
      <c r="L441" s="226" t="s">
        <v>2994</v>
      </c>
      <c r="M441" s="226" t="s">
        <v>2994</v>
      </c>
      <c r="N441" s="226" t="s">
        <v>2994</v>
      </c>
      <c r="O441" s="19" t="n">
        <v>1</v>
      </c>
      <c r="P441" s="19"/>
    </row>
    <row r="442" spans="1:16">
      <c r="A442">
        <f>ROW()-ROW($A$1)</f>
        <v>441</v>
      </c>
      <c r="B442" t="s">
        <v>333</v>
      </c>
      <c r="C442"/>
      <c r="E442" s="19">
        <f aca="1">VLOOKUP(T_Aop[[#This Row],[Id]],T_Aop[],ID_Jezik+10,1)</f>
        <v>0</v>
      </c>
      <c r="F442" t="str">
        <f aca="1">REPT("  ",T_Aop[[#This Row],[Aop nivo]])&amp;VLOOKUP(T_Aop[[#This Row],[Id]],T_Aop[],ID_Jezik+6,1)</f>
        <v/>
      </c>
      <c r="G442" s="233"/>
      <c r="H442" s="233"/>
      <c r="I442" s="233"/>
      <c r="J442" s="219"/>
      <c r="K442" s="226"/>
      <c r="L442" s="226"/>
      <c r="M442" s="226"/>
      <c r="N442" s="226"/>
      <c r="O442" s="19"/>
      <c r="P442" s="19"/>
    </row>
    <row r="443" spans="1:16">
      <c r="A443">
        <f>ROW()-ROW($A$1)</f>
        <v>442</v>
      </c>
      <c r="B443" t="s">
        <v>333</v>
      </c>
      <c r="C443" t="n">
        <v>2</v>
      </c>
      <c r="D443" t="n">
        <v>917</v>
      </c>
      <c r="E443" s="19" t="str">
        <f aca="1">VLOOKUP(T_Aop[[#This Row],[Id]],T_Aop[],ID_Jezik+10,1)</f>
        <v>17</v>
      </c>
      <c r="F443" t="str">
        <f aca="1">REPT("  ",T_Aop[[#This Row],[Aop nivo]])&amp;VLOOKUP(T_Aop[[#This Row],[Id]],T_Aop[],ID_Jezik+6,1)</f>
        <v>    17. Dobit/(gubitak) za godinu</v>
      </c>
      <c r="G443" s="60" t="s">
        <v>2995</v>
      </c>
      <c r="H443" s="60" t="s">
        <v>2996</v>
      </c>
      <c r="I443" s="235" t="s">
        <v>2997</v>
      </c>
      <c r="J443" s="216" t="s">
        <v>2998</v>
      </c>
      <c r="K443" s="226" t="s">
        <v>2999</v>
      </c>
      <c r="L443" s="226" t="s">
        <v>2999</v>
      </c>
      <c r="M443" s="226" t="s">
        <v>2999</v>
      </c>
      <c r="N443" s="226" t="s">
        <v>2999</v>
      </c>
      <c r="O443" s="19"/>
      <c r="P443" s="19"/>
    </row>
    <row r="444" spans="1:16">
      <c r="A444">
        <f>ROW()-ROW($A$1)</f>
        <v>443</v>
      </c>
      <c r="B444" t="s">
        <v>333</v>
      </c>
      <c r="C444" t="n">
        <v>2</v>
      </c>
      <c r="D444" t="n">
        <v>918</v>
      </c>
      <c r="E444" s="19" t="str">
        <f aca="1">VLOOKUP(T_Aop[[#This Row],[Id]],T_Aop[],ID_Jezik+10,1)</f>
        <v>18</v>
      </c>
      <c r="F444" t="str">
        <f aca="1">REPT("  ",T_Aop[[#This Row],[Aop nivo]])&amp;VLOOKUP(T_Aop[[#This Row],[Id]],T_Aop[],ID_Jezik+6,1)</f>
        <v>    18. Ostali ukupni rezultat za godinu</v>
      </c>
      <c r="G444" s="60" t="s">
        <v>3000</v>
      </c>
      <c r="H444" s="60" t="s">
        <v>3001</v>
      </c>
      <c r="I444" s="235" t="s">
        <v>3002</v>
      </c>
      <c r="J444" s="216" t="s">
        <v>3003</v>
      </c>
      <c r="K444" s="226" t="s">
        <v>3004</v>
      </c>
      <c r="L444" s="226" t="s">
        <v>3004</v>
      </c>
      <c r="M444" s="226" t="s">
        <v>3004</v>
      </c>
      <c r="N444" s="226" t="s">
        <v>3004</v>
      </c>
      <c r="O444" s="19"/>
      <c r="P444" s="19" t="n">
        <v>1</v>
      </c>
    </row>
    <row r="445" spans="1:16">
      <c r="A445">
        <f>ROW()-ROW($A$1)</f>
        <v>444</v>
      </c>
      <c r="B445" t="s">
        <v>333</v>
      </c>
      <c r="C445" t="n">
        <v>1</v>
      </c>
      <c r="D445" t="n">
        <v>919</v>
      </c>
      <c r="E445" s="19" t="str">
        <f aca="1">VLOOKUP(T_Aop[[#This Row],[Id]],T_Aop[],ID_Jezik+10,1)</f>
        <v>19</v>
      </c>
      <c r="F445" t="str">
        <f aca="1">REPT("  ",T_Aop[[#This Row],[Aop nivo]])&amp;VLOOKUP(T_Aop[[#This Row],[Id]],T_Aop[],ID_Jezik+6,1)</f>
        <v>  19. Ukupna dobit/(gubitak) (± 917 ± 918)</v>
      </c>
      <c r="G445" s="233" t="s">
        <v>3005</v>
      </c>
      <c r="H445" s="233" t="s">
        <v>3006</v>
      </c>
      <c r="I445" s="233" t="s">
        <v>3007</v>
      </c>
      <c r="J445" s="233" t="s">
        <v>3008</v>
      </c>
      <c r="K445" s="226" t="s">
        <v>3009</v>
      </c>
      <c r="L445" s="226" t="s">
        <v>3009</v>
      </c>
      <c r="M445" s="226" t="s">
        <v>3009</v>
      </c>
      <c r="N445" s="226" t="s">
        <v>3009</v>
      </c>
      <c r="O445" s="19"/>
      <c r="P445" s="19" t="n">
        <v>1</v>
      </c>
    </row>
    <row r="446" spans="1:16">
      <c r="A446">
        <f>ROW()-ROW($A$1)</f>
        <v>445</v>
      </c>
      <c r="B446" t="s">
        <v>333</v>
      </c>
      <c r="C446"/>
      <c r="E446" s="19"/>
      <c r="F446" t="str">
        <f aca="1">REPT("  ",T_Aop[[#This Row],[Aop nivo]])&amp;VLOOKUP(T_Aop[[#This Row],[Id]],T_Aop[],ID_Jezik+6,1)</f>
        <v/>
      </c>
      <c r="G446" s="60"/>
      <c r="H446" s="60"/>
      <c r="I446" s="60"/>
      <c r="J446" s="60"/>
      <c r="K446" s="226"/>
      <c r="L446" s="226"/>
      <c r="M446" s="226"/>
      <c r="N446" s="226"/>
      <c r="O446" s="19"/>
      <c r="P446" s="19"/>
    </row>
    <row r="447" spans="1:16">
      <c r="A447">
        <f>ROW()-ROW($A$1)</f>
        <v>446</v>
      </c>
      <c r="B447" t="s">
        <v>333</v>
      </c>
      <c r="C447" t="n">
        <v>2</v>
      </c>
      <c r="D447" t="n">
        <v>920</v>
      </c>
      <c r="E447" s="19" t="str">
        <f aca="1">VLOOKUP(T_Aop[[#This Row],[Id]],T_Aop[],ID_Jezik+10,1)</f>
        <v>20</v>
      </c>
      <c r="F447" t="str">
        <f aca="1">REPT("  ",T_Aop[[#This Row],[Aop nivo]])&amp;VLOOKUP(T_Aop[[#This Row],[Id]],T_Aop[],ID_Jezik+6,1)</f>
        <v>    20. Emisija akcijskog kapitala i drugi oblici povećanja kapitala</v>
      </c>
      <c r="G447" s="60" t="s">
        <v>3010</v>
      </c>
      <c r="H447" s="60" t="s">
        <v>3011</v>
      </c>
      <c r="I447" s="234" t="s">
        <v>3012</v>
      </c>
      <c r="J447" s="216" t="s">
        <v>3013</v>
      </c>
      <c r="K447" s="226" t="s">
        <v>3014</v>
      </c>
      <c r="L447" s="226" t="s">
        <v>3014</v>
      </c>
      <c r="M447" s="226" t="s">
        <v>3014</v>
      </c>
      <c r="N447" s="226" t="s">
        <v>3014</v>
      </c>
      <c r="O447" s="19"/>
      <c r="P447" s="19"/>
    </row>
    <row r="448" spans="1:16">
      <c r="A448">
        <f>ROW()-ROW($A$1)</f>
        <v>447</v>
      </c>
      <c r="B448" t="s">
        <v>333</v>
      </c>
      <c r="C448" t="n">
        <v>2</v>
      </c>
      <c r="D448" t="n">
        <v>921</v>
      </c>
      <c r="E448" s="19" t="str">
        <f aca="1">VLOOKUP(T_Aop[[#This Row],[Id]],T_Aop[],ID_Jezik+10,1)</f>
        <v>21</v>
      </c>
      <c r="F448" t="str">
        <f aca="1">REPT("  ",T_Aop[[#This Row],[Aop nivo]])&amp;VLOOKUP(T_Aop[[#This Row],[Id]],T_Aop[],ID_Jezik+6,1)</f>
        <v>    21. Sticanje sopstvenih akcija i drugi oblici smanjenja kapitala</v>
      </c>
      <c r="G448" s="60" t="s">
        <v>3015</v>
      </c>
      <c r="H448" s="60" t="s">
        <v>3016</v>
      </c>
      <c r="I448" s="235" t="s">
        <v>3017</v>
      </c>
      <c r="J448" s="216" t="s">
        <v>3018</v>
      </c>
      <c r="K448" s="226" t="s">
        <v>3019</v>
      </c>
      <c r="L448" s="226" t="s">
        <v>3019</v>
      </c>
      <c r="M448" s="226" t="s">
        <v>3019</v>
      </c>
      <c r="N448" s="226" t="s">
        <v>3019</v>
      </c>
      <c r="O448" s="19"/>
      <c r="P448" s="19"/>
    </row>
    <row r="449" spans="1:16">
      <c r="A449">
        <f>ROW()-ROW($A$1)</f>
        <v>448</v>
      </c>
      <c r="B449" t="s">
        <v>333</v>
      </c>
      <c r="C449" t="n">
        <v>2</v>
      </c>
      <c r="D449" t="n">
        <v>922</v>
      </c>
      <c r="E449" s="19" t="str">
        <f aca="1">VLOOKUP(T_Aop[[#This Row],[Id]],T_Aop[],ID_Jezik+10,1)</f>
        <v>22</v>
      </c>
      <c r="F449" t="str">
        <f aca="1">REPT("  ",T_Aop[[#This Row],[Aop nivo]])&amp;VLOOKUP(T_Aop[[#This Row],[Id]],T_Aop[],ID_Jezik+6,1)</f>
        <v>    22. Objavljene dividende </v>
      </c>
      <c r="G449" s="60" t="s">
        <v>3020</v>
      </c>
      <c r="H449" s="60" t="s">
        <v>3021</v>
      </c>
      <c r="I449" s="235" t="s">
        <v>3022</v>
      </c>
      <c r="J449" s="216" t="s">
        <v>3023</v>
      </c>
      <c r="K449" s="226" t="s">
        <v>3024</v>
      </c>
      <c r="L449" s="226" t="s">
        <v>3024</v>
      </c>
      <c r="M449" s="226" t="s">
        <v>3024</v>
      </c>
      <c r="N449" s="226" t="s">
        <v>3024</v>
      </c>
      <c r="O449" s="19"/>
      <c r="P449" s="19"/>
    </row>
    <row r="450" spans="1:16">
      <c r="A450">
        <f>ROW()-ROW($A$1)</f>
        <v>449</v>
      </c>
      <c r="B450" t="s">
        <v>333</v>
      </c>
      <c r="C450" t="n">
        <v>2</v>
      </c>
      <c r="D450" t="n">
        <v>923</v>
      </c>
      <c r="E450" s="19" t="str">
        <f aca="1">VLOOKUP(T_Aop[[#This Row],[Id]],T_Aop[],ID_Jezik+10,1)</f>
        <v>23</v>
      </c>
      <c r="F450" t="str">
        <f aca="1">REPT("  ",T_Aop[[#This Row],[Aop nivo]])&amp;VLOOKUP(T_Aop[[#This Row],[Id]],T_Aop[],ID_Jezik+6,1)</f>
        <v>    23. Drugi oblici raspodjele dobiti i pokriće gubitka</v>
      </c>
      <c r="G450" s="60" t="s">
        <v>3025</v>
      </c>
      <c r="H450" s="60" t="s">
        <v>3026</v>
      </c>
      <c r="I450" s="235" t="s">
        <v>3027</v>
      </c>
      <c r="J450" s="216" t="s">
        <v>3028</v>
      </c>
      <c r="K450" s="226" t="s">
        <v>3029</v>
      </c>
      <c r="L450" s="226" t="s">
        <v>3029</v>
      </c>
      <c r="M450" s="226" t="s">
        <v>3029</v>
      </c>
      <c r="N450" s="226" t="s">
        <v>3029</v>
      </c>
      <c r="O450" s="19"/>
      <c r="P450" s="19"/>
    </row>
    <row r="451" spans="1:16">
      <c r="A451">
        <f>ROW()-ROW($A$1)</f>
        <v>450</v>
      </c>
      <c r="B451" t="s">
        <v>333</v>
      </c>
      <c r="C451" t="n">
        <v>2</v>
      </c>
      <c r="D451" t="n">
        <v>924</v>
      </c>
      <c r="E451" s="19" t="str">
        <f aca="1">VLOOKUP(T_Aop[[#This Row],[Id]],T_Aop[],ID_Jezik+10,1)</f>
        <v>24</v>
      </c>
      <c r="F451" t="str">
        <f aca="1">REPT("  ",T_Aop[[#This Row],[Aop nivo]])&amp;VLOOKUP(T_Aop[[#This Row],[Id]],T_Aop[],ID_Jezik+6,1)</f>
        <v>    24. Ostale promjene</v>
      </c>
      <c r="G451" s="60" t="s">
        <v>3030</v>
      </c>
      <c r="H451" s="60" t="s">
        <v>3031</v>
      </c>
      <c r="I451" s="235" t="s">
        <v>3032</v>
      </c>
      <c r="J451" s="216" t="s">
        <v>3033</v>
      </c>
      <c r="K451" s="226" t="s">
        <v>3034</v>
      </c>
      <c r="L451" s="226" t="s">
        <v>3034</v>
      </c>
      <c r="M451" s="226" t="s">
        <v>3034</v>
      </c>
      <c r="N451" s="226" t="s">
        <v>3034</v>
      </c>
      <c r="O451" s="19"/>
      <c r="P451" s="19"/>
    </row>
    <row r="452" spans="1:16">
      <c r="A452">
        <f>ROW()-ROW($A$1)</f>
        <v>451</v>
      </c>
      <c r="B452" t="s">
        <v>333</v>
      </c>
      <c r="C452"/>
      <c r="E452" s="19">
        <f aca="1">VLOOKUP(T_Aop[[#This Row],[Id]],T_Aop[],ID_Jezik+10,1)</f>
        <v>0</v>
      </c>
      <c r="F452" t="str">
        <f aca="1">REPT("  ",T_Aop[[#This Row],[Aop nivo]])&amp;VLOOKUP(T_Aop[[#This Row],[Id]],T_Aop[],ID_Jezik+6,1)</f>
        <v/>
      </c>
      <c r="H452" s="60"/>
      <c r="I452" s="60"/>
      <c r="J452" s="219"/>
      <c r="K452" s="226"/>
      <c r="L452" s="226"/>
      <c r="M452" s="226"/>
      <c r="N452" s="226"/>
      <c r="O452" s="19"/>
      <c r="P452" s="19"/>
    </row>
    <row r="453" spans="1:16">
      <c r="A453">
        <f>ROW()-ROW($A$1)</f>
        <v>452</v>
      </c>
      <c r="B453" t="s">
        <v>333</v>
      </c>
      <c r="C453" t="n">
        <v>0</v>
      </c>
      <c r="D453" t="n">
        <v>925</v>
      </c>
      <c r="E453" s="19" t="str">
        <f aca="1">VLOOKUP(T_Aop[[#This Row],[Id]],T_Aop[],ID_Jezik+10,1)</f>
        <v>25</v>
      </c>
      <c r="F453" t="str">
        <f aca="1">REPT("  ",T_Aop[[#This Row],[Aop nivo]])&amp;VLOOKUP(T_Aop[[#This Row],[Id]],T_Aop[],ID_Jezik+6,1)</f>
        <v>25. Stanje na dan 31.03.2024. godine (916 ± 919 ± 920  - 921 - 922± 923 ± 924)</v>
      </c>
      <c r="G453" s="233" t="str">
        <f aca="1">CONCATENATE("25. Stanje na dan ",Datum_Format," godine (916 ± 919 ± 920  - 921 - 922± 923 ± 924)")</f>
        <v>25. Stanje na dan 31.03.2024. godine (916 ± 919 ± 920  - 921 - 922± 923 ± 924)</v>
      </c>
      <c r="H453" s="233" t="str">
        <f aca="1">CONCATENATE("25. Стање на дан ",Datum_Format," године (916 ± 919 ± 920  - 921 - 922± 923 ± 924)")</f>
        <v>25. Стање на дан 31.03.2024. године (916 ± 919 ± 920  - 921 - 922± 923 ± 924)</v>
      </c>
      <c r="I453" s="233" t="str">
        <f>CONCATENATE("25. Value on day ",Podesavanja!$Y$3,"(916 ± 919 ± 920  - 921 - 922± 923 ± 924)")</f>
        <v>25. Value on day 31.03.2024(916 ± 919 ± 920  - 921 - 922± 923 ± 924)</v>
      </c>
      <c r="J453" s="233" t="str">
        <f aca="1">CONCATENATE("25. Состояние на дату ",,Datum_Format," года (916 ± 919 ± 920  - 921 - 922± 923 ± 924)")</f>
        <v>25. Состояние на дату 31.03.2024. года (916 ± 919 ± 920  - 921 - 922± 923 ± 924)</v>
      </c>
      <c r="K453" s="226" t="s">
        <v>3035</v>
      </c>
      <c r="L453" s="226" t="s">
        <v>3035</v>
      </c>
      <c r="M453" s="226" t="s">
        <v>3035</v>
      </c>
      <c r="N453" s="226" t="s">
        <v>3035</v>
      </c>
      <c r="O453" s="19" t="n">
        <v>1</v>
      </c>
      <c r="P453" s="19"/>
    </row>
  </sheetData>
  <sheetProtection algorithmName="SHA-512" hashValue="LMXNegT4wHujIzz2YS4jvC3ry03aR7ZZjTqXiiDs2nj3bmFyEngdqBrKu4tIqP9VKUrr2wuwuzsdpKYqjiSaUg==" saltValue="E/rUmJs0VO4grLcN1cHY0Q==" spinCount="100000" sheet="1" autoFilter="0"/>
  <conditionalFormatting sqref="I363:I368">
    <cfRule type="expression" dxfId="11" priority="1" stopIfTrue="1">
      <formula>$B363&lt;&gt;$B366</formula>
    </cfRule>
  </conditionalFormatting>
  <conditionalFormatting sqref="D138">
    <cfRule type="expression" dxfId="12" priority="2" stopIfTrue="1">
      <formula>$B138&lt;&gt;$B139</formula>
    </cfRule>
  </conditionalFormatting>
  <conditionalFormatting sqref="K70:N245">
    <cfRule type="expression" dxfId="13" priority="3" stopIfTrue="1">
      <formula>$B71&lt;&gt;$B72</formula>
    </cfRule>
  </conditionalFormatting>
  <conditionalFormatting sqref="E136:F139">
    <cfRule type="expression" dxfId="14" priority="4" stopIfTrue="1">
      <formula>$B136&lt;&gt;$B137</formula>
    </cfRule>
  </conditionalFormatting>
  <conditionalFormatting sqref="E135:F135">
    <cfRule type="expression" dxfId="15" priority="5" stopIfTrue="1">
      <formula>$B135&lt;&gt;#REF!</formula>
    </cfRule>
  </conditionalFormatting>
  <conditionalFormatting sqref="N66">
    <cfRule type="expression" dxfId="16" priority="6" stopIfTrue="1">
      <formula>$B66&lt;&gt;$B67</formula>
    </cfRule>
  </conditionalFormatting>
  <conditionalFormatting sqref="J398:J399">
    <cfRule type="expression" dxfId="17" priority="7" stopIfTrue="1">
      <formula>$B398&lt;&gt;$B399</formula>
    </cfRule>
  </conditionalFormatting>
  <conditionalFormatting sqref="D2:D77">
    <cfRule type="expression" dxfId="18" priority="8">
      <formula>$B3&lt;&gt;$B2</formula>
    </cfRule>
  </conditionalFormatting>
  <conditionalFormatting sqref="J425">
    <cfRule type="expression" dxfId="19" priority="9" stopIfTrue="1">
      <formula>$B424&lt;&gt;$B426</formula>
    </cfRule>
  </conditionalFormatting>
  <conditionalFormatting sqref="J421">
    <cfRule type="expression" dxfId="20" priority="10" stopIfTrue="1">
      <formula>$B420&lt;&gt;$B422</formula>
    </cfRule>
  </conditionalFormatting>
  <conditionalFormatting sqref="G445:J445">
    <cfRule type="expression" dxfId="21" priority="11" stopIfTrue="1">
      <formula>$B445&lt;&gt;$B447</formula>
    </cfRule>
  </conditionalFormatting>
  <conditionalFormatting sqref="E263">
    <cfRule type="expression" dxfId="22" priority="12" stopIfTrue="1">
      <formula>$B263&lt;&gt;$B264</formula>
    </cfRule>
  </conditionalFormatting>
  <conditionalFormatting sqref="G249 J249:P249 K253 K255 K257 G259 K259 G261 K261">
    <cfRule type="expression" dxfId="23" priority="13" stopIfTrue="1">
      <formula>$B249&lt;&gt;$B263</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24" priority="14" stopIfTrue="1">
      <formula>$B2&lt;&gt;$B3</formula>
    </cfRule>
  </conditionalFormatting>
  <conditionalFormatting sqref="H365:H368 J365:J368 H371:H378 J371:J378 H382:H383 J382:J383">
    <cfRule type="expression" dxfId="25" priority="15" stopIfTrue="1">
      <formula>$B363&lt;&gt;$B364</formula>
    </cfRule>
  </conditionalFormatting>
  <conditionalFormatting sqref="H379 J379 H387:H397 J387:J397">
    <cfRule type="expression" dxfId="26" priority="16" stopIfTrue="1">
      <formula>$B376&lt;&gt;$B377</formula>
    </cfRule>
  </conditionalFormatting>
  <conditionalFormatting sqref="O138:P138 O262:P262 B279:D279 G279:P280 C280:D280 B280:B281 A379 E379:G379 I379 K379:P379 A419:P419 B420 A421:M421 N421:P422 A422 C422:I422 K422:M422 B422:B451 C425:M425 A425:A426 N425:P426 C426:I426 K426:M426 C429:J429 A429:A430 K429:P430 C430:I430 A435 C435:P435 A437 C437:P437 E438:E441 A439 C439:D439 F439:H439 K439:P439 C441:D441 F441:J441 A441:A442 K441:P442 C442:I442 A447 C447:H447 K447:P447 A451 C451:H451 K451:P451">
    <cfRule type="expression" dxfId="27" priority="17" stopIfTrue="1">
      <formula>$B138&lt;&gt;$B140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28" priority="18" stopIfTrue="1">
      <formula>$B137&lt;&gt;$B140</formula>
    </cfRule>
  </conditionalFormatting>
  <conditionalFormatting sqref="I134:J135">
    <cfRule type="expression" dxfId="29" priority="19" stopIfTrue="1">
      <formula>$B135&lt;&gt;$B140</formula>
    </cfRule>
  </conditionalFormatting>
  <conditionalFormatting sqref="O259:P259">
    <cfRule type="expression" dxfId="30" priority="20" stopIfTrue="1">
      <formula>$B259&lt;&gt;$B265</formula>
    </cfRule>
  </conditionalFormatting>
  <conditionalFormatting sqref="N55:N65 I69:J132 D78:D132 D137 I138:J138 I213:I239 I241:I244">
    <cfRule type="expression" dxfId="31" priority="21" stopIfTrue="1">
      <formula>$B56&lt;&gt;$B57</formula>
    </cfRule>
  </conditionalFormatting>
  <conditionalFormatting sqref="D134:D136 I137:J137">
    <cfRule type="expression" dxfId="32" priority="22" stopIfTrue="1">
      <formula>$B135&lt;&gt;$B137</formula>
    </cfRule>
  </conditionalFormatting>
  <conditionalFormatting sqref="I136:J136">
    <cfRule type="expression" dxfId="33" priority="23" stopIfTrue="1">
      <formula>$B137&lt;&gt;$B140</formula>
    </cfRule>
  </conditionalFormatting>
  <conditionalFormatting sqref="I245:I246">
    <cfRule type="expression" dxfId="34" priority="24" stopIfTrue="1">
      <formula>$B246&lt;&gt;$B250</formula>
    </cfRule>
  </conditionalFormatting>
  <conditionalFormatting sqref="A134 E134:F134 O134:P134 A136 A138">
    <cfRule type="expression" dxfId="35" priority="25" stopIfTrue="1">
      <formula>$B134&lt;&gt;#REF!</formula>
    </cfRule>
  </conditionalFormatting>
  <conditionalFormatting sqref="O135:P136 O260:P260">
    <cfRule type="expression" dxfId="36" priority="26" stopIfTrue="1">
      <formula>$B135&lt;&gt;$B140</formula>
    </cfRule>
  </conditionalFormatting>
  <conditionalFormatting sqref="B139:C139">
    <cfRule type="expression" dxfId="37" priority="27" stopIfTrue="1">
      <formula>$B139&lt;&gt;#REF!</formula>
    </cfRule>
  </conditionalFormatting>
  <conditionalFormatting sqref="D139 I139:J139">
    <cfRule type="expression" dxfId="38" priority="28" stopIfTrue="1">
      <formula>#REF!&lt;&gt;$B140</formula>
    </cfRule>
  </conditionalFormatting>
  <conditionalFormatting sqref="D133 I133:J133">
    <cfRule type="expression" dxfId="39" priority="29" stopIfTrue="1">
      <formula>$B134&lt;&gt;#REF!</formula>
    </cfRule>
  </conditionalFormatting>
  <conditionalFormatting sqref="G246:G248 J246:P248 G250:G258 J250:J262 L250:N262 K252 G260 O261:P261 K262 G262:G263">
    <cfRule type="expression" dxfId="40" priority="30" stopIfTrue="1">
      <formula>$B246&lt;&gt;$B250</formula>
    </cfRule>
  </conditionalFormatting>
  <conditionalFormatting sqref="O252:P254">
    <cfRule type="expression" dxfId="41" priority="31" stopIfTrue="1">
      <formula>$B252&lt;&gt;$B263</formula>
    </cfRule>
  </conditionalFormatting>
  <conditionalFormatting sqref="F251:F252">
    <cfRule type="expression" dxfId="42" priority="32" stopIfTrue="1">
      <formula>#REF!&lt;&gt;$B243</formula>
    </cfRule>
  </conditionalFormatting>
  <conditionalFormatting sqref="F248">
    <cfRule type="expression" dxfId="43" priority="33" stopIfTrue="1">
      <formula>#REF!&lt;&gt;$B243</formula>
    </cfRule>
  </conditionalFormatting>
  <conditionalFormatting sqref="F249">
    <cfRule type="expression" dxfId="44" priority="34" stopIfTrue="1">
      <formula>#REF!&lt;&gt;$B243</formula>
    </cfRule>
  </conditionalFormatting>
  <conditionalFormatting sqref="F250">
    <cfRule type="expression" dxfId="45" priority="35" stopIfTrue="1">
      <formula>#REF!&lt;&gt;$B243</formula>
    </cfRule>
  </conditionalFormatting>
  <conditionalFormatting sqref="F247">
    <cfRule type="expression" dxfId="46" priority="36" stopIfTrue="1">
      <formula>#REF!&lt;&gt;$B243</formula>
    </cfRule>
  </conditionalFormatting>
  <conditionalFormatting sqref="F242:F246">
    <cfRule type="expression" dxfId="47" priority="37" stopIfTrue="1">
      <formula>#REF!&lt;&gt;$B243</formula>
    </cfRule>
  </conditionalFormatting>
  <conditionalFormatting sqref="F294:F311">
    <cfRule type="expression" dxfId="48" priority="38" stopIfTrue="1">
      <formula>#REF!&lt;&gt;$B244</formula>
    </cfRule>
  </conditionalFormatting>
  <conditionalFormatting sqref="F293">
    <cfRule type="expression" dxfId="49" priority="39" stopIfTrue="1">
      <formula>#REF!&lt;&gt;$B244</formula>
    </cfRule>
  </conditionalFormatting>
  <conditionalFormatting sqref="F292">
    <cfRule type="expression" dxfId="50" priority="40" stopIfTrue="1">
      <formula>#REF!&lt;&gt;$B244</formula>
    </cfRule>
  </conditionalFormatting>
  <conditionalFormatting sqref="F253:F257">
    <cfRule type="expression" dxfId="51" priority="41" stopIfTrue="1">
      <formula>#REF!&lt;&gt;$B244</formula>
    </cfRule>
  </conditionalFormatting>
  <conditionalFormatting sqref="F266:F273">
    <cfRule type="expression" dxfId="52" priority="42" stopIfTrue="1">
      <formula>#REF!&lt;&gt;$B245</formula>
    </cfRule>
  </conditionalFormatting>
  <conditionalFormatting sqref="F262:F265">
    <cfRule type="expression" dxfId="53" priority="43" stopIfTrue="1">
      <formula>#REF!&lt;&gt;$B245</formula>
    </cfRule>
  </conditionalFormatting>
  <conditionalFormatting sqref="F258:F261">
    <cfRule type="expression" dxfId="54" priority="44" stopIfTrue="1">
      <formula>#REF!&lt;&gt;$B245</formula>
    </cfRule>
  </conditionalFormatting>
  <conditionalFormatting sqref="O257:P258">
    <cfRule type="expression" dxfId="55" priority="45" stopIfTrue="1">
      <formula>$B257&lt;&gt;$B264</formula>
    </cfRule>
  </conditionalFormatting>
  <conditionalFormatting sqref="O255:P256">
    <cfRule type="expression" dxfId="56" priority="46" stopIfTrue="1">
      <formula>$B255&lt;&gt;$B264</formula>
    </cfRule>
  </conditionalFormatting>
  <conditionalFormatting sqref="F290:F291">
    <cfRule type="expression" dxfId="57" priority="47" stopIfTrue="1">
      <formula>#REF!&lt;&gt;$B247</formula>
    </cfRule>
  </conditionalFormatting>
  <conditionalFormatting sqref="F274:F280">
    <cfRule type="expression" dxfId="58" priority="48" stopIfTrue="1">
      <formula>#REF!&lt;&gt;$B247</formula>
    </cfRule>
  </conditionalFormatting>
  <conditionalFormatting sqref="F287:F289">
    <cfRule type="expression" dxfId="59" priority="49" stopIfTrue="1">
      <formula>#REF!&lt;&gt;$B250</formula>
    </cfRule>
  </conditionalFormatting>
  <conditionalFormatting sqref="F352">
    <cfRule type="expression" dxfId="60" priority="50" stopIfTrue="1">
      <formula>#REF!&lt;&gt;$B245</formula>
    </cfRule>
  </conditionalFormatting>
  <conditionalFormatting sqref="F351">
    <cfRule type="expression" dxfId="61" priority="51" stopIfTrue="1">
      <formula>#REF!&lt;&gt;$B245</formula>
    </cfRule>
  </conditionalFormatting>
  <conditionalFormatting sqref="F350">
    <cfRule type="expression" dxfId="62" priority="52" stopIfTrue="1">
      <formula>#REF!&lt;&gt;$B245</formula>
    </cfRule>
  </conditionalFormatting>
  <conditionalFormatting sqref="F349">
    <cfRule type="expression" dxfId="63" priority="53" stopIfTrue="1">
      <formula>#REF!&lt;&gt;$B245</formula>
    </cfRule>
  </conditionalFormatting>
  <conditionalFormatting sqref="F348">
    <cfRule type="expression" dxfId="64" priority="54" stopIfTrue="1">
      <formula>#REF!&lt;&gt;$B245</formula>
    </cfRule>
  </conditionalFormatting>
  <conditionalFormatting sqref="F347">
    <cfRule type="expression" dxfId="65" priority="55" stopIfTrue="1">
      <formula>#REF!&lt;&gt;$B245</formula>
    </cfRule>
  </conditionalFormatting>
  <conditionalFormatting sqref="F346">
    <cfRule type="expression" dxfId="66" priority="56" stopIfTrue="1">
      <formula>#REF!&lt;&gt;$B245</formula>
    </cfRule>
  </conditionalFormatting>
  <conditionalFormatting sqref="F345">
    <cfRule type="expression" dxfId="67" priority="57" stopIfTrue="1">
      <formula>#REF!&lt;&gt;$B245</formula>
    </cfRule>
  </conditionalFormatting>
  <conditionalFormatting sqref="F344">
    <cfRule type="expression" dxfId="68" priority="58" stopIfTrue="1">
      <formula>#REF!&lt;&gt;$B245</formula>
    </cfRule>
  </conditionalFormatting>
  <conditionalFormatting sqref="F343">
    <cfRule type="expression" dxfId="69" priority="59" stopIfTrue="1">
      <formula>#REF!&lt;&gt;$B245</formula>
    </cfRule>
  </conditionalFormatting>
  <conditionalFormatting sqref="F342">
    <cfRule type="expression" dxfId="70" priority="60" stopIfTrue="1">
      <formula>#REF!&lt;&gt;$B245</formula>
    </cfRule>
  </conditionalFormatting>
  <conditionalFormatting sqref="F312:F337">
    <cfRule type="expression" dxfId="71" priority="61" stopIfTrue="1">
      <formula>#REF!&lt;&gt;$B245</formula>
    </cfRule>
  </conditionalFormatting>
  <conditionalFormatting sqref="G350 I350:K350 M350:P350">
    <cfRule type="expression" dxfId="72" priority="62" stopIfTrue="1">
      <formula>$B350&lt;&gt;$B296</formula>
    </cfRule>
  </conditionalFormatting>
  <conditionalFormatting sqref="G347 I347:K347 M347:P347">
    <cfRule type="expression" dxfId="73" priority="63" stopIfTrue="1">
      <formula>$B347&lt;&gt;$B296</formula>
    </cfRule>
  </conditionalFormatting>
  <conditionalFormatting sqref="G352 I352:K352 M352:P352">
    <cfRule type="expression" dxfId="74" priority="64" stopIfTrue="1">
      <formula>$B352&lt;&gt;$B296</formula>
    </cfRule>
  </conditionalFormatting>
  <conditionalFormatting sqref="G351 I351:K351 M351:P351">
    <cfRule type="expression" dxfId="75" priority="65" stopIfTrue="1">
      <formula>$B351&lt;&gt;$B296</formula>
    </cfRule>
  </conditionalFormatting>
  <conditionalFormatting sqref="G349 I349:K349 M349:P349">
    <cfRule type="expression" dxfId="76" priority="66" stopIfTrue="1">
      <formula>$B349&lt;&gt;$B296</formula>
    </cfRule>
  </conditionalFormatting>
  <conditionalFormatting sqref="G348 I348:K348 M348:P348">
    <cfRule type="expression" dxfId="77" priority="67" stopIfTrue="1">
      <formula>$B348&lt;&gt;$B296</formula>
    </cfRule>
  </conditionalFormatting>
  <conditionalFormatting sqref="G346 I346:K346 M346:P346">
    <cfRule type="expression" dxfId="78" priority="68" stopIfTrue="1">
      <formula>$B346&lt;&gt;$B296</formula>
    </cfRule>
  </conditionalFormatting>
  <conditionalFormatting sqref="G345 I345:K345 M345:P345">
    <cfRule type="expression" dxfId="79" priority="69" stopIfTrue="1">
      <formula>$B345&lt;&gt;$B296</formula>
    </cfRule>
  </conditionalFormatting>
  <conditionalFormatting sqref="G344 I344:K344 M344:P344">
    <cfRule type="expression" dxfId="80" priority="70" stopIfTrue="1">
      <formula>$B344&lt;&gt;$B296</formula>
    </cfRule>
  </conditionalFormatting>
  <conditionalFormatting sqref="G343 I343:K343 M343:P343">
    <cfRule type="expression" dxfId="81" priority="71" stopIfTrue="1">
      <formula>$B343&lt;&gt;$B296</formula>
    </cfRule>
  </conditionalFormatting>
  <conditionalFormatting sqref="G342 I342:K342 M342:P342">
    <cfRule type="expression" dxfId="82" priority="72" stopIfTrue="1">
      <formula>$B342&lt;&gt;$B296</formula>
    </cfRule>
  </conditionalFormatting>
  <conditionalFormatting sqref="G315:G337 I315:K337 M315:P337">
    <cfRule type="expression" dxfId="83" priority="73" stopIfTrue="1">
      <formula>$B315&lt;&gt;$B299</formula>
    </cfRule>
  </conditionalFormatting>
  <conditionalFormatting sqref="A274:A286 E274:E286">
    <cfRule type="expression" dxfId="84" priority="74" stopIfTrue="1">
      <formula>#REF!&lt;&gt;#REF!</formula>
    </cfRule>
  </conditionalFormatting>
  <conditionalFormatting sqref="A312:A352 E312:E352">
    <cfRule type="expression" dxfId="85" priority="75" stopIfTrue="1">
      <formula>#REF!&lt;&gt;#REF!</formula>
    </cfRule>
  </conditionalFormatting>
  <conditionalFormatting sqref="A287:A311 E287:E311">
    <cfRule type="expression" dxfId="86" priority="76" stopIfTrue="1">
      <formula>#REF!&lt;&gt;#REF!</formula>
    </cfRule>
  </conditionalFormatting>
  <conditionalFormatting sqref="E242:E262 A242:A273">
    <cfRule type="expression" dxfId="87" priority="77" stopIfTrue="1">
      <formula>#REF!&lt;&gt;#REF!</formula>
    </cfRule>
  </conditionalFormatting>
  <conditionalFormatting sqref="E264:E273">
    <cfRule type="expression" dxfId="88" priority="78" stopIfTrue="1">
      <formula>#REF!&lt;&gt;#REF!</formula>
    </cfRule>
  </conditionalFormatting>
  <conditionalFormatting sqref="A241:C241 E241 G241 J241 O241:P241">
    <cfRule type="expression" dxfId="89" priority="79" stopIfTrue="1">
      <formula>$B241&lt;&gt;#REF!</formula>
    </cfRule>
  </conditionalFormatting>
  <conditionalFormatting sqref="B314:C314 G314 I314:K314 M314:P314 B316:C316 B318 B320:C320 B322:C322 B324 B326:C326 B328:C328 B330 B332:C332 B334:C334 B336 B338:C338 B340:C340 B342:B343 C343 B345 B347:C347 B349:C349 B351">
    <cfRule type="expression" dxfId="90" priority="80" stopIfTrue="1">
      <formula>$B314&lt;&gt;#REF!</formula>
    </cfRule>
  </conditionalFormatting>
  <conditionalFormatting sqref="F281:F286">
    <cfRule type="expression" dxfId="91" priority="81" stopIfTrue="1">
      <formula>#REF!&lt;&gt;$B253</formula>
    </cfRule>
  </conditionalFormatting>
  <conditionalFormatting sqref="F338:F341">
    <cfRule type="expression" dxfId="92" priority="82" stopIfTrue="1">
      <formula>#REF!&lt;&gt;$B258</formula>
    </cfRule>
  </conditionalFormatting>
  <conditionalFormatting sqref="G338:G341 I338:K341 M338:P341">
    <cfRule type="expression" dxfId="93" priority="83" stopIfTrue="1">
      <formula>$B338&lt;&gt;$B309</formula>
    </cfRule>
  </conditionalFormatting>
  <conditionalFormatting sqref="I437:J437">
    <cfRule type="expression" dxfId="94" priority="84" stopIfTrue="1">
      <formula>$B435&lt;&gt;$B437</formula>
    </cfRule>
  </conditionalFormatting>
  <conditionalFormatting sqref="I247">
    <cfRule type="expression" dxfId="95" priority="85" stopIfTrue="1">
      <formula>$B249&lt;&gt;$B263</formula>
    </cfRule>
  </conditionalFormatting>
  <conditionalFormatting sqref="I240">
    <cfRule type="expression" dxfId="96" priority="86" stopIfTrue="1">
      <formula>$B241&lt;&gt;#REF!</formula>
    </cfRule>
  </conditionalFormatting>
  <conditionalFormatting sqref="J439 J447">
    <cfRule type="expression" dxfId="97" priority="87" stopIfTrue="1">
      <formula>$B438&lt;&gt;$B441</formula>
    </cfRule>
  </conditionalFormatting>
  <conditionalFormatting sqref="J423 J427 J431 J442:J443">
    <cfRule type="expression" dxfId="98" priority="88" stopIfTrue="1">
      <formula>$B422&lt;&gt;$B424</formula>
    </cfRule>
  </conditionalFormatting>
  <conditionalFormatting sqref="J424">
    <cfRule type="expression" dxfId="99" priority="89" stopIfTrue="1">
      <formula>$B423&lt;&gt;$B424</formula>
    </cfRule>
  </conditionalFormatting>
  <conditionalFormatting sqref="I248:I260">
    <cfRule type="expression" dxfId="100" priority="90" stopIfTrue="1">
      <formula>$B250&lt;&gt;$B254</formula>
    </cfRule>
  </conditionalFormatting>
  <conditionalFormatting sqref="I261">
    <cfRule type="expression" dxfId="101" priority="91" stopIfTrue="1">
      <formula>$B263&lt;&gt;$B264</formula>
    </cfRule>
  </conditionalFormatting>
  <conditionalFormatting sqref="A453:P453">
    <cfRule type="expression" dxfId="102" priority="92" stopIfTrue="1">
      <formula>$B453&lt;&gt;#REF!</formula>
    </cfRule>
  </conditionalFormatting>
  <conditionalFormatting sqref="A452:P452">
    <cfRule type="expression" dxfId="103" priority="93" stopIfTrue="1">
      <formula>$B452&lt;&gt;#REF!</formula>
    </cfRule>
  </conditionalFormatting>
  <conditionalFormatting sqref="H380 J380">
    <cfRule type="expression" dxfId="104" priority="94" stopIfTrue="1">
      <formula>$B376&lt;&gt;$B377</formula>
    </cfRule>
  </conditionalFormatting>
  <conditionalFormatting sqref="H381 J381">
    <cfRule type="expression" dxfId="105" priority="95" stopIfTrue="1">
      <formula>$B377&lt;&gt;$B380</formula>
    </cfRule>
  </conditionalFormatting>
  <conditionalFormatting sqref="A368:G368 K368:P368 A383:C383 E383:G383 I383 K383:P383">
    <cfRule type="expression" dxfId="106" priority="96" stopIfTrue="1">
      <formula>$B368&lt;&gt;#REF!</formula>
    </cfRule>
  </conditionalFormatting>
  <conditionalFormatting sqref="H369 J369 H384 J384">
    <cfRule type="expression" dxfId="107" priority="97" stopIfTrue="1">
      <formula>#REF!&lt;&gt;#REF!</formula>
    </cfRule>
  </conditionalFormatting>
  <conditionalFormatting sqref="H370 J370">
    <cfRule type="expression" dxfId="108" priority="98" stopIfTrue="1">
      <formula>#REF!&lt;&gt;$B369</formula>
    </cfRule>
  </conditionalFormatting>
  <conditionalFormatting sqref="D381">
    <cfRule type="expression" dxfId="109" priority="99" stopIfTrue="1">
      <formula>$B381&lt;&gt;#REF!</formula>
    </cfRule>
  </conditionalFormatting>
  <conditionalFormatting sqref="H386 J386">
    <cfRule type="expression" dxfId="110" priority="100" stopIfTrue="1">
      <formula>#REF!&lt;&gt;$B384</formula>
    </cfRule>
  </conditionalFormatting>
  <conditionalFormatting sqref="D383 D385 D387 D389 D392 D394 D396 D398 D401 D403 D405 D407 D409 D411 D413 D415 D417">
    <cfRule type="expression" dxfId="111" priority="101" stopIfTrue="1">
      <formula>$B383&lt;&gt;#REF!</formula>
    </cfRule>
  </conditionalFormatting>
  <printOptions>
    <extLst>
      <ext uri="smNativeData">
        <pm:pageFlags xmlns:pm="smNativeData" id="1714042646" printRowHead="0" printColHead="0" printHeadLine="0" printFootLine="0" autoHeightHeader="0" autoHeightFooter="0" fitToPageBoth="0"/>
      </ext>
    </extLst>
  </printOptions>
  <pageMargins left="0.700000" right="0.700000" top="0.750000" bottom="0.750000" header="0.300000" footer="0.300000"/>
  <pageSetup paperSize="1" fitToWidth="0" fitToHeight="1"/>
  <headerFooter>
    <extLst>
      <ext uri="smNativeData">
        <pm:header xmlns:pm="smNativeData" id="1714042646" l="56" r="56" t="56" b="56" borderId="0" fillId="0" vertical="0"/>
        <pm:footer xmlns:pm="smNativeData" id="1714042646" l="56" r="56" t="56" b="56" borderId="0" fillId="0" vertical="2"/>
        <pm:paperBin xmlns:pm="smNativeData" id="1714042646" Id="0" type="0" value="0"/>
        <pm:paperBin xmlns:pm="smNativeData" id="1714042646" Id="1" type="0" value="0"/>
      </ext>
    </extLst>
  </headerFooter>
  <legacyDrawing r:id="rId2"/>
  <tableParts count="1">
    <tablePart r:id="rId3"/>
  </tableParts>
  <extLst>
    <ext uri="smNativeData">
      <pm:sheetPrefs xmlns:pm="smNativeData" day="1714042646" outlineProtect="1" showHorizontalRuler="0" showVerticalRuler="0"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Jelenko</dc:creator>
  <cp:keywords>V2.86</cp:keywords>
  <dc:description>SG RS 62/16
SG RS 63/16</dc:description>
  <cp:lastModifiedBy>Korisnik</cp:lastModifiedBy>
  <cp:revision>0</cp:revision>
  <cp:lastPrinted>2023-01-12T14:40:06Z</cp:lastPrinted>
  <dcterms:created xsi:type="dcterms:W3CDTF">2007-02-19T09:55:19Z</dcterms:created>
  <dcterms:modified xsi:type="dcterms:W3CDTF">2024-04-25T10:57:26Z</dcterms:modified>
</cp:coreProperties>
</file>